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70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00" i="1" l="1"/>
  <c r="AD2000" i="1"/>
  <c r="AC2000" i="1"/>
  <c r="AB2000" i="1"/>
  <c r="AA2000" i="1"/>
  <c r="Z2000" i="1"/>
  <c r="Y2000" i="1"/>
  <c r="X2000" i="1"/>
  <c r="W2000" i="1"/>
  <c r="V2000" i="1"/>
  <c r="U2000" i="1"/>
  <c r="T2000" i="1"/>
  <c r="S2000" i="1"/>
  <c r="R2000" i="1"/>
  <c r="Q2000" i="1"/>
  <c r="P2000" i="1"/>
  <c r="O2000" i="1"/>
  <c r="B2000" i="1"/>
  <c r="H2000" i="1"/>
  <c r="G2000" i="1"/>
  <c r="F2000" i="1"/>
  <c r="E2000" i="1"/>
  <c r="N2000" i="1"/>
  <c r="M2000" i="1"/>
  <c r="L2000" i="1"/>
  <c r="K2000" i="1"/>
  <c r="J2000" i="1"/>
  <c r="I2000" i="1"/>
  <c r="D2000" i="1"/>
  <c r="C2000" i="1"/>
  <c r="A2000" i="1"/>
  <c r="AE1999" i="1"/>
  <c r="AD1999" i="1"/>
  <c r="AC1999" i="1"/>
  <c r="AB1999" i="1"/>
  <c r="AA1999" i="1"/>
  <c r="Z1999" i="1"/>
  <c r="Y1999" i="1"/>
  <c r="X1999" i="1"/>
  <c r="W1999" i="1"/>
  <c r="V1999" i="1"/>
  <c r="U1999" i="1"/>
  <c r="T1999" i="1"/>
  <c r="S1999" i="1"/>
  <c r="R1999" i="1"/>
  <c r="Q1999" i="1"/>
  <c r="P1999" i="1"/>
  <c r="O1999" i="1"/>
  <c r="B1999" i="1"/>
  <c r="H1999" i="1"/>
  <c r="G1999" i="1"/>
  <c r="F1999" i="1"/>
  <c r="E1999" i="1"/>
  <c r="N1999" i="1"/>
  <c r="M1999" i="1"/>
  <c r="L1999" i="1"/>
  <c r="K1999" i="1"/>
  <c r="J1999" i="1"/>
  <c r="I1999" i="1"/>
  <c r="D1999" i="1"/>
  <c r="C1999" i="1"/>
  <c r="A1999" i="1"/>
  <c r="AE1998" i="1"/>
  <c r="AD1998" i="1"/>
  <c r="AC1998" i="1"/>
  <c r="AB1998" i="1"/>
  <c r="AA1998" i="1"/>
  <c r="Z1998" i="1"/>
  <c r="Y1998" i="1"/>
  <c r="X1998" i="1"/>
  <c r="W1998" i="1"/>
  <c r="V1998" i="1"/>
  <c r="U1998" i="1"/>
  <c r="T1998" i="1"/>
  <c r="S1998" i="1"/>
  <c r="R1998" i="1"/>
  <c r="Q1998" i="1"/>
  <c r="P1998" i="1"/>
  <c r="O1998" i="1"/>
  <c r="B1998" i="1"/>
  <c r="H1998" i="1"/>
  <c r="G1998" i="1"/>
  <c r="F1998" i="1"/>
  <c r="E1998" i="1"/>
  <c r="N1998" i="1"/>
  <c r="M1998" i="1"/>
  <c r="L1998" i="1"/>
  <c r="K1998" i="1"/>
  <c r="J1998" i="1"/>
  <c r="I1998" i="1"/>
  <c r="D1998" i="1"/>
  <c r="C1998" i="1"/>
  <c r="A1998" i="1"/>
  <c r="AE1997" i="1"/>
  <c r="AD1997" i="1"/>
  <c r="AC1997" i="1"/>
  <c r="AB1997" i="1"/>
  <c r="AA1997" i="1"/>
  <c r="Z1997" i="1"/>
  <c r="Y1997" i="1"/>
  <c r="X1997" i="1"/>
  <c r="W1997" i="1"/>
  <c r="V1997" i="1"/>
  <c r="U1997" i="1"/>
  <c r="T1997" i="1"/>
  <c r="S1997" i="1"/>
  <c r="R1997" i="1"/>
  <c r="Q1997" i="1"/>
  <c r="P1997" i="1"/>
  <c r="O1997" i="1"/>
  <c r="B1997" i="1"/>
  <c r="H1997" i="1"/>
  <c r="G1997" i="1"/>
  <c r="F1997" i="1"/>
  <c r="E1997" i="1"/>
  <c r="N1997" i="1"/>
  <c r="M1997" i="1"/>
  <c r="L1997" i="1"/>
  <c r="K1997" i="1"/>
  <c r="J1997" i="1"/>
  <c r="I1997" i="1"/>
  <c r="D1997" i="1"/>
  <c r="C1997" i="1"/>
  <c r="A1997" i="1"/>
  <c r="AE1996" i="1"/>
  <c r="AD1996" i="1"/>
  <c r="AC1996" i="1"/>
  <c r="AB1996" i="1"/>
  <c r="AA1996" i="1"/>
  <c r="Z1996" i="1"/>
  <c r="Y1996" i="1"/>
  <c r="X1996" i="1"/>
  <c r="W1996" i="1"/>
  <c r="V1996" i="1"/>
  <c r="U1996" i="1"/>
  <c r="T1996" i="1"/>
  <c r="S1996" i="1"/>
  <c r="R1996" i="1"/>
  <c r="Q1996" i="1"/>
  <c r="P1996" i="1"/>
  <c r="O1996" i="1"/>
  <c r="B1996" i="1"/>
  <c r="H1996" i="1"/>
  <c r="G1996" i="1"/>
  <c r="F1996" i="1"/>
  <c r="E1996" i="1"/>
  <c r="N1996" i="1"/>
  <c r="M1996" i="1"/>
  <c r="L1996" i="1"/>
  <c r="K1996" i="1"/>
  <c r="J1996" i="1"/>
  <c r="I1996" i="1"/>
  <c r="D1996" i="1"/>
  <c r="C1996" i="1"/>
  <c r="A1996" i="1"/>
  <c r="AE1995" i="1"/>
  <c r="AD1995" i="1"/>
  <c r="AC1995" i="1"/>
  <c r="AB1995" i="1"/>
  <c r="AA1995" i="1"/>
  <c r="Z1995" i="1"/>
  <c r="Y1995" i="1"/>
  <c r="X1995" i="1"/>
  <c r="W1995" i="1"/>
  <c r="V1995" i="1"/>
  <c r="U1995" i="1"/>
  <c r="T1995" i="1"/>
  <c r="S1995" i="1"/>
  <c r="R1995" i="1"/>
  <c r="Q1995" i="1"/>
  <c r="P1995" i="1"/>
  <c r="O1995" i="1"/>
  <c r="B1995" i="1"/>
  <c r="H1995" i="1"/>
  <c r="G1995" i="1"/>
  <c r="F1995" i="1"/>
  <c r="E1995" i="1"/>
  <c r="N1995" i="1"/>
  <c r="M1995" i="1"/>
  <c r="L1995" i="1"/>
  <c r="K1995" i="1"/>
  <c r="J1995" i="1"/>
  <c r="I1995" i="1"/>
  <c r="D1995" i="1"/>
  <c r="C1995" i="1"/>
  <c r="A1995" i="1"/>
  <c r="AE1994" i="1"/>
  <c r="AD1994" i="1"/>
  <c r="AC1994" i="1"/>
  <c r="AB1994" i="1"/>
  <c r="AA1994" i="1"/>
  <c r="Z1994" i="1"/>
  <c r="Y1994" i="1"/>
  <c r="X1994" i="1"/>
  <c r="W1994" i="1"/>
  <c r="V1994" i="1"/>
  <c r="U1994" i="1"/>
  <c r="T1994" i="1"/>
  <c r="S1994" i="1"/>
  <c r="R1994" i="1"/>
  <c r="Q1994" i="1"/>
  <c r="P1994" i="1"/>
  <c r="O1994" i="1"/>
  <c r="B1994" i="1"/>
  <c r="H1994" i="1"/>
  <c r="G1994" i="1"/>
  <c r="F1994" i="1"/>
  <c r="E1994" i="1"/>
  <c r="N1994" i="1"/>
  <c r="M1994" i="1"/>
  <c r="L1994" i="1"/>
  <c r="K1994" i="1"/>
  <c r="J1994" i="1"/>
  <c r="I1994" i="1"/>
  <c r="D1994" i="1"/>
  <c r="C1994" i="1"/>
  <c r="A1994" i="1"/>
  <c r="AE1993" i="1"/>
  <c r="AD1993" i="1"/>
  <c r="AC1993" i="1"/>
  <c r="AB1993" i="1"/>
  <c r="AA1993" i="1"/>
  <c r="Z1993" i="1"/>
  <c r="Y1993" i="1"/>
  <c r="X1993" i="1"/>
  <c r="W1993" i="1"/>
  <c r="V1993" i="1"/>
  <c r="U1993" i="1"/>
  <c r="T1993" i="1"/>
  <c r="S1993" i="1"/>
  <c r="R1993" i="1"/>
  <c r="Q1993" i="1"/>
  <c r="P1993" i="1"/>
  <c r="O1993" i="1"/>
  <c r="B1993" i="1"/>
  <c r="H1993" i="1"/>
  <c r="G1993" i="1"/>
  <c r="F1993" i="1"/>
  <c r="E1993" i="1"/>
  <c r="N1993" i="1"/>
  <c r="M1993" i="1"/>
  <c r="L1993" i="1"/>
  <c r="K1993" i="1"/>
  <c r="J1993" i="1"/>
  <c r="I1993" i="1"/>
  <c r="D1993" i="1"/>
  <c r="C1993" i="1"/>
  <c r="A1993" i="1"/>
  <c r="AE1992" i="1"/>
  <c r="AD1992" i="1"/>
  <c r="AC1992" i="1"/>
  <c r="AB1992" i="1"/>
  <c r="AA1992" i="1"/>
  <c r="Z1992" i="1"/>
  <c r="Y1992" i="1"/>
  <c r="X1992" i="1"/>
  <c r="W1992" i="1"/>
  <c r="V1992" i="1"/>
  <c r="U1992" i="1"/>
  <c r="T1992" i="1"/>
  <c r="S1992" i="1"/>
  <c r="R1992" i="1"/>
  <c r="Q1992" i="1"/>
  <c r="P1992" i="1"/>
  <c r="O1992" i="1"/>
  <c r="B1992" i="1"/>
  <c r="H1992" i="1"/>
  <c r="G1992" i="1"/>
  <c r="F1992" i="1"/>
  <c r="E1992" i="1"/>
  <c r="N1992" i="1"/>
  <c r="M1992" i="1"/>
  <c r="L1992" i="1"/>
  <c r="K1992" i="1"/>
  <c r="J1992" i="1"/>
  <c r="I1992" i="1"/>
  <c r="D1992" i="1"/>
  <c r="C1992" i="1"/>
  <c r="A1992" i="1"/>
  <c r="AE1991" i="1"/>
  <c r="AD1991" i="1"/>
  <c r="AC1991" i="1"/>
  <c r="AB1991" i="1"/>
  <c r="AA1991" i="1"/>
  <c r="Z1991" i="1"/>
  <c r="Y1991" i="1"/>
  <c r="X1991" i="1"/>
  <c r="W1991" i="1"/>
  <c r="V1991" i="1"/>
  <c r="U1991" i="1"/>
  <c r="T1991" i="1"/>
  <c r="S1991" i="1"/>
  <c r="R1991" i="1"/>
  <c r="Q1991" i="1"/>
  <c r="P1991" i="1"/>
  <c r="O1991" i="1"/>
  <c r="B1991" i="1"/>
  <c r="H1991" i="1"/>
  <c r="G1991" i="1"/>
  <c r="F1991" i="1"/>
  <c r="E1991" i="1"/>
  <c r="M1991" i="1"/>
  <c r="L1991" i="1"/>
  <c r="K1991" i="1"/>
  <c r="J1991" i="1"/>
  <c r="I1991" i="1"/>
  <c r="D1991" i="1"/>
  <c r="C1991" i="1"/>
  <c r="A1991" i="1"/>
  <c r="AE1990" i="1"/>
  <c r="AD1990" i="1"/>
  <c r="AC1990" i="1"/>
  <c r="AB1990" i="1"/>
  <c r="AA1990" i="1"/>
  <c r="Z1990" i="1"/>
  <c r="Y1990" i="1"/>
  <c r="X1990" i="1"/>
  <c r="W1990" i="1"/>
  <c r="V1990" i="1"/>
  <c r="U1990" i="1"/>
  <c r="T1990" i="1"/>
  <c r="S1990" i="1"/>
  <c r="R1990" i="1"/>
  <c r="Q1990" i="1"/>
  <c r="P1990" i="1"/>
  <c r="O1990" i="1"/>
  <c r="B1990" i="1"/>
  <c r="H1990" i="1"/>
  <c r="G1990" i="1"/>
  <c r="F1990" i="1"/>
  <c r="E1990" i="1"/>
  <c r="N1990" i="1"/>
  <c r="M1990" i="1"/>
  <c r="L1990" i="1"/>
  <c r="K1990" i="1"/>
  <c r="J1990" i="1"/>
  <c r="I1990" i="1"/>
  <c r="D1990" i="1"/>
  <c r="C1990" i="1"/>
  <c r="A1990" i="1"/>
  <c r="AE1989" i="1"/>
  <c r="AD1989" i="1"/>
  <c r="AC1989" i="1"/>
  <c r="AB1989" i="1"/>
  <c r="AA1989" i="1"/>
  <c r="Z1989" i="1"/>
  <c r="Y1989" i="1"/>
  <c r="X1989" i="1"/>
  <c r="W1989" i="1"/>
  <c r="V1989" i="1"/>
  <c r="U1989" i="1"/>
  <c r="T1989" i="1"/>
  <c r="S1989" i="1"/>
  <c r="R1989" i="1"/>
  <c r="Q1989" i="1"/>
  <c r="P1989" i="1"/>
  <c r="O1989" i="1"/>
  <c r="B1989" i="1"/>
  <c r="H1989" i="1"/>
  <c r="G1989" i="1"/>
  <c r="F1989" i="1"/>
  <c r="E1989" i="1"/>
  <c r="N1989" i="1"/>
  <c r="M1989" i="1"/>
  <c r="L1989" i="1"/>
  <c r="K1989" i="1"/>
  <c r="J1989" i="1"/>
  <c r="I1989" i="1"/>
  <c r="D1989" i="1"/>
  <c r="C1989" i="1"/>
  <c r="A1989" i="1"/>
  <c r="AE1988" i="1"/>
  <c r="AD1988" i="1"/>
  <c r="AC1988" i="1"/>
  <c r="AB1988" i="1"/>
  <c r="AA1988" i="1"/>
  <c r="Z1988" i="1"/>
  <c r="Y1988" i="1"/>
  <c r="X1988" i="1"/>
  <c r="W1988" i="1"/>
  <c r="V1988" i="1"/>
  <c r="U1988" i="1"/>
  <c r="T1988" i="1"/>
  <c r="S1988" i="1"/>
  <c r="R1988" i="1"/>
  <c r="Q1988" i="1"/>
  <c r="P1988" i="1"/>
  <c r="O1988" i="1"/>
  <c r="B1988" i="1"/>
  <c r="H1988" i="1"/>
  <c r="G1988" i="1"/>
  <c r="F1988" i="1"/>
  <c r="E1988" i="1"/>
  <c r="N1988" i="1"/>
  <c r="M1988" i="1"/>
  <c r="L1988" i="1"/>
  <c r="K1988" i="1"/>
  <c r="J1988" i="1"/>
  <c r="I1988" i="1"/>
  <c r="D1988" i="1"/>
  <c r="C1988" i="1"/>
  <c r="A1988" i="1"/>
  <c r="AE1987" i="1"/>
  <c r="AD1987" i="1"/>
  <c r="AC1987" i="1"/>
  <c r="AB1987" i="1"/>
  <c r="AA1987" i="1"/>
  <c r="Z1987" i="1"/>
  <c r="Y1987" i="1"/>
  <c r="X1987" i="1"/>
  <c r="W1987" i="1"/>
  <c r="V1987" i="1"/>
  <c r="U1987" i="1"/>
  <c r="T1987" i="1"/>
  <c r="S1987" i="1"/>
  <c r="R1987" i="1"/>
  <c r="Q1987" i="1"/>
  <c r="P1987" i="1"/>
  <c r="O1987" i="1"/>
  <c r="B1987" i="1"/>
  <c r="H1987" i="1"/>
  <c r="G1987" i="1"/>
  <c r="F1987" i="1"/>
  <c r="E1987" i="1"/>
  <c r="N1987" i="1"/>
  <c r="M1987" i="1"/>
  <c r="L1987" i="1"/>
  <c r="K1987" i="1"/>
  <c r="J1987" i="1"/>
  <c r="I1987" i="1"/>
  <c r="D1987" i="1"/>
  <c r="C1987" i="1"/>
  <c r="A1987" i="1"/>
  <c r="AE1986" i="1"/>
  <c r="AD1986" i="1"/>
  <c r="AC1986" i="1"/>
  <c r="AB1986" i="1"/>
  <c r="AA1986" i="1"/>
  <c r="Z1986" i="1"/>
  <c r="Y1986" i="1"/>
  <c r="X1986" i="1"/>
  <c r="W1986" i="1"/>
  <c r="V1986" i="1"/>
  <c r="U1986" i="1"/>
  <c r="T1986" i="1"/>
  <c r="S1986" i="1"/>
  <c r="R1986" i="1"/>
  <c r="Q1986" i="1"/>
  <c r="P1986" i="1"/>
  <c r="O1986" i="1"/>
  <c r="B1986" i="1"/>
  <c r="H1986" i="1"/>
  <c r="G1986" i="1"/>
  <c r="F1986" i="1"/>
  <c r="E1986" i="1"/>
  <c r="N1986" i="1"/>
  <c r="M1986" i="1"/>
  <c r="L1986" i="1"/>
  <c r="K1986" i="1"/>
  <c r="J1986" i="1"/>
  <c r="I1986" i="1"/>
  <c r="D1986" i="1"/>
  <c r="C1986" i="1"/>
  <c r="A1986" i="1"/>
  <c r="AE1985" i="1"/>
  <c r="AD1985" i="1"/>
  <c r="AC1985" i="1"/>
  <c r="AB1985" i="1"/>
  <c r="AA1985" i="1"/>
  <c r="Z1985" i="1"/>
  <c r="Y1985" i="1"/>
  <c r="X1985" i="1"/>
  <c r="W1985" i="1"/>
  <c r="V1985" i="1"/>
  <c r="U1985" i="1"/>
  <c r="T1985" i="1"/>
  <c r="S1985" i="1"/>
  <c r="R1985" i="1"/>
  <c r="Q1985" i="1"/>
  <c r="P1985" i="1"/>
  <c r="O1985" i="1"/>
  <c r="B1985" i="1"/>
  <c r="H1985" i="1"/>
  <c r="G1985" i="1"/>
  <c r="F1985" i="1"/>
  <c r="E1985" i="1"/>
  <c r="N1985" i="1"/>
  <c r="M1985" i="1"/>
  <c r="L1985" i="1"/>
  <c r="K1985" i="1"/>
  <c r="J1985" i="1"/>
  <c r="I1985" i="1"/>
  <c r="D1985" i="1"/>
  <c r="C1985" i="1"/>
  <c r="A1985" i="1"/>
  <c r="AE1984" i="1"/>
  <c r="AD1984" i="1"/>
  <c r="AC1984" i="1"/>
  <c r="AB1984" i="1"/>
  <c r="AA1984" i="1"/>
  <c r="Z1984" i="1"/>
  <c r="Y1984" i="1"/>
  <c r="X1984" i="1"/>
  <c r="W1984" i="1"/>
  <c r="V1984" i="1"/>
  <c r="U1984" i="1"/>
  <c r="T1984" i="1"/>
  <c r="S1984" i="1"/>
  <c r="R1984" i="1"/>
  <c r="Q1984" i="1"/>
  <c r="P1984" i="1"/>
  <c r="O1984" i="1"/>
  <c r="B1984" i="1"/>
  <c r="H1984" i="1"/>
  <c r="G1984" i="1"/>
  <c r="F1984" i="1"/>
  <c r="E1984" i="1"/>
  <c r="N1984" i="1"/>
  <c r="M1984" i="1"/>
  <c r="L1984" i="1"/>
  <c r="K1984" i="1"/>
  <c r="J1984" i="1"/>
  <c r="I1984" i="1"/>
  <c r="D1984" i="1"/>
  <c r="C1984" i="1"/>
  <c r="A1984" i="1"/>
  <c r="AE1983" i="1"/>
  <c r="AD1983" i="1"/>
  <c r="AC1983" i="1"/>
  <c r="AB1983" i="1"/>
  <c r="AA1983" i="1"/>
  <c r="Z1983" i="1"/>
  <c r="Y1983" i="1"/>
  <c r="X1983" i="1"/>
  <c r="W1983" i="1"/>
  <c r="V1983" i="1"/>
  <c r="U1983" i="1"/>
  <c r="T1983" i="1"/>
  <c r="S1983" i="1"/>
  <c r="R1983" i="1"/>
  <c r="Q1983" i="1"/>
  <c r="P1983" i="1"/>
  <c r="O1983" i="1"/>
  <c r="B1983" i="1"/>
  <c r="H1983" i="1"/>
  <c r="G1983" i="1"/>
  <c r="F1983" i="1"/>
  <c r="E1983" i="1"/>
  <c r="N1983" i="1"/>
  <c r="M1983" i="1"/>
  <c r="L1983" i="1"/>
  <c r="K1983" i="1"/>
  <c r="J1983" i="1"/>
  <c r="I1983" i="1"/>
  <c r="D1983" i="1"/>
  <c r="C1983" i="1"/>
  <c r="A1983" i="1"/>
  <c r="AE1982" i="1"/>
  <c r="AD1982" i="1"/>
  <c r="AC1982" i="1"/>
  <c r="AB1982" i="1"/>
  <c r="AA1982" i="1"/>
  <c r="Z1982" i="1"/>
  <c r="Y1982" i="1"/>
  <c r="X1982" i="1"/>
  <c r="W1982" i="1"/>
  <c r="V1982" i="1"/>
  <c r="U1982" i="1"/>
  <c r="T1982" i="1"/>
  <c r="S1982" i="1"/>
  <c r="R1982" i="1"/>
  <c r="Q1982" i="1"/>
  <c r="P1982" i="1"/>
  <c r="O1982" i="1"/>
  <c r="B1982" i="1"/>
  <c r="H1982" i="1"/>
  <c r="G1982" i="1"/>
  <c r="F1982" i="1"/>
  <c r="E1982" i="1"/>
  <c r="N1982" i="1"/>
  <c r="M1982" i="1"/>
  <c r="L1982" i="1"/>
  <c r="K1982" i="1"/>
  <c r="J1982" i="1"/>
  <c r="I1982" i="1"/>
  <c r="D1982" i="1"/>
  <c r="C1982" i="1"/>
  <c r="A1982" i="1"/>
  <c r="AE1981" i="1"/>
  <c r="AD1981" i="1"/>
  <c r="AC1981" i="1"/>
  <c r="AB1981" i="1"/>
  <c r="AA1981" i="1"/>
  <c r="Z1981" i="1"/>
  <c r="Y1981" i="1"/>
  <c r="X1981" i="1"/>
  <c r="W1981" i="1"/>
  <c r="V1981" i="1"/>
  <c r="U1981" i="1"/>
  <c r="T1981" i="1"/>
  <c r="S1981" i="1"/>
  <c r="R1981" i="1"/>
  <c r="Q1981" i="1"/>
  <c r="P1981" i="1"/>
  <c r="O1981" i="1"/>
  <c r="B1981" i="1"/>
  <c r="H1981" i="1"/>
  <c r="G1981" i="1"/>
  <c r="F1981" i="1"/>
  <c r="E1981" i="1"/>
  <c r="N1981" i="1"/>
  <c r="M1981" i="1"/>
  <c r="L1981" i="1"/>
  <c r="K1981" i="1"/>
  <c r="J1981" i="1"/>
  <c r="I1981" i="1"/>
  <c r="D1981" i="1"/>
  <c r="C1981" i="1"/>
  <c r="A1981" i="1"/>
  <c r="AE1980" i="1"/>
  <c r="AD1980" i="1"/>
  <c r="AC1980" i="1"/>
  <c r="AB1980" i="1"/>
  <c r="AA1980" i="1"/>
  <c r="Z1980" i="1"/>
  <c r="Y1980" i="1"/>
  <c r="X1980" i="1"/>
  <c r="W1980" i="1"/>
  <c r="V1980" i="1"/>
  <c r="U1980" i="1"/>
  <c r="T1980" i="1"/>
  <c r="S1980" i="1"/>
  <c r="R1980" i="1"/>
  <c r="Q1980" i="1"/>
  <c r="P1980" i="1"/>
  <c r="O1980" i="1"/>
  <c r="B1980" i="1"/>
  <c r="H1980" i="1"/>
  <c r="G1980" i="1"/>
  <c r="F1980" i="1"/>
  <c r="E1980" i="1"/>
  <c r="N1980" i="1"/>
  <c r="M1980" i="1"/>
  <c r="L1980" i="1"/>
  <c r="K1980" i="1"/>
  <c r="J1980" i="1"/>
  <c r="I1980" i="1"/>
  <c r="D1980" i="1"/>
  <c r="C1980" i="1"/>
  <c r="A1980" i="1"/>
  <c r="AE1979" i="1"/>
  <c r="AD1979" i="1"/>
  <c r="AC1979" i="1"/>
  <c r="AB1979" i="1"/>
  <c r="AA1979" i="1"/>
  <c r="Z1979" i="1"/>
  <c r="Y1979" i="1"/>
  <c r="X1979" i="1"/>
  <c r="W1979" i="1"/>
  <c r="V1979" i="1"/>
  <c r="U1979" i="1"/>
  <c r="T1979" i="1"/>
  <c r="S1979" i="1"/>
  <c r="R1979" i="1"/>
  <c r="Q1979" i="1"/>
  <c r="P1979" i="1"/>
  <c r="O1979" i="1"/>
  <c r="B1979" i="1"/>
  <c r="H1979" i="1"/>
  <c r="G1979" i="1"/>
  <c r="F1979" i="1"/>
  <c r="E1979" i="1"/>
  <c r="N1979" i="1"/>
  <c r="M1979" i="1"/>
  <c r="L1979" i="1"/>
  <c r="K1979" i="1"/>
  <c r="J1979" i="1"/>
  <c r="I1979" i="1"/>
  <c r="D1979" i="1"/>
  <c r="C1979" i="1"/>
  <c r="A1979" i="1"/>
  <c r="AE1978" i="1"/>
  <c r="AD1978" i="1"/>
  <c r="AC1978" i="1"/>
  <c r="AB1978" i="1"/>
  <c r="AA1978" i="1"/>
  <c r="Z1978" i="1"/>
  <c r="Y1978" i="1"/>
  <c r="X1978" i="1"/>
  <c r="W1978" i="1"/>
  <c r="V1978" i="1"/>
  <c r="U1978" i="1"/>
  <c r="T1978" i="1"/>
  <c r="S1978" i="1"/>
  <c r="R1978" i="1"/>
  <c r="Q1978" i="1"/>
  <c r="P1978" i="1"/>
  <c r="O1978" i="1"/>
  <c r="B1978" i="1"/>
  <c r="H1978" i="1"/>
  <c r="G1978" i="1"/>
  <c r="F1978" i="1"/>
  <c r="E1978" i="1"/>
  <c r="N1978" i="1"/>
  <c r="M1978" i="1"/>
  <c r="L1978" i="1"/>
  <c r="K1978" i="1"/>
  <c r="J1978" i="1"/>
  <c r="I1978" i="1"/>
  <c r="D1978" i="1"/>
  <c r="C1978" i="1"/>
  <c r="A1978" i="1"/>
  <c r="AE1977" i="1"/>
  <c r="AD1977" i="1"/>
  <c r="AC1977" i="1"/>
  <c r="AB1977" i="1"/>
  <c r="AA1977" i="1"/>
  <c r="Z1977" i="1"/>
  <c r="Y1977" i="1"/>
  <c r="X1977" i="1"/>
  <c r="W1977" i="1"/>
  <c r="V1977" i="1"/>
  <c r="U1977" i="1"/>
  <c r="T1977" i="1"/>
  <c r="S1977" i="1"/>
  <c r="R1977" i="1"/>
  <c r="Q1977" i="1"/>
  <c r="P1977" i="1"/>
  <c r="O1977" i="1"/>
  <c r="B1977" i="1"/>
  <c r="H1977" i="1"/>
  <c r="G1977" i="1"/>
  <c r="F1977" i="1"/>
  <c r="E1977" i="1"/>
  <c r="N1977" i="1"/>
  <c r="M1977" i="1"/>
  <c r="L1977" i="1"/>
  <c r="K1977" i="1"/>
  <c r="J1977" i="1"/>
  <c r="I1977" i="1"/>
  <c r="D1977" i="1"/>
  <c r="C1977" i="1"/>
  <c r="A1977" i="1"/>
  <c r="AE1976" i="1"/>
  <c r="AD1976" i="1"/>
  <c r="AC1976" i="1"/>
  <c r="AB1976" i="1"/>
  <c r="AA1976" i="1"/>
  <c r="Z1976" i="1"/>
  <c r="Y1976" i="1"/>
  <c r="X1976" i="1"/>
  <c r="W1976" i="1"/>
  <c r="V1976" i="1"/>
  <c r="U1976" i="1"/>
  <c r="T1976" i="1"/>
  <c r="S1976" i="1"/>
  <c r="R1976" i="1"/>
  <c r="Q1976" i="1"/>
  <c r="P1976" i="1"/>
  <c r="O1976" i="1"/>
  <c r="B1976" i="1"/>
  <c r="H1976" i="1"/>
  <c r="G1976" i="1"/>
  <c r="F1976" i="1"/>
  <c r="E1976" i="1"/>
  <c r="N1976" i="1"/>
  <c r="M1976" i="1"/>
  <c r="L1976" i="1"/>
  <c r="K1976" i="1"/>
  <c r="J1976" i="1"/>
  <c r="I1976" i="1"/>
  <c r="D1976" i="1"/>
  <c r="C1976" i="1"/>
  <c r="A1976" i="1"/>
  <c r="AE1975" i="1"/>
  <c r="AD1975" i="1"/>
  <c r="AC1975" i="1"/>
  <c r="AB1975" i="1"/>
  <c r="AA1975" i="1"/>
  <c r="Z1975" i="1"/>
  <c r="Y1975" i="1"/>
  <c r="X1975" i="1"/>
  <c r="W1975" i="1"/>
  <c r="V1975" i="1"/>
  <c r="U1975" i="1"/>
  <c r="T1975" i="1"/>
  <c r="S1975" i="1"/>
  <c r="R1975" i="1"/>
  <c r="Q1975" i="1"/>
  <c r="P1975" i="1"/>
  <c r="O1975" i="1"/>
  <c r="B1975" i="1"/>
  <c r="H1975" i="1"/>
  <c r="G1975" i="1"/>
  <c r="F1975" i="1"/>
  <c r="E1975" i="1"/>
  <c r="N1975" i="1"/>
  <c r="M1975" i="1"/>
  <c r="L1975" i="1"/>
  <c r="K1975" i="1"/>
  <c r="J1975" i="1"/>
  <c r="I1975" i="1"/>
  <c r="D1975" i="1"/>
  <c r="C1975" i="1"/>
  <c r="A1975" i="1"/>
  <c r="AE1974" i="1"/>
  <c r="AD1974" i="1"/>
  <c r="AC1974" i="1"/>
  <c r="AB1974" i="1"/>
  <c r="AA1974" i="1"/>
  <c r="Z1974" i="1"/>
  <c r="Y1974" i="1"/>
  <c r="X1974" i="1"/>
  <c r="W1974" i="1"/>
  <c r="V1974" i="1"/>
  <c r="U1974" i="1"/>
  <c r="T1974" i="1"/>
  <c r="S1974" i="1"/>
  <c r="R1974" i="1"/>
  <c r="Q1974" i="1"/>
  <c r="P1974" i="1"/>
  <c r="O1974" i="1"/>
  <c r="B1974" i="1"/>
  <c r="H1974" i="1"/>
  <c r="G1974" i="1"/>
  <c r="F1974" i="1"/>
  <c r="E1974" i="1"/>
  <c r="N1974" i="1"/>
  <c r="M1974" i="1"/>
  <c r="L1974" i="1"/>
  <c r="K1974" i="1"/>
  <c r="J1974" i="1"/>
  <c r="I1974" i="1"/>
  <c r="D1974" i="1"/>
  <c r="C1974" i="1"/>
  <c r="A1974" i="1"/>
  <c r="AE1973" i="1"/>
  <c r="AD1973" i="1"/>
  <c r="AC1973" i="1"/>
  <c r="AB1973" i="1"/>
  <c r="AA1973" i="1"/>
  <c r="Z1973" i="1"/>
  <c r="Y1973" i="1"/>
  <c r="X1973" i="1"/>
  <c r="W1973" i="1"/>
  <c r="V1973" i="1"/>
  <c r="U1973" i="1"/>
  <c r="T1973" i="1"/>
  <c r="S1973" i="1"/>
  <c r="R1973" i="1"/>
  <c r="Q1973" i="1"/>
  <c r="P1973" i="1"/>
  <c r="O1973" i="1"/>
  <c r="B1973" i="1"/>
  <c r="H1973" i="1"/>
  <c r="G1973" i="1"/>
  <c r="F1973" i="1"/>
  <c r="E1973" i="1"/>
  <c r="N1973" i="1"/>
  <c r="M1973" i="1"/>
  <c r="L1973" i="1"/>
  <c r="K1973" i="1"/>
  <c r="J1973" i="1"/>
  <c r="I1973" i="1"/>
  <c r="D1973" i="1"/>
  <c r="C1973" i="1"/>
  <c r="A1973" i="1"/>
  <c r="AE1972" i="1"/>
  <c r="AD1972" i="1"/>
  <c r="AC1972" i="1"/>
  <c r="AB1972" i="1"/>
  <c r="AA1972" i="1"/>
  <c r="Z1972" i="1"/>
  <c r="Y1972" i="1"/>
  <c r="X1972" i="1"/>
  <c r="W1972" i="1"/>
  <c r="V1972" i="1"/>
  <c r="U1972" i="1"/>
  <c r="T1972" i="1"/>
  <c r="S1972" i="1"/>
  <c r="R1972" i="1"/>
  <c r="Q1972" i="1"/>
  <c r="P1972" i="1"/>
  <c r="O1972" i="1"/>
  <c r="B1972" i="1"/>
  <c r="H1972" i="1"/>
  <c r="G1972" i="1"/>
  <c r="F1972" i="1"/>
  <c r="E1972" i="1"/>
  <c r="N1972" i="1"/>
  <c r="M1972" i="1"/>
  <c r="L1972" i="1"/>
  <c r="K1972" i="1"/>
  <c r="J1972" i="1"/>
  <c r="I1972" i="1"/>
  <c r="D1972" i="1"/>
  <c r="C1972" i="1"/>
  <c r="A1972" i="1"/>
  <c r="AE1971" i="1"/>
  <c r="AD1971" i="1"/>
  <c r="AC1971" i="1"/>
  <c r="AB1971" i="1"/>
  <c r="AA1971" i="1"/>
  <c r="Z1971" i="1"/>
  <c r="Y1971" i="1"/>
  <c r="X1971" i="1"/>
  <c r="W1971" i="1"/>
  <c r="V1971" i="1"/>
  <c r="U1971" i="1"/>
  <c r="T1971" i="1"/>
  <c r="S1971" i="1"/>
  <c r="R1971" i="1"/>
  <c r="Q1971" i="1"/>
  <c r="P1971" i="1"/>
  <c r="O1971" i="1"/>
  <c r="B1971" i="1"/>
  <c r="H1971" i="1"/>
  <c r="G1971" i="1"/>
  <c r="F1971" i="1"/>
  <c r="E1971" i="1"/>
  <c r="N1971" i="1"/>
  <c r="M1971" i="1"/>
  <c r="L1971" i="1"/>
  <c r="K1971" i="1"/>
  <c r="J1971" i="1"/>
  <c r="I1971" i="1"/>
  <c r="D1971" i="1"/>
  <c r="C1971" i="1"/>
  <c r="A1971" i="1"/>
  <c r="AE1970" i="1"/>
  <c r="AD1970" i="1"/>
  <c r="AC1970" i="1"/>
  <c r="AB1970" i="1"/>
  <c r="AA1970" i="1"/>
  <c r="Z1970" i="1"/>
  <c r="Y1970" i="1"/>
  <c r="X1970" i="1"/>
  <c r="W1970" i="1"/>
  <c r="V1970" i="1"/>
  <c r="U1970" i="1"/>
  <c r="T1970" i="1"/>
  <c r="S1970" i="1"/>
  <c r="R1970" i="1"/>
  <c r="Q1970" i="1"/>
  <c r="P1970" i="1"/>
  <c r="O1970" i="1"/>
  <c r="B1970" i="1"/>
  <c r="H1970" i="1"/>
  <c r="G1970" i="1"/>
  <c r="F1970" i="1"/>
  <c r="E1970" i="1"/>
  <c r="N1970" i="1"/>
  <c r="M1970" i="1"/>
  <c r="L1970" i="1"/>
  <c r="K1970" i="1"/>
  <c r="J1970" i="1"/>
  <c r="I1970" i="1"/>
  <c r="D1970" i="1"/>
  <c r="C1970" i="1"/>
  <c r="A1970" i="1"/>
  <c r="AE1969" i="1"/>
  <c r="AD1969" i="1"/>
  <c r="AC1969" i="1"/>
  <c r="AB1969" i="1"/>
  <c r="AA1969" i="1"/>
  <c r="Z1969" i="1"/>
  <c r="Y1969" i="1"/>
  <c r="X1969" i="1"/>
  <c r="W1969" i="1"/>
  <c r="V1969" i="1"/>
  <c r="U1969" i="1"/>
  <c r="T1969" i="1"/>
  <c r="S1969" i="1"/>
  <c r="R1969" i="1"/>
  <c r="Q1969" i="1"/>
  <c r="P1969" i="1"/>
  <c r="O1969" i="1"/>
  <c r="B1969" i="1"/>
  <c r="H1969" i="1"/>
  <c r="G1969" i="1"/>
  <c r="F1969" i="1"/>
  <c r="E1969" i="1"/>
  <c r="N1969" i="1"/>
  <c r="M1969" i="1"/>
  <c r="L1969" i="1"/>
  <c r="K1969" i="1"/>
  <c r="J1969" i="1"/>
  <c r="I1969" i="1"/>
  <c r="D1969" i="1"/>
  <c r="C1969" i="1"/>
  <c r="A1969" i="1"/>
  <c r="AE1968" i="1"/>
  <c r="AD1968" i="1"/>
  <c r="AC1968" i="1"/>
  <c r="AB1968" i="1"/>
  <c r="AA1968" i="1"/>
  <c r="Z1968" i="1"/>
  <c r="Y1968" i="1"/>
  <c r="X1968" i="1"/>
  <c r="W1968" i="1"/>
  <c r="V1968" i="1"/>
  <c r="U1968" i="1"/>
  <c r="T1968" i="1"/>
  <c r="S1968" i="1"/>
  <c r="R1968" i="1"/>
  <c r="Q1968" i="1"/>
  <c r="P1968" i="1"/>
  <c r="O1968" i="1"/>
  <c r="B1968" i="1"/>
  <c r="H1968" i="1"/>
  <c r="G1968" i="1"/>
  <c r="F1968" i="1"/>
  <c r="E1968" i="1"/>
  <c r="N1968" i="1"/>
  <c r="M1968" i="1"/>
  <c r="L1968" i="1"/>
  <c r="K1968" i="1"/>
  <c r="J1968" i="1"/>
  <c r="I1968" i="1"/>
  <c r="D1968" i="1"/>
  <c r="C1968" i="1"/>
  <c r="A1968" i="1"/>
  <c r="AE1967" i="1"/>
  <c r="AD1967" i="1"/>
  <c r="AC1967" i="1"/>
  <c r="AB1967" i="1"/>
  <c r="AA1967" i="1"/>
  <c r="Z1967" i="1"/>
  <c r="Y1967" i="1"/>
  <c r="X1967" i="1"/>
  <c r="W1967" i="1"/>
  <c r="V1967" i="1"/>
  <c r="U1967" i="1"/>
  <c r="T1967" i="1"/>
  <c r="S1967" i="1"/>
  <c r="R1967" i="1"/>
  <c r="Q1967" i="1"/>
  <c r="P1967" i="1"/>
  <c r="O1967" i="1"/>
  <c r="B1967" i="1"/>
  <c r="H1967" i="1"/>
  <c r="G1967" i="1"/>
  <c r="F1967" i="1"/>
  <c r="E1967" i="1"/>
  <c r="N1967" i="1"/>
  <c r="M1967" i="1"/>
  <c r="L1967" i="1"/>
  <c r="K1967" i="1"/>
  <c r="J1967" i="1"/>
  <c r="I1967" i="1"/>
  <c r="D1967" i="1"/>
  <c r="C1967" i="1"/>
  <c r="A1967" i="1"/>
  <c r="AE1966" i="1"/>
  <c r="AD1966" i="1"/>
  <c r="AC1966" i="1"/>
  <c r="AB1966" i="1"/>
  <c r="AA1966" i="1"/>
  <c r="Z1966" i="1"/>
  <c r="Y1966" i="1"/>
  <c r="X1966" i="1"/>
  <c r="W1966" i="1"/>
  <c r="V1966" i="1"/>
  <c r="U1966" i="1"/>
  <c r="T1966" i="1"/>
  <c r="S1966" i="1"/>
  <c r="R1966" i="1"/>
  <c r="Q1966" i="1"/>
  <c r="P1966" i="1"/>
  <c r="O1966" i="1"/>
  <c r="B1966" i="1"/>
  <c r="H1966" i="1"/>
  <c r="G1966" i="1"/>
  <c r="F1966" i="1"/>
  <c r="E1966" i="1"/>
  <c r="N1966" i="1"/>
  <c r="M1966" i="1"/>
  <c r="L1966" i="1"/>
  <c r="K1966" i="1"/>
  <c r="J1966" i="1"/>
  <c r="I1966" i="1"/>
  <c r="D1966" i="1"/>
  <c r="C1966" i="1"/>
  <c r="A1966" i="1"/>
  <c r="AE1965" i="1"/>
  <c r="AD1965" i="1"/>
  <c r="AC1965" i="1"/>
  <c r="AB1965" i="1"/>
  <c r="AA1965" i="1"/>
  <c r="Z1965" i="1"/>
  <c r="Y1965" i="1"/>
  <c r="X1965" i="1"/>
  <c r="W1965" i="1"/>
  <c r="V1965" i="1"/>
  <c r="U1965" i="1"/>
  <c r="T1965" i="1"/>
  <c r="S1965" i="1"/>
  <c r="R1965" i="1"/>
  <c r="Q1965" i="1"/>
  <c r="P1965" i="1"/>
  <c r="O1965" i="1"/>
  <c r="B1965" i="1"/>
  <c r="H1965" i="1"/>
  <c r="G1965" i="1"/>
  <c r="F1965" i="1"/>
  <c r="E1965" i="1"/>
  <c r="N1965" i="1"/>
  <c r="M1965" i="1"/>
  <c r="L1965" i="1"/>
  <c r="K1965" i="1"/>
  <c r="J1965" i="1"/>
  <c r="I1965" i="1"/>
  <c r="D1965" i="1"/>
  <c r="C1965" i="1"/>
  <c r="A1965" i="1"/>
  <c r="AE1964" i="1"/>
  <c r="AD1964" i="1"/>
  <c r="AC1964" i="1"/>
  <c r="AB1964" i="1"/>
  <c r="AA1964" i="1"/>
  <c r="Z1964" i="1"/>
  <c r="Y1964" i="1"/>
  <c r="X1964" i="1"/>
  <c r="W1964" i="1"/>
  <c r="V1964" i="1"/>
  <c r="U1964" i="1"/>
  <c r="T1964" i="1"/>
  <c r="S1964" i="1"/>
  <c r="R1964" i="1"/>
  <c r="Q1964" i="1"/>
  <c r="P1964" i="1"/>
  <c r="O1964" i="1"/>
  <c r="B1964" i="1"/>
  <c r="H1964" i="1"/>
  <c r="G1964" i="1"/>
  <c r="F1964" i="1"/>
  <c r="E1964" i="1"/>
  <c r="N1964" i="1"/>
  <c r="M1964" i="1"/>
  <c r="L1964" i="1"/>
  <c r="K1964" i="1"/>
  <c r="J1964" i="1"/>
  <c r="I1964" i="1"/>
  <c r="D1964" i="1"/>
  <c r="C1964" i="1"/>
  <c r="A1964" i="1"/>
  <c r="AE1963" i="1"/>
  <c r="AD1963" i="1"/>
  <c r="AC1963" i="1"/>
  <c r="AB1963" i="1"/>
  <c r="AA1963" i="1"/>
  <c r="Z1963" i="1"/>
  <c r="Y1963" i="1"/>
  <c r="X1963" i="1"/>
  <c r="W1963" i="1"/>
  <c r="V1963" i="1"/>
  <c r="U1963" i="1"/>
  <c r="T1963" i="1"/>
  <c r="S1963" i="1"/>
  <c r="R1963" i="1"/>
  <c r="Q1963" i="1"/>
  <c r="P1963" i="1"/>
  <c r="O1963" i="1"/>
  <c r="B1963" i="1"/>
  <c r="H1963" i="1"/>
  <c r="G1963" i="1"/>
  <c r="F1963" i="1"/>
  <c r="E1963" i="1"/>
  <c r="N1963" i="1"/>
  <c r="M1963" i="1"/>
  <c r="L1963" i="1"/>
  <c r="K1963" i="1"/>
  <c r="J1963" i="1"/>
  <c r="I1963" i="1"/>
  <c r="D1963" i="1"/>
  <c r="C1963" i="1"/>
  <c r="A1963" i="1"/>
  <c r="AE1962" i="1"/>
  <c r="AD1962" i="1"/>
  <c r="AC1962" i="1"/>
  <c r="AB1962" i="1"/>
  <c r="AA1962" i="1"/>
  <c r="Z1962" i="1"/>
  <c r="Y1962" i="1"/>
  <c r="X1962" i="1"/>
  <c r="W1962" i="1"/>
  <c r="V1962" i="1"/>
  <c r="U1962" i="1"/>
  <c r="T1962" i="1"/>
  <c r="S1962" i="1"/>
  <c r="R1962" i="1"/>
  <c r="Q1962" i="1"/>
  <c r="P1962" i="1"/>
  <c r="O1962" i="1"/>
  <c r="B1962" i="1"/>
  <c r="H1962" i="1"/>
  <c r="G1962" i="1"/>
  <c r="F1962" i="1"/>
  <c r="E1962" i="1"/>
  <c r="N1962" i="1"/>
  <c r="M1962" i="1"/>
  <c r="L1962" i="1"/>
  <c r="K1962" i="1"/>
  <c r="J1962" i="1"/>
  <c r="I1962" i="1"/>
  <c r="D1962" i="1"/>
  <c r="C1962" i="1"/>
  <c r="A1962" i="1"/>
  <c r="AE1961" i="1"/>
  <c r="AD1961" i="1"/>
  <c r="AC1961" i="1"/>
  <c r="AB1961" i="1"/>
  <c r="AA1961" i="1"/>
  <c r="Z1961" i="1"/>
  <c r="Y1961" i="1"/>
  <c r="X1961" i="1"/>
  <c r="W1961" i="1"/>
  <c r="V1961" i="1"/>
  <c r="U1961" i="1"/>
  <c r="T1961" i="1"/>
  <c r="S1961" i="1"/>
  <c r="R1961" i="1"/>
  <c r="Q1961" i="1"/>
  <c r="P1961" i="1"/>
  <c r="O1961" i="1"/>
  <c r="B1961" i="1"/>
  <c r="H1961" i="1"/>
  <c r="G1961" i="1"/>
  <c r="F1961" i="1"/>
  <c r="E1961" i="1"/>
  <c r="N1961" i="1"/>
  <c r="M1961" i="1"/>
  <c r="L1961" i="1"/>
  <c r="K1961" i="1"/>
  <c r="J1961" i="1"/>
  <c r="I1961" i="1"/>
  <c r="D1961" i="1"/>
  <c r="C1961" i="1"/>
  <c r="A1961" i="1"/>
  <c r="AE1960" i="1"/>
  <c r="AD1960" i="1"/>
  <c r="AC1960" i="1"/>
  <c r="AB1960" i="1"/>
  <c r="AA1960" i="1"/>
  <c r="Z1960" i="1"/>
  <c r="Y1960" i="1"/>
  <c r="X1960" i="1"/>
  <c r="W1960" i="1"/>
  <c r="V1960" i="1"/>
  <c r="U1960" i="1"/>
  <c r="T1960" i="1"/>
  <c r="S1960" i="1"/>
  <c r="R1960" i="1"/>
  <c r="Q1960" i="1"/>
  <c r="P1960" i="1"/>
  <c r="O1960" i="1"/>
  <c r="B1960" i="1"/>
  <c r="H1960" i="1"/>
  <c r="G1960" i="1"/>
  <c r="F1960" i="1"/>
  <c r="E1960" i="1"/>
  <c r="N1960" i="1"/>
  <c r="M1960" i="1"/>
  <c r="L1960" i="1"/>
  <c r="K1960" i="1"/>
  <c r="J1960" i="1"/>
  <c r="I1960" i="1"/>
  <c r="D1960" i="1"/>
  <c r="C1960" i="1"/>
  <c r="A1960" i="1"/>
  <c r="AE1959" i="1"/>
  <c r="AD1959" i="1"/>
  <c r="AC1959" i="1"/>
  <c r="AB1959" i="1"/>
  <c r="AA1959" i="1"/>
  <c r="Z1959" i="1"/>
  <c r="Y1959" i="1"/>
  <c r="X1959" i="1"/>
  <c r="W1959" i="1"/>
  <c r="V1959" i="1"/>
  <c r="U1959" i="1"/>
  <c r="T1959" i="1"/>
  <c r="S1959" i="1"/>
  <c r="R1959" i="1"/>
  <c r="Q1959" i="1"/>
  <c r="P1959" i="1"/>
  <c r="O1959" i="1"/>
  <c r="B1959" i="1"/>
  <c r="H1959" i="1"/>
  <c r="G1959" i="1"/>
  <c r="F1959" i="1"/>
  <c r="E1959" i="1"/>
  <c r="N1959" i="1"/>
  <c r="M1959" i="1"/>
  <c r="L1959" i="1"/>
  <c r="K1959" i="1"/>
  <c r="J1959" i="1"/>
  <c r="I1959" i="1"/>
  <c r="D1959" i="1"/>
  <c r="C1959" i="1"/>
  <c r="A1959" i="1"/>
  <c r="AE1958" i="1"/>
  <c r="AD1958" i="1"/>
  <c r="AC1958" i="1"/>
  <c r="AB1958" i="1"/>
  <c r="AA1958" i="1"/>
  <c r="Z1958" i="1"/>
  <c r="Y1958" i="1"/>
  <c r="X1958" i="1"/>
  <c r="W1958" i="1"/>
  <c r="V1958" i="1"/>
  <c r="U1958" i="1"/>
  <c r="T1958" i="1"/>
  <c r="S1958" i="1"/>
  <c r="R1958" i="1"/>
  <c r="Q1958" i="1"/>
  <c r="P1958" i="1"/>
  <c r="O1958" i="1"/>
  <c r="B1958" i="1"/>
  <c r="H1958" i="1"/>
  <c r="G1958" i="1"/>
  <c r="F1958" i="1"/>
  <c r="E1958" i="1"/>
  <c r="N1958" i="1"/>
  <c r="M1958" i="1"/>
  <c r="L1958" i="1"/>
  <c r="K1958" i="1"/>
  <c r="J1958" i="1"/>
  <c r="I1958" i="1"/>
  <c r="D1958" i="1"/>
  <c r="C1958" i="1"/>
  <c r="A1958" i="1"/>
  <c r="AE1957" i="1"/>
  <c r="AD1957" i="1"/>
  <c r="AC1957" i="1"/>
  <c r="AB1957" i="1"/>
  <c r="AA1957" i="1"/>
  <c r="Z1957" i="1"/>
  <c r="Y1957" i="1"/>
  <c r="X1957" i="1"/>
  <c r="W1957" i="1"/>
  <c r="V1957" i="1"/>
  <c r="U1957" i="1"/>
  <c r="T1957" i="1"/>
  <c r="S1957" i="1"/>
  <c r="R1957" i="1"/>
  <c r="Q1957" i="1"/>
  <c r="P1957" i="1"/>
  <c r="O1957" i="1"/>
  <c r="B1957" i="1"/>
  <c r="H1957" i="1"/>
  <c r="G1957" i="1"/>
  <c r="F1957" i="1"/>
  <c r="E1957" i="1"/>
  <c r="N1957" i="1"/>
  <c r="M1957" i="1"/>
  <c r="L1957" i="1"/>
  <c r="K1957" i="1"/>
  <c r="J1957" i="1"/>
  <c r="I1957" i="1"/>
  <c r="D1957" i="1"/>
  <c r="C1957" i="1"/>
  <c r="A1957" i="1"/>
  <c r="AE1956" i="1"/>
  <c r="AD1956" i="1"/>
  <c r="AC1956" i="1"/>
  <c r="AB1956" i="1"/>
  <c r="AA1956" i="1"/>
  <c r="Z1956" i="1"/>
  <c r="Y1956" i="1"/>
  <c r="X1956" i="1"/>
  <c r="W1956" i="1"/>
  <c r="V1956" i="1"/>
  <c r="U1956" i="1"/>
  <c r="T1956" i="1"/>
  <c r="S1956" i="1"/>
  <c r="R1956" i="1"/>
  <c r="Q1956" i="1"/>
  <c r="P1956" i="1"/>
  <c r="O1956" i="1"/>
  <c r="B1956" i="1"/>
  <c r="H1956" i="1"/>
  <c r="G1956" i="1"/>
  <c r="F1956" i="1"/>
  <c r="E1956" i="1"/>
  <c r="N1956" i="1"/>
  <c r="M1956" i="1"/>
  <c r="L1956" i="1"/>
  <c r="K1956" i="1"/>
  <c r="J1956" i="1"/>
  <c r="I1956" i="1"/>
  <c r="D1956" i="1"/>
  <c r="C1956" i="1"/>
  <c r="A1956" i="1"/>
  <c r="AE1955" i="1"/>
  <c r="AD1955" i="1"/>
  <c r="AC1955" i="1"/>
  <c r="AB1955" i="1"/>
  <c r="AA1955" i="1"/>
  <c r="Z1955" i="1"/>
  <c r="Y1955" i="1"/>
  <c r="X1955" i="1"/>
  <c r="W1955" i="1"/>
  <c r="V1955" i="1"/>
  <c r="U1955" i="1"/>
  <c r="T1955" i="1"/>
  <c r="S1955" i="1"/>
  <c r="R1955" i="1"/>
  <c r="Q1955" i="1"/>
  <c r="P1955" i="1"/>
  <c r="O1955" i="1"/>
  <c r="B1955" i="1"/>
  <c r="H1955" i="1"/>
  <c r="G1955" i="1"/>
  <c r="F1955" i="1"/>
  <c r="E1955" i="1"/>
  <c r="N1955" i="1"/>
  <c r="M1955" i="1"/>
  <c r="L1955" i="1"/>
  <c r="K1955" i="1"/>
  <c r="J1955" i="1"/>
  <c r="I1955" i="1"/>
  <c r="D1955" i="1"/>
  <c r="C1955" i="1"/>
  <c r="A1955" i="1"/>
  <c r="AE1954" i="1"/>
  <c r="AD1954" i="1"/>
  <c r="AC1954" i="1"/>
  <c r="AB1954" i="1"/>
  <c r="AA1954" i="1"/>
  <c r="Z1954" i="1"/>
  <c r="Y1954" i="1"/>
  <c r="X1954" i="1"/>
  <c r="W1954" i="1"/>
  <c r="V1954" i="1"/>
  <c r="U1954" i="1"/>
  <c r="T1954" i="1"/>
  <c r="S1954" i="1"/>
  <c r="R1954" i="1"/>
  <c r="Q1954" i="1"/>
  <c r="P1954" i="1"/>
  <c r="O1954" i="1"/>
  <c r="B1954" i="1"/>
  <c r="H1954" i="1"/>
  <c r="G1954" i="1"/>
  <c r="F1954" i="1"/>
  <c r="E1954" i="1"/>
  <c r="N1954" i="1"/>
  <c r="M1954" i="1"/>
  <c r="L1954" i="1"/>
  <c r="K1954" i="1"/>
  <c r="J1954" i="1"/>
  <c r="I1954" i="1"/>
  <c r="D1954" i="1"/>
  <c r="C1954" i="1"/>
  <c r="A1954" i="1"/>
  <c r="AE1953" i="1"/>
  <c r="AD1953" i="1"/>
  <c r="AC1953" i="1"/>
  <c r="AB1953" i="1"/>
  <c r="AA1953" i="1"/>
  <c r="Z1953" i="1"/>
  <c r="Y1953" i="1"/>
  <c r="X1953" i="1"/>
  <c r="W1953" i="1"/>
  <c r="V1953" i="1"/>
  <c r="U1953" i="1"/>
  <c r="T1953" i="1"/>
  <c r="S1953" i="1"/>
  <c r="R1953" i="1"/>
  <c r="Q1953" i="1"/>
  <c r="P1953" i="1"/>
  <c r="O1953" i="1"/>
  <c r="B1953" i="1"/>
  <c r="H1953" i="1"/>
  <c r="G1953" i="1"/>
  <c r="F1953" i="1"/>
  <c r="E1953" i="1"/>
  <c r="N1953" i="1"/>
  <c r="M1953" i="1"/>
  <c r="L1953" i="1"/>
  <c r="K1953" i="1"/>
  <c r="J1953" i="1"/>
  <c r="I1953" i="1"/>
  <c r="D1953" i="1"/>
  <c r="C1953" i="1"/>
  <c r="A1953" i="1"/>
  <c r="AE1952" i="1"/>
  <c r="AD1952" i="1"/>
  <c r="AC1952" i="1"/>
  <c r="AB1952" i="1"/>
  <c r="AA1952" i="1"/>
  <c r="Z1952" i="1"/>
  <c r="Y1952" i="1"/>
  <c r="X1952" i="1"/>
  <c r="W1952" i="1"/>
  <c r="V1952" i="1"/>
  <c r="U1952" i="1"/>
  <c r="T1952" i="1"/>
  <c r="S1952" i="1"/>
  <c r="R1952" i="1"/>
  <c r="Q1952" i="1"/>
  <c r="P1952" i="1"/>
  <c r="O1952" i="1"/>
  <c r="B1952" i="1"/>
  <c r="H1952" i="1"/>
  <c r="G1952" i="1"/>
  <c r="F1952" i="1"/>
  <c r="E1952" i="1"/>
  <c r="N1952" i="1"/>
  <c r="M1952" i="1"/>
  <c r="L1952" i="1"/>
  <c r="K1952" i="1"/>
  <c r="J1952" i="1"/>
  <c r="I1952" i="1"/>
  <c r="D1952" i="1"/>
  <c r="C1952" i="1"/>
  <c r="A1952" i="1"/>
  <c r="AE1951" i="1"/>
  <c r="AD1951" i="1"/>
  <c r="AC1951" i="1"/>
  <c r="AB1951" i="1"/>
  <c r="AA1951" i="1"/>
  <c r="Z1951" i="1"/>
  <c r="Y1951" i="1"/>
  <c r="X1951" i="1"/>
  <c r="W1951" i="1"/>
  <c r="V1951" i="1"/>
  <c r="U1951" i="1"/>
  <c r="T1951" i="1"/>
  <c r="S1951" i="1"/>
  <c r="R1951" i="1"/>
  <c r="Q1951" i="1"/>
  <c r="P1951" i="1"/>
  <c r="O1951" i="1"/>
  <c r="B1951" i="1"/>
  <c r="H1951" i="1"/>
  <c r="G1951" i="1"/>
  <c r="F1951" i="1"/>
  <c r="E1951" i="1"/>
  <c r="N1951" i="1"/>
  <c r="M1951" i="1"/>
  <c r="L1951" i="1"/>
  <c r="K1951" i="1"/>
  <c r="J1951" i="1"/>
  <c r="I1951" i="1"/>
  <c r="D1951" i="1"/>
  <c r="C1951" i="1"/>
  <c r="A1951" i="1"/>
  <c r="AE1950" i="1"/>
  <c r="AD1950" i="1"/>
  <c r="AC1950" i="1"/>
  <c r="AB1950" i="1"/>
  <c r="AA1950" i="1"/>
  <c r="Z1950" i="1"/>
  <c r="Y1950" i="1"/>
  <c r="X1950" i="1"/>
  <c r="W1950" i="1"/>
  <c r="V1950" i="1"/>
  <c r="U1950" i="1"/>
  <c r="T1950" i="1"/>
  <c r="S1950" i="1"/>
  <c r="R1950" i="1"/>
  <c r="Q1950" i="1"/>
  <c r="P1950" i="1"/>
  <c r="O1950" i="1"/>
  <c r="B1950" i="1"/>
  <c r="H1950" i="1"/>
  <c r="G1950" i="1"/>
  <c r="F1950" i="1"/>
  <c r="E1950" i="1"/>
  <c r="N1950" i="1"/>
  <c r="M1950" i="1"/>
  <c r="L1950" i="1"/>
  <c r="K1950" i="1"/>
  <c r="J1950" i="1"/>
  <c r="I1950" i="1"/>
  <c r="D1950" i="1"/>
  <c r="C1950" i="1"/>
  <c r="A1950" i="1"/>
  <c r="AE1949" i="1"/>
  <c r="AD1949" i="1"/>
  <c r="AC1949" i="1"/>
  <c r="AB1949" i="1"/>
  <c r="AA1949" i="1"/>
  <c r="Z1949" i="1"/>
  <c r="Y1949" i="1"/>
  <c r="X1949" i="1"/>
  <c r="W1949" i="1"/>
  <c r="V1949" i="1"/>
  <c r="U1949" i="1"/>
  <c r="T1949" i="1"/>
  <c r="S1949" i="1"/>
  <c r="R1949" i="1"/>
  <c r="Q1949" i="1"/>
  <c r="P1949" i="1"/>
  <c r="O1949" i="1"/>
  <c r="B1949" i="1"/>
  <c r="H1949" i="1"/>
  <c r="G1949" i="1"/>
  <c r="F1949" i="1"/>
  <c r="E1949" i="1"/>
  <c r="N1949" i="1"/>
  <c r="M1949" i="1"/>
  <c r="L1949" i="1"/>
  <c r="K1949" i="1"/>
  <c r="J1949" i="1"/>
  <c r="I1949" i="1"/>
  <c r="D1949" i="1"/>
  <c r="C1949" i="1"/>
  <c r="A1949" i="1"/>
  <c r="AE1948" i="1"/>
  <c r="AD1948" i="1"/>
  <c r="AC1948" i="1"/>
  <c r="AB1948" i="1"/>
  <c r="AA1948" i="1"/>
  <c r="Z1948" i="1"/>
  <c r="Y1948" i="1"/>
  <c r="X1948" i="1"/>
  <c r="W1948" i="1"/>
  <c r="V1948" i="1"/>
  <c r="U1948" i="1"/>
  <c r="T1948" i="1"/>
  <c r="S1948" i="1"/>
  <c r="R1948" i="1"/>
  <c r="Q1948" i="1"/>
  <c r="P1948" i="1"/>
  <c r="O1948" i="1"/>
  <c r="B1948" i="1"/>
  <c r="H1948" i="1"/>
  <c r="G1948" i="1"/>
  <c r="F1948" i="1"/>
  <c r="E1948" i="1"/>
  <c r="N1948" i="1"/>
  <c r="M1948" i="1"/>
  <c r="L1948" i="1"/>
  <c r="K1948" i="1"/>
  <c r="J1948" i="1"/>
  <c r="I1948" i="1"/>
  <c r="D1948" i="1"/>
  <c r="C1948" i="1"/>
  <c r="A1948" i="1"/>
  <c r="AE1947" i="1"/>
  <c r="AD1947" i="1"/>
  <c r="AC1947" i="1"/>
  <c r="AB1947" i="1"/>
  <c r="AA1947" i="1"/>
  <c r="Z1947" i="1"/>
  <c r="Y1947" i="1"/>
  <c r="X1947" i="1"/>
  <c r="W1947" i="1"/>
  <c r="V1947" i="1"/>
  <c r="U1947" i="1"/>
  <c r="T1947" i="1"/>
  <c r="S1947" i="1"/>
  <c r="R1947" i="1"/>
  <c r="Q1947" i="1"/>
  <c r="P1947" i="1"/>
  <c r="O1947" i="1"/>
  <c r="B1947" i="1"/>
  <c r="H1947" i="1"/>
  <c r="G1947" i="1"/>
  <c r="F1947" i="1"/>
  <c r="E1947" i="1"/>
  <c r="N1947" i="1"/>
  <c r="M1947" i="1"/>
  <c r="L1947" i="1"/>
  <c r="K1947" i="1"/>
  <c r="J1947" i="1"/>
  <c r="I1947" i="1"/>
  <c r="D1947" i="1"/>
  <c r="C1947" i="1"/>
  <c r="A1947" i="1"/>
  <c r="AE1946" i="1"/>
  <c r="AD1946" i="1"/>
  <c r="AC1946" i="1"/>
  <c r="AB1946" i="1"/>
  <c r="AA1946" i="1"/>
  <c r="Z1946" i="1"/>
  <c r="Y1946" i="1"/>
  <c r="X1946" i="1"/>
  <c r="W1946" i="1"/>
  <c r="V1946" i="1"/>
  <c r="U1946" i="1"/>
  <c r="T1946" i="1"/>
  <c r="S1946" i="1"/>
  <c r="R1946" i="1"/>
  <c r="Q1946" i="1"/>
  <c r="P1946" i="1"/>
  <c r="O1946" i="1"/>
  <c r="B1946" i="1"/>
  <c r="H1946" i="1"/>
  <c r="G1946" i="1"/>
  <c r="F1946" i="1"/>
  <c r="E1946" i="1"/>
  <c r="N1946" i="1"/>
  <c r="M1946" i="1"/>
  <c r="L1946" i="1"/>
  <c r="K1946" i="1"/>
  <c r="J1946" i="1"/>
  <c r="I1946" i="1"/>
  <c r="D1946" i="1"/>
  <c r="C1946" i="1"/>
  <c r="A1946" i="1"/>
  <c r="AE1945" i="1"/>
  <c r="AD1945" i="1"/>
  <c r="AC1945" i="1"/>
  <c r="AB1945" i="1"/>
  <c r="AA1945" i="1"/>
  <c r="Z1945" i="1"/>
  <c r="Y1945" i="1"/>
  <c r="X1945" i="1"/>
  <c r="W1945" i="1"/>
  <c r="V1945" i="1"/>
  <c r="U1945" i="1"/>
  <c r="T1945" i="1"/>
  <c r="S1945" i="1"/>
  <c r="R1945" i="1"/>
  <c r="Q1945" i="1"/>
  <c r="P1945" i="1"/>
  <c r="O1945" i="1"/>
  <c r="B1945" i="1"/>
  <c r="H1945" i="1"/>
  <c r="G1945" i="1"/>
  <c r="F1945" i="1"/>
  <c r="E1945" i="1"/>
  <c r="N1945" i="1"/>
  <c r="M1945" i="1"/>
  <c r="L1945" i="1"/>
  <c r="K1945" i="1"/>
  <c r="J1945" i="1"/>
  <c r="I1945" i="1"/>
  <c r="D1945" i="1"/>
  <c r="C1945" i="1"/>
  <c r="A1945" i="1"/>
  <c r="AE1944" i="1"/>
  <c r="AD1944" i="1"/>
  <c r="AC1944" i="1"/>
  <c r="AB1944" i="1"/>
  <c r="AA1944" i="1"/>
  <c r="Z1944" i="1"/>
  <c r="Y1944" i="1"/>
  <c r="X1944" i="1"/>
  <c r="W1944" i="1"/>
  <c r="V1944" i="1"/>
  <c r="U1944" i="1"/>
  <c r="T1944" i="1"/>
  <c r="S1944" i="1"/>
  <c r="R1944" i="1"/>
  <c r="Q1944" i="1"/>
  <c r="P1944" i="1"/>
  <c r="O1944" i="1"/>
  <c r="B1944" i="1"/>
  <c r="H1944" i="1"/>
  <c r="G1944" i="1"/>
  <c r="F1944" i="1"/>
  <c r="E1944" i="1"/>
  <c r="N1944" i="1"/>
  <c r="M1944" i="1"/>
  <c r="L1944" i="1"/>
  <c r="K1944" i="1"/>
  <c r="J1944" i="1"/>
  <c r="I1944" i="1"/>
  <c r="D1944" i="1"/>
  <c r="C1944" i="1"/>
  <c r="A1944" i="1"/>
  <c r="AE1943" i="1"/>
  <c r="AD1943" i="1"/>
  <c r="AC1943" i="1"/>
  <c r="AB1943" i="1"/>
  <c r="AA1943" i="1"/>
  <c r="Z1943" i="1"/>
  <c r="Y1943" i="1"/>
  <c r="X1943" i="1"/>
  <c r="W1943" i="1"/>
  <c r="V1943" i="1"/>
  <c r="U1943" i="1"/>
  <c r="T1943" i="1"/>
  <c r="S1943" i="1"/>
  <c r="R1943" i="1"/>
  <c r="Q1943" i="1"/>
  <c r="P1943" i="1"/>
  <c r="O1943" i="1"/>
  <c r="B1943" i="1"/>
  <c r="H1943" i="1"/>
  <c r="G1943" i="1"/>
  <c r="F1943" i="1"/>
  <c r="E1943" i="1"/>
  <c r="N1943" i="1"/>
  <c r="M1943" i="1"/>
  <c r="L1943" i="1"/>
  <c r="K1943" i="1"/>
  <c r="J1943" i="1"/>
  <c r="I1943" i="1"/>
  <c r="D1943" i="1"/>
  <c r="C1943" i="1"/>
  <c r="A1943" i="1"/>
  <c r="AE1942" i="1"/>
  <c r="AD1942" i="1"/>
  <c r="AC1942" i="1"/>
  <c r="AB1942" i="1"/>
  <c r="AA1942" i="1"/>
  <c r="Z1942" i="1"/>
  <c r="Y1942" i="1"/>
  <c r="X1942" i="1"/>
  <c r="W1942" i="1"/>
  <c r="V1942" i="1"/>
  <c r="U1942" i="1"/>
  <c r="T1942" i="1"/>
  <c r="S1942" i="1"/>
  <c r="R1942" i="1"/>
  <c r="Q1942" i="1"/>
  <c r="P1942" i="1"/>
  <c r="O1942" i="1"/>
  <c r="B1942" i="1"/>
  <c r="H1942" i="1"/>
  <c r="G1942" i="1"/>
  <c r="F1942" i="1"/>
  <c r="E1942" i="1"/>
  <c r="M1942" i="1"/>
  <c r="L1942" i="1"/>
  <c r="K1942" i="1"/>
  <c r="J1942" i="1"/>
  <c r="I1942" i="1"/>
  <c r="D1942" i="1"/>
  <c r="C1942" i="1"/>
  <c r="A1942" i="1"/>
  <c r="AE1941" i="1"/>
  <c r="AD1941" i="1"/>
  <c r="AC1941" i="1"/>
  <c r="AB1941" i="1"/>
  <c r="AA1941" i="1"/>
  <c r="Z1941" i="1"/>
  <c r="Y1941" i="1"/>
  <c r="X1941" i="1"/>
  <c r="W1941" i="1"/>
  <c r="V1941" i="1"/>
  <c r="U1941" i="1"/>
  <c r="T1941" i="1"/>
  <c r="S1941" i="1"/>
  <c r="R1941" i="1"/>
  <c r="Q1941" i="1"/>
  <c r="P1941" i="1"/>
  <c r="O1941" i="1"/>
  <c r="B1941" i="1"/>
  <c r="H1941" i="1"/>
  <c r="G1941" i="1"/>
  <c r="F1941" i="1"/>
  <c r="E1941" i="1"/>
  <c r="N1941" i="1"/>
  <c r="M1941" i="1"/>
  <c r="L1941" i="1"/>
  <c r="K1941" i="1"/>
  <c r="J1941" i="1"/>
  <c r="I1941" i="1"/>
  <c r="D1941" i="1"/>
  <c r="C1941" i="1"/>
  <c r="A1941" i="1"/>
  <c r="AE1940" i="1"/>
  <c r="AD1940" i="1"/>
  <c r="AC1940" i="1"/>
  <c r="AB1940" i="1"/>
  <c r="AA1940" i="1"/>
  <c r="Z1940" i="1"/>
  <c r="Y1940" i="1"/>
  <c r="X1940" i="1"/>
  <c r="W1940" i="1"/>
  <c r="V1940" i="1"/>
  <c r="U1940" i="1"/>
  <c r="T1940" i="1"/>
  <c r="S1940" i="1"/>
  <c r="R1940" i="1"/>
  <c r="Q1940" i="1"/>
  <c r="P1940" i="1"/>
  <c r="O1940" i="1"/>
  <c r="B1940" i="1"/>
  <c r="H1940" i="1"/>
  <c r="G1940" i="1"/>
  <c r="F1940" i="1"/>
  <c r="E1940" i="1"/>
  <c r="N1940" i="1"/>
  <c r="M1940" i="1"/>
  <c r="L1940" i="1"/>
  <c r="K1940" i="1"/>
  <c r="J1940" i="1"/>
  <c r="I1940" i="1"/>
  <c r="D1940" i="1"/>
  <c r="C1940" i="1"/>
  <c r="A1940" i="1"/>
  <c r="AE1939" i="1"/>
  <c r="AD1939" i="1"/>
  <c r="AC1939" i="1"/>
  <c r="AB1939" i="1"/>
  <c r="AA1939" i="1"/>
  <c r="Z1939" i="1"/>
  <c r="Y1939" i="1"/>
  <c r="X1939" i="1"/>
  <c r="W1939" i="1"/>
  <c r="V1939" i="1"/>
  <c r="U1939" i="1"/>
  <c r="T1939" i="1"/>
  <c r="S1939" i="1"/>
  <c r="R1939" i="1"/>
  <c r="Q1939" i="1"/>
  <c r="P1939" i="1"/>
  <c r="O1939" i="1"/>
  <c r="B1939" i="1"/>
  <c r="H1939" i="1"/>
  <c r="G1939" i="1"/>
  <c r="F1939" i="1"/>
  <c r="E1939" i="1"/>
  <c r="N1939" i="1"/>
  <c r="M1939" i="1"/>
  <c r="L1939" i="1"/>
  <c r="K1939" i="1"/>
  <c r="J1939" i="1"/>
  <c r="I1939" i="1"/>
  <c r="D1939" i="1"/>
  <c r="C1939" i="1"/>
  <c r="A1939" i="1"/>
  <c r="AE1938" i="1"/>
  <c r="AD1938" i="1"/>
  <c r="AC1938" i="1"/>
  <c r="AB1938" i="1"/>
  <c r="AA1938" i="1"/>
  <c r="Z1938" i="1"/>
  <c r="Y1938" i="1"/>
  <c r="X1938" i="1"/>
  <c r="W1938" i="1"/>
  <c r="V1938" i="1"/>
  <c r="U1938" i="1"/>
  <c r="T1938" i="1"/>
  <c r="S1938" i="1"/>
  <c r="R1938" i="1"/>
  <c r="Q1938" i="1"/>
  <c r="P1938" i="1"/>
  <c r="O1938" i="1"/>
  <c r="B1938" i="1"/>
  <c r="H1938" i="1"/>
  <c r="G1938" i="1"/>
  <c r="F1938" i="1"/>
  <c r="E1938" i="1"/>
  <c r="N1938" i="1"/>
  <c r="M1938" i="1"/>
  <c r="L1938" i="1"/>
  <c r="K1938" i="1"/>
  <c r="J1938" i="1"/>
  <c r="I1938" i="1"/>
  <c r="D1938" i="1"/>
  <c r="C1938" i="1"/>
  <c r="A1938" i="1"/>
  <c r="AE1937" i="1"/>
  <c r="AD1937" i="1"/>
  <c r="AC1937" i="1"/>
  <c r="AB1937" i="1"/>
  <c r="AA1937" i="1"/>
  <c r="Z1937" i="1"/>
  <c r="Y1937" i="1"/>
  <c r="X1937" i="1"/>
  <c r="W1937" i="1"/>
  <c r="V1937" i="1"/>
  <c r="U1937" i="1"/>
  <c r="T1937" i="1"/>
  <c r="S1937" i="1"/>
  <c r="R1937" i="1"/>
  <c r="Q1937" i="1"/>
  <c r="P1937" i="1"/>
  <c r="O1937" i="1"/>
  <c r="B1937" i="1"/>
  <c r="H1937" i="1"/>
  <c r="G1937" i="1"/>
  <c r="F1937" i="1"/>
  <c r="E1937" i="1"/>
  <c r="N1937" i="1"/>
  <c r="M1937" i="1"/>
  <c r="L1937" i="1"/>
  <c r="K1937" i="1"/>
  <c r="J1937" i="1"/>
  <c r="I1937" i="1"/>
  <c r="D1937" i="1"/>
  <c r="C1937" i="1"/>
  <c r="A1937" i="1"/>
  <c r="AE1936" i="1"/>
  <c r="AD1936" i="1"/>
  <c r="AC1936" i="1"/>
  <c r="AB1936" i="1"/>
  <c r="AA1936" i="1"/>
  <c r="Z1936" i="1"/>
  <c r="Y1936" i="1"/>
  <c r="X1936" i="1"/>
  <c r="W1936" i="1"/>
  <c r="V1936" i="1"/>
  <c r="U1936" i="1"/>
  <c r="T1936" i="1"/>
  <c r="S1936" i="1"/>
  <c r="R1936" i="1"/>
  <c r="Q1936" i="1"/>
  <c r="P1936" i="1"/>
  <c r="O1936" i="1"/>
  <c r="B1936" i="1"/>
  <c r="H1936" i="1"/>
  <c r="G1936" i="1"/>
  <c r="F1936" i="1"/>
  <c r="E1936" i="1"/>
  <c r="N1936" i="1"/>
  <c r="M1936" i="1"/>
  <c r="L1936" i="1"/>
  <c r="K1936" i="1"/>
  <c r="J1936" i="1"/>
  <c r="I1936" i="1"/>
  <c r="D1936" i="1"/>
  <c r="C1936" i="1"/>
  <c r="A1936" i="1"/>
  <c r="AE1935" i="1"/>
  <c r="AD1935" i="1"/>
  <c r="AC1935" i="1"/>
  <c r="AB1935" i="1"/>
  <c r="AA1935" i="1"/>
  <c r="Z1935" i="1"/>
  <c r="Y1935" i="1"/>
  <c r="X1935" i="1"/>
  <c r="W1935" i="1"/>
  <c r="V1935" i="1"/>
  <c r="U1935" i="1"/>
  <c r="T1935" i="1"/>
  <c r="S1935" i="1"/>
  <c r="R1935" i="1"/>
  <c r="Q1935" i="1"/>
  <c r="P1935" i="1"/>
  <c r="O1935" i="1"/>
  <c r="B1935" i="1"/>
  <c r="H1935" i="1"/>
  <c r="G1935" i="1"/>
  <c r="F1935" i="1"/>
  <c r="E1935" i="1"/>
  <c r="N1935" i="1"/>
  <c r="M1935" i="1"/>
  <c r="L1935" i="1"/>
  <c r="K1935" i="1"/>
  <c r="J1935" i="1"/>
  <c r="I1935" i="1"/>
  <c r="D1935" i="1"/>
  <c r="C1935" i="1"/>
  <c r="A1935" i="1"/>
  <c r="AE1934" i="1"/>
  <c r="AD1934" i="1"/>
  <c r="AC1934" i="1"/>
  <c r="AB1934" i="1"/>
  <c r="AA1934" i="1"/>
  <c r="Z1934" i="1"/>
  <c r="Y1934" i="1"/>
  <c r="X1934" i="1"/>
  <c r="W1934" i="1"/>
  <c r="V1934" i="1"/>
  <c r="U1934" i="1"/>
  <c r="T1934" i="1"/>
  <c r="S1934" i="1"/>
  <c r="R1934" i="1"/>
  <c r="Q1934" i="1"/>
  <c r="P1934" i="1"/>
  <c r="O1934" i="1"/>
  <c r="B1934" i="1"/>
  <c r="H1934" i="1"/>
  <c r="G1934" i="1"/>
  <c r="F1934" i="1"/>
  <c r="E1934" i="1"/>
  <c r="N1934" i="1"/>
  <c r="M1934" i="1"/>
  <c r="L1934" i="1"/>
  <c r="K1934" i="1"/>
  <c r="J1934" i="1"/>
  <c r="I1934" i="1"/>
  <c r="D1934" i="1"/>
  <c r="C1934" i="1"/>
  <c r="A1934" i="1"/>
  <c r="AE1933" i="1"/>
  <c r="AD1933" i="1"/>
  <c r="AC1933" i="1"/>
  <c r="AB1933" i="1"/>
  <c r="AA1933" i="1"/>
  <c r="Z1933" i="1"/>
  <c r="Y1933" i="1"/>
  <c r="X1933" i="1"/>
  <c r="W1933" i="1"/>
  <c r="V1933" i="1"/>
  <c r="U1933" i="1"/>
  <c r="T1933" i="1"/>
  <c r="S1933" i="1"/>
  <c r="R1933" i="1"/>
  <c r="Q1933" i="1"/>
  <c r="P1933" i="1"/>
  <c r="O1933" i="1"/>
  <c r="B1933" i="1"/>
  <c r="H1933" i="1"/>
  <c r="G1933" i="1"/>
  <c r="F1933" i="1"/>
  <c r="E1933" i="1"/>
  <c r="N1933" i="1"/>
  <c r="M1933" i="1"/>
  <c r="L1933" i="1"/>
  <c r="K1933" i="1"/>
  <c r="J1933" i="1"/>
  <c r="I1933" i="1"/>
  <c r="D1933" i="1"/>
  <c r="C1933" i="1"/>
  <c r="A1933" i="1"/>
  <c r="AE1932" i="1"/>
  <c r="AD1932" i="1"/>
  <c r="AC1932" i="1"/>
  <c r="AB1932" i="1"/>
  <c r="AA1932" i="1"/>
  <c r="Z1932" i="1"/>
  <c r="Y1932" i="1"/>
  <c r="X1932" i="1"/>
  <c r="W1932" i="1"/>
  <c r="V1932" i="1"/>
  <c r="U1932" i="1"/>
  <c r="T1932" i="1"/>
  <c r="S1932" i="1"/>
  <c r="R1932" i="1"/>
  <c r="Q1932" i="1"/>
  <c r="P1932" i="1"/>
  <c r="O1932" i="1"/>
  <c r="B1932" i="1"/>
  <c r="H1932" i="1"/>
  <c r="G1932" i="1"/>
  <c r="F1932" i="1"/>
  <c r="E1932" i="1"/>
  <c r="N1932" i="1"/>
  <c r="M1932" i="1"/>
  <c r="L1932" i="1"/>
  <c r="K1932" i="1"/>
  <c r="J1932" i="1"/>
  <c r="I1932" i="1"/>
  <c r="D1932" i="1"/>
  <c r="C1932" i="1"/>
  <c r="A1932" i="1"/>
  <c r="AE1931" i="1"/>
  <c r="AD1931" i="1"/>
  <c r="AC1931" i="1"/>
  <c r="AB1931" i="1"/>
  <c r="AA1931" i="1"/>
  <c r="Z1931" i="1"/>
  <c r="Y1931" i="1"/>
  <c r="X1931" i="1"/>
  <c r="W1931" i="1"/>
  <c r="V1931" i="1"/>
  <c r="U1931" i="1"/>
  <c r="T1931" i="1"/>
  <c r="S1931" i="1"/>
  <c r="R1931" i="1"/>
  <c r="Q1931" i="1"/>
  <c r="P1931" i="1"/>
  <c r="O1931" i="1"/>
  <c r="B1931" i="1"/>
  <c r="H1931" i="1"/>
  <c r="G1931" i="1"/>
  <c r="F1931" i="1"/>
  <c r="E1931" i="1"/>
  <c r="N1931" i="1"/>
  <c r="M1931" i="1"/>
  <c r="L1931" i="1"/>
  <c r="K1931" i="1"/>
  <c r="J1931" i="1"/>
  <c r="I1931" i="1"/>
  <c r="D1931" i="1"/>
  <c r="C1931" i="1"/>
  <c r="A1931" i="1"/>
  <c r="AE1930" i="1"/>
  <c r="AD1930" i="1"/>
  <c r="AC1930" i="1"/>
  <c r="AB1930" i="1"/>
  <c r="AA1930" i="1"/>
  <c r="Z1930" i="1"/>
  <c r="Y1930" i="1"/>
  <c r="X1930" i="1"/>
  <c r="W1930" i="1"/>
  <c r="V1930" i="1"/>
  <c r="U1930" i="1"/>
  <c r="T1930" i="1"/>
  <c r="S1930" i="1"/>
  <c r="R1930" i="1"/>
  <c r="Q1930" i="1"/>
  <c r="P1930" i="1"/>
  <c r="O1930" i="1"/>
  <c r="B1930" i="1"/>
  <c r="H1930" i="1"/>
  <c r="G1930" i="1"/>
  <c r="F1930" i="1"/>
  <c r="E1930" i="1"/>
  <c r="N1930" i="1"/>
  <c r="M1930" i="1"/>
  <c r="L1930" i="1"/>
  <c r="K1930" i="1"/>
  <c r="J1930" i="1"/>
  <c r="I1930" i="1"/>
  <c r="D1930" i="1"/>
  <c r="C1930" i="1"/>
  <c r="A1930" i="1"/>
  <c r="AE1929" i="1"/>
  <c r="AD1929" i="1"/>
  <c r="AC1929" i="1"/>
  <c r="AB1929" i="1"/>
  <c r="AA1929" i="1"/>
  <c r="Z1929" i="1"/>
  <c r="Y1929" i="1"/>
  <c r="X1929" i="1"/>
  <c r="W1929" i="1"/>
  <c r="V1929" i="1"/>
  <c r="U1929" i="1"/>
  <c r="T1929" i="1"/>
  <c r="S1929" i="1"/>
  <c r="R1929" i="1"/>
  <c r="Q1929" i="1"/>
  <c r="P1929" i="1"/>
  <c r="O1929" i="1"/>
  <c r="B1929" i="1"/>
  <c r="H1929" i="1"/>
  <c r="G1929" i="1"/>
  <c r="F1929" i="1"/>
  <c r="E1929" i="1"/>
  <c r="N1929" i="1"/>
  <c r="M1929" i="1"/>
  <c r="L1929" i="1"/>
  <c r="K1929" i="1"/>
  <c r="J1929" i="1"/>
  <c r="I1929" i="1"/>
  <c r="D1929" i="1"/>
  <c r="C1929" i="1"/>
  <c r="A1929" i="1"/>
  <c r="AE1928" i="1"/>
  <c r="AD1928" i="1"/>
  <c r="AC1928" i="1"/>
  <c r="AB1928" i="1"/>
  <c r="AA1928" i="1"/>
  <c r="Z1928" i="1"/>
  <c r="Y1928" i="1"/>
  <c r="X1928" i="1"/>
  <c r="W1928" i="1"/>
  <c r="V1928" i="1"/>
  <c r="U1928" i="1"/>
  <c r="T1928" i="1"/>
  <c r="S1928" i="1"/>
  <c r="R1928" i="1"/>
  <c r="Q1928" i="1"/>
  <c r="P1928" i="1"/>
  <c r="O1928" i="1"/>
  <c r="B1928" i="1"/>
  <c r="H1928" i="1"/>
  <c r="G1928" i="1"/>
  <c r="F1928" i="1"/>
  <c r="E1928" i="1"/>
  <c r="N1928" i="1"/>
  <c r="M1928" i="1"/>
  <c r="L1928" i="1"/>
  <c r="K1928" i="1"/>
  <c r="J1928" i="1"/>
  <c r="I1928" i="1"/>
  <c r="D1928" i="1"/>
  <c r="C1928" i="1"/>
  <c r="A1928" i="1"/>
  <c r="AE1927" i="1"/>
  <c r="AD1927" i="1"/>
  <c r="AC1927" i="1"/>
  <c r="AB1927" i="1"/>
  <c r="AA1927" i="1"/>
  <c r="Z1927" i="1"/>
  <c r="Y1927" i="1"/>
  <c r="X1927" i="1"/>
  <c r="W1927" i="1"/>
  <c r="V1927" i="1"/>
  <c r="U1927" i="1"/>
  <c r="T1927" i="1"/>
  <c r="S1927" i="1"/>
  <c r="R1927" i="1"/>
  <c r="Q1927" i="1"/>
  <c r="P1927" i="1"/>
  <c r="O1927" i="1"/>
  <c r="B1927" i="1"/>
  <c r="H1927" i="1"/>
  <c r="G1927" i="1"/>
  <c r="F1927" i="1"/>
  <c r="E1927" i="1"/>
  <c r="N1927" i="1"/>
  <c r="M1927" i="1"/>
  <c r="L1927" i="1"/>
  <c r="K1927" i="1"/>
  <c r="J1927" i="1"/>
  <c r="I1927" i="1"/>
  <c r="D1927" i="1"/>
  <c r="C1927" i="1"/>
  <c r="A1927" i="1"/>
  <c r="AE1926" i="1"/>
  <c r="AD1926" i="1"/>
  <c r="AC1926" i="1"/>
  <c r="AB1926" i="1"/>
  <c r="AA1926" i="1"/>
  <c r="Z1926" i="1"/>
  <c r="Y1926" i="1"/>
  <c r="X1926" i="1"/>
  <c r="W1926" i="1"/>
  <c r="V1926" i="1"/>
  <c r="U1926" i="1"/>
  <c r="T1926" i="1"/>
  <c r="S1926" i="1"/>
  <c r="R1926" i="1"/>
  <c r="Q1926" i="1"/>
  <c r="P1926" i="1"/>
  <c r="O1926" i="1"/>
  <c r="B1926" i="1"/>
  <c r="H1926" i="1"/>
  <c r="G1926" i="1"/>
  <c r="F1926" i="1"/>
  <c r="E1926" i="1"/>
  <c r="N1926" i="1"/>
  <c r="M1926" i="1"/>
  <c r="L1926" i="1"/>
  <c r="K1926" i="1"/>
  <c r="J1926" i="1"/>
  <c r="I1926" i="1"/>
  <c r="D1926" i="1"/>
  <c r="C1926" i="1"/>
  <c r="A1926" i="1"/>
  <c r="AE1925" i="1"/>
  <c r="AD1925" i="1"/>
  <c r="AC1925" i="1"/>
  <c r="AB1925" i="1"/>
  <c r="AA1925" i="1"/>
  <c r="Z1925" i="1"/>
  <c r="Y1925" i="1"/>
  <c r="X1925" i="1"/>
  <c r="W1925" i="1"/>
  <c r="V1925" i="1"/>
  <c r="U1925" i="1"/>
  <c r="T1925" i="1"/>
  <c r="S1925" i="1"/>
  <c r="R1925" i="1"/>
  <c r="Q1925" i="1"/>
  <c r="P1925" i="1"/>
  <c r="O1925" i="1"/>
  <c r="B1925" i="1"/>
  <c r="H1925" i="1"/>
  <c r="G1925" i="1"/>
  <c r="F1925" i="1"/>
  <c r="E1925" i="1"/>
  <c r="N1925" i="1"/>
  <c r="M1925" i="1"/>
  <c r="L1925" i="1"/>
  <c r="K1925" i="1"/>
  <c r="J1925" i="1"/>
  <c r="I1925" i="1"/>
  <c r="D1925" i="1"/>
  <c r="C1925" i="1"/>
  <c r="A1925" i="1"/>
  <c r="AE1924" i="1"/>
  <c r="AD1924" i="1"/>
  <c r="AC1924" i="1"/>
  <c r="AB1924" i="1"/>
  <c r="AA1924" i="1"/>
  <c r="Z1924" i="1"/>
  <c r="Y1924" i="1"/>
  <c r="X1924" i="1"/>
  <c r="W1924" i="1"/>
  <c r="V1924" i="1"/>
  <c r="U1924" i="1"/>
  <c r="T1924" i="1"/>
  <c r="S1924" i="1"/>
  <c r="R1924" i="1"/>
  <c r="Q1924" i="1"/>
  <c r="P1924" i="1"/>
  <c r="O1924" i="1"/>
  <c r="B1924" i="1"/>
  <c r="H1924" i="1"/>
  <c r="G1924" i="1"/>
  <c r="F1924" i="1"/>
  <c r="E1924" i="1"/>
  <c r="N1924" i="1"/>
  <c r="M1924" i="1"/>
  <c r="L1924" i="1"/>
  <c r="K1924" i="1"/>
  <c r="J1924" i="1"/>
  <c r="I1924" i="1"/>
  <c r="D1924" i="1"/>
  <c r="C1924" i="1"/>
  <c r="A1924" i="1"/>
  <c r="AE1923" i="1"/>
  <c r="AD1923" i="1"/>
  <c r="AC1923" i="1"/>
  <c r="AB1923" i="1"/>
  <c r="AA1923" i="1"/>
  <c r="Z1923" i="1"/>
  <c r="Y1923" i="1"/>
  <c r="X1923" i="1"/>
  <c r="W1923" i="1"/>
  <c r="V1923" i="1"/>
  <c r="U1923" i="1"/>
  <c r="T1923" i="1"/>
  <c r="S1923" i="1"/>
  <c r="R1923" i="1"/>
  <c r="Q1923" i="1"/>
  <c r="P1923" i="1"/>
  <c r="O1923" i="1"/>
  <c r="B1923" i="1"/>
  <c r="H1923" i="1"/>
  <c r="G1923" i="1"/>
  <c r="F1923" i="1"/>
  <c r="E1923" i="1"/>
  <c r="N1923" i="1"/>
  <c r="M1923" i="1"/>
  <c r="L1923" i="1"/>
  <c r="K1923" i="1"/>
  <c r="J1923" i="1"/>
  <c r="I1923" i="1"/>
  <c r="D1923" i="1"/>
  <c r="C1923" i="1"/>
  <c r="A1923" i="1"/>
  <c r="AE1922" i="1"/>
  <c r="AD1922" i="1"/>
  <c r="AC1922" i="1"/>
  <c r="AB1922" i="1"/>
  <c r="AA1922" i="1"/>
  <c r="Z1922" i="1"/>
  <c r="Y1922" i="1"/>
  <c r="X1922" i="1"/>
  <c r="W1922" i="1"/>
  <c r="V1922" i="1"/>
  <c r="U1922" i="1"/>
  <c r="T1922" i="1"/>
  <c r="S1922" i="1"/>
  <c r="R1922" i="1"/>
  <c r="Q1922" i="1"/>
  <c r="P1922" i="1"/>
  <c r="O1922" i="1"/>
  <c r="B1922" i="1"/>
  <c r="H1922" i="1"/>
  <c r="G1922" i="1"/>
  <c r="F1922" i="1"/>
  <c r="E1922" i="1"/>
  <c r="N1922" i="1"/>
  <c r="M1922" i="1"/>
  <c r="L1922" i="1"/>
  <c r="K1922" i="1"/>
  <c r="J1922" i="1"/>
  <c r="I1922" i="1"/>
  <c r="D1922" i="1"/>
  <c r="C1922" i="1"/>
  <c r="A1922" i="1"/>
  <c r="AE1921" i="1"/>
  <c r="AD1921" i="1"/>
  <c r="AC1921" i="1"/>
  <c r="AB1921" i="1"/>
  <c r="AA1921" i="1"/>
  <c r="Z1921" i="1"/>
  <c r="Y1921" i="1"/>
  <c r="X1921" i="1"/>
  <c r="W1921" i="1"/>
  <c r="V1921" i="1"/>
  <c r="U1921" i="1"/>
  <c r="T1921" i="1"/>
  <c r="S1921" i="1"/>
  <c r="R1921" i="1"/>
  <c r="Q1921" i="1"/>
  <c r="P1921" i="1"/>
  <c r="O1921" i="1"/>
  <c r="B1921" i="1"/>
  <c r="H1921" i="1"/>
  <c r="G1921" i="1"/>
  <c r="F1921" i="1"/>
  <c r="E1921" i="1"/>
  <c r="N1921" i="1"/>
  <c r="M1921" i="1"/>
  <c r="L1921" i="1"/>
  <c r="K1921" i="1"/>
  <c r="J1921" i="1"/>
  <c r="I1921" i="1"/>
  <c r="D1921" i="1"/>
  <c r="C1921" i="1"/>
  <c r="A1921" i="1"/>
  <c r="AE1920" i="1"/>
  <c r="AD1920" i="1"/>
  <c r="AC1920" i="1"/>
  <c r="AB1920" i="1"/>
  <c r="AA1920" i="1"/>
  <c r="Z1920" i="1"/>
  <c r="Y1920" i="1"/>
  <c r="X1920" i="1"/>
  <c r="W1920" i="1"/>
  <c r="V1920" i="1"/>
  <c r="U1920" i="1"/>
  <c r="T1920" i="1"/>
  <c r="S1920" i="1"/>
  <c r="R1920" i="1"/>
  <c r="Q1920" i="1"/>
  <c r="P1920" i="1"/>
  <c r="O1920" i="1"/>
  <c r="B1920" i="1"/>
  <c r="H1920" i="1"/>
  <c r="G1920" i="1"/>
  <c r="F1920" i="1"/>
  <c r="E1920" i="1"/>
  <c r="N1920" i="1"/>
  <c r="M1920" i="1"/>
  <c r="L1920" i="1"/>
  <c r="K1920" i="1"/>
  <c r="J1920" i="1"/>
  <c r="I1920" i="1"/>
  <c r="D1920" i="1"/>
  <c r="C1920" i="1"/>
  <c r="A1920" i="1"/>
  <c r="AE1919" i="1"/>
  <c r="AD1919" i="1"/>
  <c r="AC1919" i="1"/>
  <c r="AB1919" i="1"/>
  <c r="AA1919" i="1"/>
  <c r="Z1919" i="1"/>
  <c r="Y1919" i="1"/>
  <c r="X1919" i="1"/>
  <c r="W1919" i="1"/>
  <c r="V1919" i="1"/>
  <c r="U1919" i="1"/>
  <c r="T1919" i="1"/>
  <c r="S1919" i="1"/>
  <c r="R1919" i="1"/>
  <c r="Q1919" i="1"/>
  <c r="P1919" i="1"/>
  <c r="O1919" i="1"/>
  <c r="B1919" i="1"/>
  <c r="H1919" i="1"/>
  <c r="G1919" i="1"/>
  <c r="F1919" i="1"/>
  <c r="E1919" i="1"/>
  <c r="N1919" i="1"/>
  <c r="M1919" i="1"/>
  <c r="L1919" i="1"/>
  <c r="K1919" i="1"/>
  <c r="J1919" i="1"/>
  <c r="I1919" i="1"/>
  <c r="D1919" i="1"/>
  <c r="C1919" i="1"/>
  <c r="A1919" i="1"/>
  <c r="AE1918" i="1"/>
  <c r="AD1918" i="1"/>
  <c r="AC1918" i="1"/>
  <c r="AB1918" i="1"/>
  <c r="AA1918" i="1"/>
  <c r="Z1918" i="1"/>
  <c r="Y1918" i="1"/>
  <c r="X1918" i="1"/>
  <c r="W1918" i="1"/>
  <c r="V1918" i="1"/>
  <c r="U1918" i="1"/>
  <c r="T1918" i="1"/>
  <c r="S1918" i="1"/>
  <c r="R1918" i="1"/>
  <c r="Q1918" i="1"/>
  <c r="P1918" i="1"/>
  <c r="O1918" i="1"/>
  <c r="B1918" i="1"/>
  <c r="H1918" i="1"/>
  <c r="G1918" i="1"/>
  <c r="F1918" i="1"/>
  <c r="E1918" i="1"/>
  <c r="N1918" i="1"/>
  <c r="M1918" i="1"/>
  <c r="L1918" i="1"/>
  <c r="K1918" i="1"/>
  <c r="J1918" i="1"/>
  <c r="I1918" i="1"/>
  <c r="D1918" i="1"/>
  <c r="C1918" i="1"/>
  <c r="A1918" i="1"/>
  <c r="AE1917" i="1"/>
  <c r="AD1917" i="1"/>
  <c r="AC1917" i="1"/>
  <c r="AB1917" i="1"/>
  <c r="AA1917" i="1"/>
  <c r="Z1917" i="1"/>
  <c r="Y1917" i="1"/>
  <c r="X1917" i="1"/>
  <c r="W1917" i="1"/>
  <c r="V1917" i="1"/>
  <c r="U1917" i="1"/>
  <c r="T1917" i="1"/>
  <c r="S1917" i="1"/>
  <c r="R1917" i="1"/>
  <c r="Q1917" i="1"/>
  <c r="P1917" i="1"/>
  <c r="O1917" i="1"/>
  <c r="B1917" i="1"/>
  <c r="H1917" i="1"/>
  <c r="G1917" i="1"/>
  <c r="F1917" i="1"/>
  <c r="E1917" i="1"/>
  <c r="N1917" i="1"/>
  <c r="M1917" i="1"/>
  <c r="L1917" i="1"/>
  <c r="K1917" i="1"/>
  <c r="J1917" i="1"/>
  <c r="I1917" i="1"/>
  <c r="D1917" i="1"/>
  <c r="C1917" i="1"/>
  <c r="A1917" i="1"/>
  <c r="AE1916" i="1"/>
  <c r="AD1916" i="1"/>
  <c r="AC1916" i="1"/>
  <c r="AB1916" i="1"/>
  <c r="AA1916" i="1"/>
  <c r="Z1916" i="1"/>
  <c r="Y1916" i="1"/>
  <c r="X1916" i="1"/>
  <c r="W1916" i="1"/>
  <c r="V1916" i="1"/>
  <c r="U1916" i="1"/>
  <c r="T1916" i="1"/>
  <c r="S1916" i="1"/>
  <c r="R1916" i="1"/>
  <c r="Q1916" i="1"/>
  <c r="P1916" i="1"/>
  <c r="O1916" i="1"/>
  <c r="B1916" i="1"/>
  <c r="H1916" i="1"/>
  <c r="G1916" i="1"/>
  <c r="F1916" i="1"/>
  <c r="E1916" i="1"/>
  <c r="N1916" i="1"/>
  <c r="M1916" i="1"/>
  <c r="L1916" i="1"/>
  <c r="K1916" i="1"/>
  <c r="J1916" i="1"/>
  <c r="I1916" i="1"/>
  <c r="D1916" i="1"/>
  <c r="C1916" i="1"/>
  <c r="A1916" i="1"/>
  <c r="AE1915" i="1"/>
  <c r="AD1915" i="1"/>
  <c r="AC1915" i="1"/>
  <c r="AB1915" i="1"/>
  <c r="AA1915" i="1"/>
  <c r="Z1915" i="1"/>
  <c r="Y1915" i="1"/>
  <c r="X1915" i="1"/>
  <c r="W1915" i="1"/>
  <c r="V1915" i="1"/>
  <c r="U1915" i="1"/>
  <c r="T1915" i="1"/>
  <c r="S1915" i="1"/>
  <c r="R1915" i="1"/>
  <c r="Q1915" i="1"/>
  <c r="P1915" i="1"/>
  <c r="O1915" i="1"/>
  <c r="B1915" i="1"/>
  <c r="H1915" i="1"/>
  <c r="G1915" i="1"/>
  <c r="F1915" i="1"/>
  <c r="E1915" i="1"/>
  <c r="N1915" i="1"/>
  <c r="M1915" i="1"/>
  <c r="L1915" i="1"/>
  <c r="K1915" i="1"/>
  <c r="J1915" i="1"/>
  <c r="I1915" i="1"/>
  <c r="D1915" i="1"/>
  <c r="C1915" i="1"/>
  <c r="A1915" i="1"/>
  <c r="AE1914" i="1"/>
  <c r="AD1914" i="1"/>
  <c r="AC1914" i="1"/>
  <c r="AB1914" i="1"/>
  <c r="AA1914" i="1"/>
  <c r="Z1914" i="1"/>
  <c r="Y1914" i="1"/>
  <c r="X1914" i="1"/>
  <c r="W1914" i="1"/>
  <c r="V1914" i="1"/>
  <c r="U1914" i="1"/>
  <c r="T1914" i="1"/>
  <c r="S1914" i="1"/>
  <c r="R1914" i="1"/>
  <c r="Q1914" i="1"/>
  <c r="P1914" i="1"/>
  <c r="O1914" i="1"/>
  <c r="B1914" i="1"/>
  <c r="H1914" i="1"/>
  <c r="G1914" i="1"/>
  <c r="F1914" i="1"/>
  <c r="E1914" i="1"/>
  <c r="M1914" i="1"/>
  <c r="L1914" i="1"/>
  <c r="K1914" i="1"/>
  <c r="J1914" i="1"/>
  <c r="I1914" i="1"/>
  <c r="D1914" i="1"/>
  <c r="C1914" i="1"/>
  <c r="A1914" i="1"/>
  <c r="AE1913" i="1"/>
  <c r="AD1913" i="1"/>
  <c r="AC1913" i="1"/>
  <c r="AB1913" i="1"/>
  <c r="AA1913" i="1"/>
  <c r="Z1913" i="1"/>
  <c r="Y1913" i="1"/>
  <c r="X1913" i="1"/>
  <c r="W1913" i="1"/>
  <c r="V1913" i="1"/>
  <c r="U1913" i="1"/>
  <c r="T1913" i="1"/>
  <c r="S1913" i="1"/>
  <c r="R1913" i="1"/>
  <c r="Q1913" i="1"/>
  <c r="P1913" i="1"/>
  <c r="O1913" i="1"/>
  <c r="B1913" i="1"/>
  <c r="H1913" i="1"/>
  <c r="G1913" i="1"/>
  <c r="F1913" i="1"/>
  <c r="E1913" i="1"/>
  <c r="N1913" i="1"/>
  <c r="M1913" i="1"/>
  <c r="L1913" i="1"/>
  <c r="K1913" i="1"/>
  <c r="J1913" i="1"/>
  <c r="I1913" i="1"/>
  <c r="D1913" i="1"/>
  <c r="C1913" i="1"/>
  <c r="A1913" i="1"/>
  <c r="AE1912" i="1"/>
  <c r="AD1912" i="1"/>
  <c r="AC1912" i="1"/>
  <c r="AB1912" i="1"/>
  <c r="AA1912" i="1"/>
  <c r="Z1912" i="1"/>
  <c r="Y1912" i="1"/>
  <c r="X1912" i="1"/>
  <c r="W1912" i="1"/>
  <c r="V1912" i="1"/>
  <c r="U1912" i="1"/>
  <c r="T1912" i="1"/>
  <c r="S1912" i="1"/>
  <c r="R1912" i="1"/>
  <c r="Q1912" i="1"/>
  <c r="P1912" i="1"/>
  <c r="O1912" i="1"/>
  <c r="B1912" i="1"/>
  <c r="H1912" i="1"/>
  <c r="G1912" i="1"/>
  <c r="F1912" i="1"/>
  <c r="E1912" i="1"/>
  <c r="N1912" i="1"/>
  <c r="M1912" i="1"/>
  <c r="L1912" i="1"/>
  <c r="K1912" i="1"/>
  <c r="J1912" i="1"/>
  <c r="I1912" i="1"/>
  <c r="D1912" i="1"/>
  <c r="C1912" i="1"/>
  <c r="A1912" i="1"/>
  <c r="AE1911" i="1"/>
  <c r="AD1911" i="1"/>
  <c r="AC1911" i="1"/>
  <c r="AB1911" i="1"/>
  <c r="AA1911" i="1"/>
  <c r="Z1911" i="1"/>
  <c r="Y1911" i="1"/>
  <c r="X1911" i="1"/>
  <c r="W1911" i="1"/>
  <c r="V1911" i="1"/>
  <c r="U1911" i="1"/>
  <c r="T1911" i="1"/>
  <c r="S1911" i="1"/>
  <c r="R1911" i="1"/>
  <c r="Q1911" i="1"/>
  <c r="P1911" i="1"/>
  <c r="O1911" i="1"/>
  <c r="B1911" i="1"/>
  <c r="H1911" i="1"/>
  <c r="G1911" i="1"/>
  <c r="F1911" i="1"/>
  <c r="E1911" i="1"/>
  <c r="N1911" i="1"/>
  <c r="M1911" i="1"/>
  <c r="L1911" i="1"/>
  <c r="K1911" i="1"/>
  <c r="J1911" i="1"/>
  <c r="I1911" i="1"/>
  <c r="D1911" i="1"/>
  <c r="C1911" i="1"/>
  <c r="A1911" i="1"/>
  <c r="AE1910" i="1"/>
  <c r="AD1910" i="1"/>
  <c r="AC1910" i="1"/>
  <c r="AB1910" i="1"/>
  <c r="AA1910" i="1"/>
  <c r="Z1910" i="1"/>
  <c r="Y1910" i="1"/>
  <c r="X1910" i="1"/>
  <c r="W1910" i="1"/>
  <c r="V1910" i="1"/>
  <c r="U1910" i="1"/>
  <c r="T1910" i="1"/>
  <c r="S1910" i="1"/>
  <c r="R1910" i="1"/>
  <c r="Q1910" i="1"/>
  <c r="P1910" i="1"/>
  <c r="O1910" i="1"/>
  <c r="B1910" i="1"/>
  <c r="H1910" i="1"/>
  <c r="G1910" i="1"/>
  <c r="F1910" i="1"/>
  <c r="E1910" i="1"/>
  <c r="N1910" i="1"/>
  <c r="M1910" i="1"/>
  <c r="L1910" i="1"/>
  <c r="K1910" i="1"/>
  <c r="J1910" i="1"/>
  <c r="I1910" i="1"/>
  <c r="D1910" i="1"/>
  <c r="C1910" i="1"/>
  <c r="A1910" i="1"/>
  <c r="AE1909" i="1"/>
  <c r="AD1909" i="1"/>
  <c r="AC1909" i="1"/>
  <c r="AB1909" i="1"/>
  <c r="AA1909" i="1"/>
  <c r="Z1909" i="1"/>
  <c r="Y1909" i="1"/>
  <c r="X1909" i="1"/>
  <c r="W1909" i="1"/>
  <c r="V1909" i="1"/>
  <c r="U1909" i="1"/>
  <c r="T1909" i="1"/>
  <c r="S1909" i="1"/>
  <c r="R1909" i="1"/>
  <c r="Q1909" i="1"/>
  <c r="P1909" i="1"/>
  <c r="O1909" i="1"/>
  <c r="B1909" i="1"/>
  <c r="H1909" i="1"/>
  <c r="G1909" i="1"/>
  <c r="F1909" i="1"/>
  <c r="E1909" i="1"/>
  <c r="N1909" i="1"/>
  <c r="M1909" i="1"/>
  <c r="L1909" i="1"/>
  <c r="K1909" i="1"/>
  <c r="J1909" i="1"/>
  <c r="I1909" i="1"/>
  <c r="D1909" i="1"/>
  <c r="C1909" i="1"/>
  <c r="A1909" i="1"/>
  <c r="AE1908" i="1"/>
  <c r="AD1908" i="1"/>
  <c r="AC1908" i="1"/>
  <c r="AB1908" i="1"/>
  <c r="AA1908" i="1"/>
  <c r="Z1908" i="1"/>
  <c r="Y1908" i="1"/>
  <c r="X1908" i="1"/>
  <c r="W1908" i="1"/>
  <c r="V1908" i="1"/>
  <c r="U1908" i="1"/>
  <c r="T1908" i="1"/>
  <c r="S1908" i="1"/>
  <c r="R1908" i="1"/>
  <c r="Q1908" i="1"/>
  <c r="P1908" i="1"/>
  <c r="O1908" i="1"/>
  <c r="B1908" i="1"/>
  <c r="H1908" i="1"/>
  <c r="G1908" i="1"/>
  <c r="F1908" i="1"/>
  <c r="E1908" i="1"/>
  <c r="N1908" i="1"/>
  <c r="M1908" i="1"/>
  <c r="L1908" i="1"/>
  <c r="K1908" i="1"/>
  <c r="J1908" i="1"/>
  <c r="I1908" i="1"/>
  <c r="D1908" i="1"/>
  <c r="C1908" i="1"/>
  <c r="A1908" i="1"/>
  <c r="AE1907" i="1"/>
  <c r="AD1907" i="1"/>
  <c r="AC1907" i="1"/>
  <c r="AB1907" i="1"/>
  <c r="AA1907" i="1"/>
  <c r="Z1907" i="1"/>
  <c r="Y1907" i="1"/>
  <c r="X1907" i="1"/>
  <c r="W1907" i="1"/>
  <c r="V1907" i="1"/>
  <c r="U1907" i="1"/>
  <c r="T1907" i="1"/>
  <c r="S1907" i="1"/>
  <c r="R1907" i="1"/>
  <c r="Q1907" i="1"/>
  <c r="P1907" i="1"/>
  <c r="O1907" i="1"/>
  <c r="B1907" i="1"/>
  <c r="H1907" i="1"/>
  <c r="G1907" i="1"/>
  <c r="F1907" i="1"/>
  <c r="E1907" i="1"/>
  <c r="N1907" i="1"/>
  <c r="M1907" i="1"/>
  <c r="L1907" i="1"/>
  <c r="K1907" i="1"/>
  <c r="J1907" i="1"/>
  <c r="I1907" i="1"/>
  <c r="D1907" i="1"/>
  <c r="C1907" i="1"/>
  <c r="A1907" i="1"/>
  <c r="AE1906" i="1"/>
  <c r="AD1906" i="1"/>
  <c r="AC1906" i="1"/>
  <c r="AB1906" i="1"/>
  <c r="AA1906" i="1"/>
  <c r="Z1906" i="1"/>
  <c r="Y1906" i="1"/>
  <c r="X1906" i="1"/>
  <c r="W1906" i="1"/>
  <c r="V1906" i="1"/>
  <c r="U1906" i="1"/>
  <c r="T1906" i="1"/>
  <c r="S1906" i="1"/>
  <c r="R1906" i="1"/>
  <c r="Q1906" i="1"/>
  <c r="P1906" i="1"/>
  <c r="O1906" i="1"/>
  <c r="B1906" i="1"/>
  <c r="H1906" i="1"/>
  <c r="G1906" i="1"/>
  <c r="F1906" i="1"/>
  <c r="E1906" i="1"/>
  <c r="N1906" i="1"/>
  <c r="M1906" i="1"/>
  <c r="L1906" i="1"/>
  <c r="K1906" i="1"/>
  <c r="J1906" i="1"/>
  <c r="I1906" i="1"/>
  <c r="D1906" i="1"/>
  <c r="C1906" i="1"/>
  <c r="A1906" i="1"/>
  <c r="AE1905" i="1"/>
  <c r="AD1905" i="1"/>
  <c r="AC1905" i="1"/>
  <c r="AB1905" i="1"/>
  <c r="AA1905" i="1"/>
  <c r="Z1905" i="1"/>
  <c r="Y1905" i="1"/>
  <c r="X1905" i="1"/>
  <c r="W1905" i="1"/>
  <c r="V1905" i="1"/>
  <c r="U1905" i="1"/>
  <c r="T1905" i="1"/>
  <c r="S1905" i="1"/>
  <c r="R1905" i="1"/>
  <c r="Q1905" i="1"/>
  <c r="P1905" i="1"/>
  <c r="O1905" i="1"/>
  <c r="B1905" i="1"/>
  <c r="H1905" i="1"/>
  <c r="G1905" i="1"/>
  <c r="F1905" i="1"/>
  <c r="E1905" i="1"/>
  <c r="M1905" i="1"/>
  <c r="L1905" i="1"/>
  <c r="K1905" i="1"/>
  <c r="J1905" i="1"/>
  <c r="I1905" i="1"/>
  <c r="D1905" i="1"/>
  <c r="C1905" i="1"/>
  <c r="A1905" i="1"/>
  <c r="AE1904" i="1"/>
  <c r="AD1904" i="1"/>
  <c r="AC1904" i="1"/>
  <c r="AB1904" i="1"/>
  <c r="AA1904" i="1"/>
  <c r="Z1904" i="1"/>
  <c r="Y1904" i="1"/>
  <c r="X1904" i="1"/>
  <c r="W1904" i="1"/>
  <c r="V1904" i="1"/>
  <c r="U1904" i="1"/>
  <c r="T1904" i="1"/>
  <c r="S1904" i="1"/>
  <c r="R1904" i="1"/>
  <c r="Q1904" i="1"/>
  <c r="P1904" i="1"/>
  <c r="O1904" i="1"/>
  <c r="B1904" i="1"/>
  <c r="H1904" i="1"/>
  <c r="G1904" i="1"/>
  <c r="F1904" i="1"/>
  <c r="E1904" i="1"/>
  <c r="N1904" i="1"/>
  <c r="M1904" i="1"/>
  <c r="L1904" i="1"/>
  <c r="K1904" i="1"/>
  <c r="J1904" i="1"/>
  <c r="I1904" i="1"/>
  <c r="D1904" i="1"/>
  <c r="C1904" i="1"/>
  <c r="A1904" i="1"/>
  <c r="AE1903" i="1"/>
  <c r="AD1903" i="1"/>
  <c r="AC1903" i="1"/>
  <c r="AB1903" i="1"/>
  <c r="AA1903" i="1"/>
  <c r="Z1903" i="1"/>
  <c r="Y1903" i="1"/>
  <c r="X1903" i="1"/>
  <c r="W1903" i="1"/>
  <c r="V1903" i="1"/>
  <c r="U1903" i="1"/>
  <c r="T1903" i="1"/>
  <c r="S1903" i="1"/>
  <c r="R1903" i="1"/>
  <c r="Q1903" i="1"/>
  <c r="P1903" i="1"/>
  <c r="O1903" i="1"/>
  <c r="B1903" i="1"/>
  <c r="H1903" i="1"/>
  <c r="G1903" i="1"/>
  <c r="F1903" i="1"/>
  <c r="E1903" i="1"/>
  <c r="N1903" i="1"/>
  <c r="M1903" i="1"/>
  <c r="L1903" i="1"/>
  <c r="K1903" i="1"/>
  <c r="J1903" i="1"/>
  <c r="I1903" i="1"/>
  <c r="D1903" i="1"/>
  <c r="C1903" i="1"/>
  <c r="A1903" i="1"/>
  <c r="AE1902" i="1"/>
  <c r="AD1902" i="1"/>
  <c r="AC1902" i="1"/>
  <c r="AB1902" i="1"/>
  <c r="AA1902" i="1"/>
  <c r="Z1902" i="1"/>
  <c r="Y1902" i="1"/>
  <c r="X1902" i="1"/>
  <c r="W1902" i="1"/>
  <c r="V1902" i="1"/>
  <c r="U1902" i="1"/>
  <c r="T1902" i="1"/>
  <c r="S1902" i="1"/>
  <c r="R1902" i="1"/>
  <c r="Q1902" i="1"/>
  <c r="P1902" i="1"/>
  <c r="O1902" i="1"/>
  <c r="B1902" i="1"/>
  <c r="H1902" i="1"/>
  <c r="G1902" i="1"/>
  <c r="F1902" i="1"/>
  <c r="E1902" i="1"/>
  <c r="N1902" i="1"/>
  <c r="M1902" i="1"/>
  <c r="L1902" i="1"/>
  <c r="K1902" i="1"/>
  <c r="J1902" i="1"/>
  <c r="I1902" i="1"/>
  <c r="D1902" i="1"/>
  <c r="C1902" i="1"/>
  <c r="A1902" i="1"/>
  <c r="AE1901" i="1"/>
  <c r="AD1901" i="1"/>
  <c r="AC1901" i="1"/>
  <c r="AB1901" i="1"/>
  <c r="AA1901" i="1"/>
  <c r="Z1901" i="1"/>
  <c r="Y1901" i="1"/>
  <c r="X1901" i="1"/>
  <c r="W1901" i="1"/>
  <c r="V1901" i="1"/>
  <c r="U1901" i="1"/>
  <c r="T1901" i="1"/>
  <c r="S1901" i="1"/>
  <c r="R1901" i="1"/>
  <c r="Q1901" i="1"/>
  <c r="P1901" i="1"/>
  <c r="O1901" i="1"/>
  <c r="B1901" i="1"/>
  <c r="H1901" i="1"/>
  <c r="G1901" i="1"/>
  <c r="F1901" i="1"/>
  <c r="E1901" i="1"/>
  <c r="M1901" i="1"/>
  <c r="L1901" i="1"/>
  <c r="K1901" i="1"/>
  <c r="J1901" i="1"/>
  <c r="I1901" i="1"/>
  <c r="D1901" i="1"/>
  <c r="C1901" i="1"/>
  <c r="A1901" i="1"/>
  <c r="AE1900" i="1"/>
  <c r="AD1900" i="1"/>
  <c r="AC1900" i="1"/>
  <c r="AB1900" i="1"/>
  <c r="AA1900" i="1"/>
  <c r="Z1900" i="1"/>
  <c r="Y1900" i="1"/>
  <c r="X1900" i="1"/>
  <c r="W1900" i="1"/>
  <c r="V1900" i="1"/>
  <c r="U1900" i="1"/>
  <c r="T1900" i="1"/>
  <c r="S1900" i="1"/>
  <c r="R1900" i="1"/>
  <c r="Q1900" i="1"/>
  <c r="P1900" i="1"/>
  <c r="O1900" i="1"/>
  <c r="B1900" i="1"/>
  <c r="H1900" i="1"/>
  <c r="G1900" i="1"/>
  <c r="F1900" i="1"/>
  <c r="E1900" i="1"/>
  <c r="N1900" i="1"/>
  <c r="M1900" i="1"/>
  <c r="L1900" i="1"/>
  <c r="K1900" i="1"/>
  <c r="J1900" i="1"/>
  <c r="I1900" i="1"/>
  <c r="D1900" i="1"/>
  <c r="C1900" i="1"/>
  <c r="A1900" i="1"/>
  <c r="AE1899" i="1"/>
  <c r="AD1899" i="1"/>
  <c r="AC1899" i="1"/>
  <c r="AB1899" i="1"/>
  <c r="AA1899" i="1"/>
  <c r="Z1899" i="1"/>
  <c r="Y1899" i="1"/>
  <c r="X1899" i="1"/>
  <c r="W1899" i="1"/>
  <c r="V1899" i="1"/>
  <c r="U1899" i="1"/>
  <c r="T1899" i="1"/>
  <c r="S1899" i="1"/>
  <c r="R1899" i="1"/>
  <c r="Q1899" i="1"/>
  <c r="P1899" i="1"/>
  <c r="O1899" i="1"/>
  <c r="B1899" i="1"/>
  <c r="H1899" i="1"/>
  <c r="G1899" i="1"/>
  <c r="F1899" i="1"/>
  <c r="E1899" i="1"/>
  <c r="N1899" i="1"/>
  <c r="M1899" i="1"/>
  <c r="L1899" i="1"/>
  <c r="K1899" i="1"/>
  <c r="J1899" i="1"/>
  <c r="I1899" i="1"/>
  <c r="D1899" i="1"/>
  <c r="C1899" i="1"/>
  <c r="A1899" i="1"/>
  <c r="AE1898" i="1"/>
  <c r="AD1898" i="1"/>
  <c r="AC1898" i="1"/>
  <c r="AB1898" i="1"/>
  <c r="AA1898" i="1"/>
  <c r="Z1898" i="1"/>
  <c r="Y1898" i="1"/>
  <c r="X1898" i="1"/>
  <c r="W1898" i="1"/>
  <c r="V1898" i="1"/>
  <c r="U1898" i="1"/>
  <c r="T1898" i="1"/>
  <c r="S1898" i="1"/>
  <c r="R1898" i="1"/>
  <c r="Q1898" i="1"/>
  <c r="P1898" i="1"/>
  <c r="O1898" i="1"/>
  <c r="B1898" i="1"/>
  <c r="H1898" i="1"/>
  <c r="G1898" i="1"/>
  <c r="F1898" i="1"/>
  <c r="E1898" i="1"/>
  <c r="N1898" i="1"/>
  <c r="M1898" i="1"/>
  <c r="L1898" i="1"/>
  <c r="K1898" i="1"/>
  <c r="J1898" i="1"/>
  <c r="I1898" i="1"/>
  <c r="D1898" i="1"/>
  <c r="C1898" i="1"/>
  <c r="A1898" i="1"/>
  <c r="AE1897" i="1"/>
  <c r="AD1897" i="1"/>
  <c r="AC1897" i="1"/>
  <c r="AB1897" i="1"/>
  <c r="AA1897" i="1"/>
  <c r="Z1897" i="1"/>
  <c r="Y1897" i="1"/>
  <c r="X1897" i="1"/>
  <c r="W1897" i="1"/>
  <c r="V1897" i="1"/>
  <c r="U1897" i="1"/>
  <c r="T1897" i="1"/>
  <c r="S1897" i="1"/>
  <c r="R1897" i="1"/>
  <c r="Q1897" i="1"/>
  <c r="P1897" i="1"/>
  <c r="O1897" i="1"/>
  <c r="B1897" i="1"/>
  <c r="H1897" i="1"/>
  <c r="G1897" i="1"/>
  <c r="F1897" i="1"/>
  <c r="E1897" i="1"/>
  <c r="N1897" i="1"/>
  <c r="M1897" i="1"/>
  <c r="L1897" i="1"/>
  <c r="K1897" i="1"/>
  <c r="J1897" i="1"/>
  <c r="I1897" i="1"/>
  <c r="D1897" i="1"/>
  <c r="C1897" i="1"/>
  <c r="A1897" i="1"/>
  <c r="AE1896" i="1"/>
  <c r="AD1896" i="1"/>
  <c r="AC1896" i="1"/>
  <c r="AB1896" i="1"/>
  <c r="AA1896" i="1"/>
  <c r="Z1896" i="1"/>
  <c r="Y1896" i="1"/>
  <c r="X1896" i="1"/>
  <c r="W1896" i="1"/>
  <c r="V1896" i="1"/>
  <c r="U1896" i="1"/>
  <c r="T1896" i="1"/>
  <c r="S1896" i="1"/>
  <c r="R1896" i="1"/>
  <c r="Q1896" i="1"/>
  <c r="P1896" i="1"/>
  <c r="O1896" i="1"/>
  <c r="B1896" i="1"/>
  <c r="H1896" i="1"/>
  <c r="G1896" i="1"/>
  <c r="F1896" i="1"/>
  <c r="E1896" i="1"/>
  <c r="N1896" i="1"/>
  <c r="M1896" i="1"/>
  <c r="L1896" i="1"/>
  <c r="K1896" i="1"/>
  <c r="J1896" i="1"/>
  <c r="I1896" i="1"/>
  <c r="D1896" i="1"/>
  <c r="C1896" i="1"/>
  <c r="A1896" i="1"/>
  <c r="AE1895" i="1"/>
  <c r="AD1895" i="1"/>
  <c r="AC1895" i="1"/>
  <c r="AB1895" i="1"/>
  <c r="AA1895" i="1"/>
  <c r="Z1895" i="1"/>
  <c r="Y1895" i="1"/>
  <c r="X1895" i="1"/>
  <c r="W1895" i="1"/>
  <c r="V1895" i="1"/>
  <c r="U1895" i="1"/>
  <c r="T1895" i="1"/>
  <c r="S1895" i="1"/>
  <c r="R1895" i="1"/>
  <c r="Q1895" i="1"/>
  <c r="P1895" i="1"/>
  <c r="O1895" i="1"/>
  <c r="B1895" i="1"/>
  <c r="H1895" i="1"/>
  <c r="G1895" i="1"/>
  <c r="F1895" i="1"/>
  <c r="E1895" i="1"/>
  <c r="M1895" i="1"/>
  <c r="L1895" i="1"/>
  <c r="K1895" i="1"/>
  <c r="J1895" i="1"/>
  <c r="I1895" i="1"/>
  <c r="D1895" i="1"/>
  <c r="C1895" i="1"/>
  <c r="A1895" i="1"/>
  <c r="AE1894" i="1"/>
  <c r="AD1894" i="1"/>
  <c r="AC1894" i="1"/>
  <c r="AB1894" i="1"/>
  <c r="AA1894" i="1"/>
  <c r="Z1894" i="1"/>
  <c r="Y1894" i="1"/>
  <c r="X1894" i="1"/>
  <c r="W1894" i="1"/>
  <c r="V1894" i="1"/>
  <c r="U1894" i="1"/>
  <c r="T1894" i="1"/>
  <c r="S1894" i="1"/>
  <c r="R1894" i="1"/>
  <c r="Q1894" i="1"/>
  <c r="P1894" i="1"/>
  <c r="O1894" i="1"/>
  <c r="B1894" i="1"/>
  <c r="H1894" i="1"/>
  <c r="G1894" i="1"/>
  <c r="F1894" i="1"/>
  <c r="E1894" i="1"/>
  <c r="N1894" i="1"/>
  <c r="M1894" i="1"/>
  <c r="L1894" i="1"/>
  <c r="K1894" i="1"/>
  <c r="J1894" i="1"/>
  <c r="I1894" i="1"/>
  <c r="D1894" i="1"/>
  <c r="C1894" i="1"/>
  <c r="A1894" i="1"/>
  <c r="AE1893" i="1"/>
  <c r="AD1893" i="1"/>
  <c r="AC1893" i="1"/>
  <c r="AB1893" i="1"/>
  <c r="AA1893" i="1"/>
  <c r="Z1893" i="1"/>
  <c r="Y1893" i="1"/>
  <c r="X1893" i="1"/>
  <c r="W1893" i="1"/>
  <c r="V1893" i="1"/>
  <c r="U1893" i="1"/>
  <c r="T1893" i="1"/>
  <c r="S1893" i="1"/>
  <c r="R1893" i="1"/>
  <c r="Q1893" i="1"/>
  <c r="P1893" i="1"/>
  <c r="O1893" i="1"/>
  <c r="B1893" i="1"/>
  <c r="H1893" i="1"/>
  <c r="G1893" i="1"/>
  <c r="F1893" i="1"/>
  <c r="E1893" i="1"/>
  <c r="N1893" i="1"/>
  <c r="M1893" i="1"/>
  <c r="L1893" i="1"/>
  <c r="K1893" i="1"/>
  <c r="J1893" i="1"/>
  <c r="I1893" i="1"/>
  <c r="D1893" i="1"/>
  <c r="C1893" i="1"/>
  <c r="A1893" i="1"/>
  <c r="AE1892" i="1"/>
  <c r="AD1892" i="1"/>
  <c r="AC1892" i="1"/>
  <c r="AB1892" i="1"/>
  <c r="AA1892" i="1"/>
  <c r="Z1892" i="1"/>
  <c r="Y1892" i="1"/>
  <c r="X1892" i="1"/>
  <c r="W1892" i="1"/>
  <c r="V1892" i="1"/>
  <c r="U1892" i="1"/>
  <c r="T1892" i="1"/>
  <c r="S1892" i="1"/>
  <c r="R1892" i="1"/>
  <c r="Q1892" i="1"/>
  <c r="P1892" i="1"/>
  <c r="O1892" i="1"/>
  <c r="B1892" i="1"/>
  <c r="H1892" i="1"/>
  <c r="G1892" i="1"/>
  <c r="F1892" i="1"/>
  <c r="E1892" i="1"/>
  <c r="N1892" i="1"/>
  <c r="M1892" i="1"/>
  <c r="L1892" i="1"/>
  <c r="K1892" i="1"/>
  <c r="J1892" i="1"/>
  <c r="I1892" i="1"/>
  <c r="D1892" i="1"/>
  <c r="C1892" i="1"/>
  <c r="A1892" i="1"/>
  <c r="AE1891" i="1"/>
  <c r="AD1891" i="1"/>
  <c r="AC1891" i="1"/>
  <c r="AB1891" i="1"/>
  <c r="AA1891" i="1"/>
  <c r="Z1891" i="1"/>
  <c r="Y1891" i="1"/>
  <c r="X1891" i="1"/>
  <c r="W1891" i="1"/>
  <c r="V1891" i="1"/>
  <c r="U1891" i="1"/>
  <c r="T1891" i="1"/>
  <c r="S1891" i="1"/>
  <c r="R1891" i="1"/>
  <c r="Q1891" i="1"/>
  <c r="P1891" i="1"/>
  <c r="O1891" i="1"/>
  <c r="B1891" i="1"/>
  <c r="H1891" i="1"/>
  <c r="G1891" i="1"/>
  <c r="F1891" i="1"/>
  <c r="E1891" i="1"/>
  <c r="N1891" i="1"/>
  <c r="M1891" i="1"/>
  <c r="L1891" i="1"/>
  <c r="K1891" i="1"/>
  <c r="J1891" i="1"/>
  <c r="I1891" i="1"/>
  <c r="D1891" i="1"/>
  <c r="C1891" i="1"/>
  <c r="A1891" i="1"/>
  <c r="AE1890" i="1"/>
  <c r="AD1890" i="1"/>
  <c r="AC1890" i="1"/>
  <c r="AB1890" i="1"/>
  <c r="AA1890" i="1"/>
  <c r="Z1890" i="1"/>
  <c r="Y1890" i="1"/>
  <c r="X1890" i="1"/>
  <c r="W1890" i="1"/>
  <c r="V1890" i="1"/>
  <c r="U1890" i="1"/>
  <c r="T1890" i="1"/>
  <c r="S1890" i="1"/>
  <c r="R1890" i="1"/>
  <c r="Q1890" i="1"/>
  <c r="P1890" i="1"/>
  <c r="O1890" i="1"/>
  <c r="B1890" i="1"/>
  <c r="H1890" i="1"/>
  <c r="G1890" i="1"/>
  <c r="F1890" i="1"/>
  <c r="E1890" i="1"/>
  <c r="N1890" i="1"/>
  <c r="M1890" i="1"/>
  <c r="L1890" i="1"/>
  <c r="K1890" i="1"/>
  <c r="J1890" i="1"/>
  <c r="I1890" i="1"/>
  <c r="D1890" i="1"/>
  <c r="C1890" i="1"/>
  <c r="A1890" i="1"/>
  <c r="AE1889" i="1"/>
  <c r="AD1889" i="1"/>
  <c r="AC1889" i="1"/>
  <c r="AB1889" i="1"/>
  <c r="AA1889" i="1"/>
  <c r="Z1889" i="1"/>
  <c r="Y1889" i="1"/>
  <c r="X1889" i="1"/>
  <c r="W1889" i="1"/>
  <c r="V1889" i="1"/>
  <c r="U1889" i="1"/>
  <c r="T1889" i="1"/>
  <c r="S1889" i="1"/>
  <c r="R1889" i="1"/>
  <c r="Q1889" i="1"/>
  <c r="P1889" i="1"/>
  <c r="O1889" i="1"/>
  <c r="B1889" i="1"/>
  <c r="H1889" i="1"/>
  <c r="G1889" i="1"/>
  <c r="F1889" i="1"/>
  <c r="E1889" i="1"/>
  <c r="N1889" i="1"/>
  <c r="M1889" i="1"/>
  <c r="L1889" i="1"/>
  <c r="K1889" i="1"/>
  <c r="J1889" i="1"/>
  <c r="I1889" i="1"/>
  <c r="D1889" i="1"/>
  <c r="C1889" i="1"/>
  <c r="A1889" i="1"/>
  <c r="AE1888" i="1"/>
  <c r="AD1888" i="1"/>
  <c r="AC1888" i="1"/>
  <c r="AB1888" i="1"/>
  <c r="AA1888" i="1"/>
  <c r="Z1888" i="1"/>
  <c r="Y1888" i="1"/>
  <c r="X1888" i="1"/>
  <c r="W1888" i="1"/>
  <c r="V1888" i="1"/>
  <c r="U1888" i="1"/>
  <c r="T1888" i="1"/>
  <c r="S1888" i="1"/>
  <c r="R1888" i="1"/>
  <c r="Q1888" i="1"/>
  <c r="P1888" i="1"/>
  <c r="O1888" i="1"/>
  <c r="B1888" i="1"/>
  <c r="H1888" i="1"/>
  <c r="G1888" i="1"/>
  <c r="F1888" i="1"/>
  <c r="E1888" i="1"/>
  <c r="N1888" i="1"/>
  <c r="M1888" i="1"/>
  <c r="L1888" i="1"/>
  <c r="K1888" i="1"/>
  <c r="J1888" i="1"/>
  <c r="I1888" i="1"/>
  <c r="D1888" i="1"/>
  <c r="C1888" i="1"/>
  <c r="A1888" i="1"/>
  <c r="AE1887" i="1"/>
  <c r="AD1887" i="1"/>
  <c r="AC1887" i="1"/>
  <c r="AB1887" i="1"/>
  <c r="AA1887" i="1"/>
  <c r="Z1887" i="1"/>
  <c r="Y1887" i="1"/>
  <c r="X1887" i="1"/>
  <c r="W1887" i="1"/>
  <c r="V1887" i="1"/>
  <c r="U1887" i="1"/>
  <c r="T1887" i="1"/>
  <c r="S1887" i="1"/>
  <c r="R1887" i="1"/>
  <c r="Q1887" i="1"/>
  <c r="P1887" i="1"/>
  <c r="O1887" i="1"/>
  <c r="B1887" i="1"/>
  <c r="H1887" i="1"/>
  <c r="G1887" i="1"/>
  <c r="F1887" i="1"/>
  <c r="E1887" i="1"/>
  <c r="N1887" i="1"/>
  <c r="M1887" i="1"/>
  <c r="L1887" i="1"/>
  <c r="K1887" i="1"/>
  <c r="J1887" i="1"/>
  <c r="I1887" i="1"/>
  <c r="D1887" i="1"/>
  <c r="C1887" i="1"/>
  <c r="A1887" i="1"/>
  <c r="AE1886" i="1"/>
  <c r="AD1886" i="1"/>
  <c r="AC1886" i="1"/>
  <c r="AB1886" i="1"/>
  <c r="AA1886" i="1"/>
  <c r="Z1886" i="1"/>
  <c r="Y1886" i="1"/>
  <c r="X1886" i="1"/>
  <c r="W1886" i="1"/>
  <c r="V1886" i="1"/>
  <c r="U1886" i="1"/>
  <c r="T1886" i="1"/>
  <c r="S1886" i="1"/>
  <c r="R1886" i="1"/>
  <c r="Q1886" i="1"/>
  <c r="P1886" i="1"/>
  <c r="O1886" i="1"/>
  <c r="B1886" i="1"/>
  <c r="H1886" i="1"/>
  <c r="G1886" i="1"/>
  <c r="F1886" i="1"/>
  <c r="E1886" i="1"/>
  <c r="N1886" i="1"/>
  <c r="M1886" i="1"/>
  <c r="L1886" i="1"/>
  <c r="K1886" i="1"/>
  <c r="J1886" i="1"/>
  <c r="I1886" i="1"/>
  <c r="D1886" i="1"/>
  <c r="C1886" i="1"/>
  <c r="A1886" i="1"/>
  <c r="AE1885" i="1"/>
  <c r="AD1885" i="1"/>
  <c r="AC1885" i="1"/>
  <c r="AB1885" i="1"/>
  <c r="AA1885" i="1"/>
  <c r="Z1885" i="1"/>
  <c r="Y1885" i="1"/>
  <c r="X1885" i="1"/>
  <c r="W1885" i="1"/>
  <c r="V1885" i="1"/>
  <c r="U1885" i="1"/>
  <c r="T1885" i="1"/>
  <c r="S1885" i="1"/>
  <c r="R1885" i="1"/>
  <c r="Q1885" i="1"/>
  <c r="P1885" i="1"/>
  <c r="O1885" i="1"/>
  <c r="B1885" i="1"/>
  <c r="H1885" i="1"/>
  <c r="G1885" i="1"/>
  <c r="F1885" i="1"/>
  <c r="E1885" i="1"/>
  <c r="N1885" i="1"/>
  <c r="M1885" i="1"/>
  <c r="L1885" i="1"/>
  <c r="K1885" i="1"/>
  <c r="J1885" i="1"/>
  <c r="I1885" i="1"/>
  <c r="D1885" i="1"/>
  <c r="C1885" i="1"/>
  <c r="A1885" i="1"/>
  <c r="AE1884" i="1"/>
  <c r="AD1884" i="1"/>
  <c r="AC1884" i="1"/>
  <c r="AB1884" i="1"/>
  <c r="AA1884" i="1"/>
  <c r="Z1884" i="1"/>
  <c r="Y1884" i="1"/>
  <c r="X1884" i="1"/>
  <c r="W1884" i="1"/>
  <c r="V1884" i="1"/>
  <c r="U1884" i="1"/>
  <c r="T1884" i="1"/>
  <c r="S1884" i="1"/>
  <c r="R1884" i="1"/>
  <c r="Q1884" i="1"/>
  <c r="P1884" i="1"/>
  <c r="O1884" i="1"/>
  <c r="B1884" i="1"/>
  <c r="H1884" i="1"/>
  <c r="G1884" i="1"/>
  <c r="F1884" i="1"/>
  <c r="E1884" i="1"/>
  <c r="N1884" i="1"/>
  <c r="M1884" i="1"/>
  <c r="L1884" i="1"/>
  <c r="K1884" i="1"/>
  <c r="J1884" i="1"/>
  <c r="I1884" i="1"/>
  <c r="D1884" i="1"/>
  <c r="C1884" i="1"/>
  <c r="A1884" i="1"/>
  <c r="AE1883" i="1"/>
  <c r="AD1883" i="1"/>
  <c r="AC1883" i="1"/>
  <c r="AB1883" i="1"/>
  <c r="AA1883" i="1"/>
  <c r="Z1883" i="1"/>
  <c r="Y1883" i="1"/>
  <c r="X1883" i="1"/>
  <c r="W1883" i="1"/>
  <c r="V1883" i="1"/>
  <c r="U1883" i="1"/>
  <c r="T1883" i="1"/>
  <c r="S1883" i="1"/>
  <c r="R1883" i="1"/>
  <c r="Q1883" i="1"/>
  <c r="P1883" i="1"/>
  <c r="O1883" i="1"/>
  <c r="B1883" i="1"/>
  <c r="H1883" i="1"/>
  <c r="G1883" i="1"/>
  <c r="F1883" i="1"/>
  <c r="E1883" i="1"/>
  <c r="N1883" i="1"/>
  <c r="M1883" i="1"/>
  <c r="L1883" i="1"/>
  <c r="K1883" i="1"/>
  <c r="J1883" i="1"/>
  <c r="I1883" i="1"/>
  <c r="D1883" i="1"/>
  <c r="C1883" i="1"/>
  <c r="A1883" i="1"/>
  <c r="AE1882" i="1"/>
  <c r="AD1882" i="1"/>
  <c r="AC1882" i="1"/>
  <c r="AB1882" i="1"/>
  <c r="AA1882" i="1"/>
  <c r="Z1882" i="1"/>
  <c r="Y1882" i="1"/>
  <c r="X1882" i="1"/>
  <c r="W1882" i="1"/>
  <c r="V1882" i="1"/>
  <c r="U1882" i="1"/>
  <c r="T1882" i="1"/>
  <c r="S1882" i="1"/>
  <c r="R1882" i="1"/>
  <c r="Q1882" i="1"/>
  <c r="P1882" i="1"/>
  <c r="O1882" i="1"/>
  <c r="B1882" i="1"/>
  <c r="H1882" i="1"/>
  <c r="G1882" i="1"/>
  <c r="F1882" i="1"/>
  <c r="E1882" i="1"/>
  <c r="N1882" i="1"/>
  <c r="M1882" i="1"/>
  <c r="L1882" i="1"/>
  <c r="K1882" i="1"/>
  <c r="J1882" i="1"/>
  <c r="I1882" i="1"/>
  <c r="D1882" i="1"/>
  <c r="C1882" i="1"/>
  <c r="A1882" i="1"/>
  <c r="AE1881" i="1"/>
  <c r="AD1881" i="1"/>
  <c r="AC1881" i="1"/>
  <c r="AB1881" i="1"/>
  <c r="AA1881" i="1"/>
  <c r="Z1881" i="1"/>
  <c r="Y1881" i="1"/>
  <c r="X1881" i="1"/>
  <c r="W1881" i="1"/>
  <c r="V1881" i="1"/>
  <c r="U1881" i="1"/>
  <c r="T1881" i="1"/>
  <c r="S1881" i="1"/>
  <c r="R1881" i="1"/>
  <c r="Q1881" i="1"/>
  <c r="P1881" i="1"/>
  <c r="O1881" i="1"/>
  <c r="B1881" i="1"/>
  <c r="H1881" i="1"/>
  <c r="G1881" i="1"/>
  <c r="F1881" i="1"/>
  <c r="E1881" i="1"/>
  <c r="N1881" i="1"/>
  <c r="M1881" i="1"/>
  <c r="L1881" i="1"/>
  <c r="K1881" i="1"/>
  <c r="J1881" i="1"/>
  <c r="I1881" i="1"/>
  <c r="D1881" i="1"/>
  <c r="C1881" i="1"/>
  <c r="A1881" i="1"/>
  <c r="AE1880" i="1"/>
  <c r="AD1880" i="1"/>
  <c r="AC1880" i="1"/>
  <c r="AB1880" i="1"/>
  <c r="AA1880" i="1"/>
  <c r="Z1880" i="1"/>
  <c r="Y1880" i="1"/>
  <c r="X1880" i="1"/>
  <c r="W1880" i="1"/>
  <c r="V1880" i="1"/>
  <c r="U1880" i="1"/>
  <c r="T1880" i="1"/>
  <c r="S1880" i="1"/>
  <c r="R1880" i="1"/>
  <c r="Q1880" i="1"/>
  <c r="P1880" i="1"/>
  <c r="O1880" i="1"/>
  <c r="B1880" i="1"/>
  <c r="H1880" i="1"/>
  <c r="G1880" i="1"/>
  <c r="F1880" i="1"/>
  <c r="E1880" i="1"/>
  <c r="N1880" i="1"/>
  <c r="M1880" i="1"/>
  <c r="L1880" i="1"/>
  <c r="K1880" i="1"/>
  <c r="J1880" i="1"/>
  <c r="I1880" i="1"/>
  <c r="D1880" i="1"/>
  <c r="C1880" i="1"/>
  <c r="A1880" i="1"/>
  <c r="AE1879" i="1"/>
  <c r="AD1879" i="1"/>
  <c r="AC1879" i="1"/>
  <c r="AB1879" i="1"/>
  <c r="AA1879" i="1"/>
  <c r="Z1879" i="1"/>
  <c r="Y1879" i="1"/>
  <c r="X1879" i="1"/>
  <c r="W1879" i="1"/>
  <c r="V1879" i="1"/>
  <c r="U1879" i="1"/>
  <c r="T1879" i="1"/>
  <c r="S1879" i="1"/>
  <c r="R1879" i="1"/>
  <c r="Q1879" i="1"/>
  <c r="P1879" i="1"/>
  <c r="O1879" i="1"/>
  <c r="B1879" i="1"/>
  <c r="H1879" i="1"/>
  <c r="G1879" i="1"/>
  <c r="F1879" i="1"/>
  <c r="E1879" i="1"/>
  <c r="N1879" i="1"/>
  <c r="M1879" i="1"/>
  <c r="L1879" i="1"/>
  <c r="K1879" i="1"/>
  <c r="J1879" i="1"/>
  <c r="I1879" i="1"/>
  <c r="D1879" i="1"/>
  <c r="C1879" i="1"/>
  <c r="A1879" i="1"/>
  <c r="AE1878" i="1"/>
  <c r="AD1878" i="1"/>
  <c r="AC1878" i="1"/>
  <c r="AB1878" i="1"/>
  <c r="AA1878" i="1"/>
  <c r="Z1878" i="1"/>
  <c r="Y1878" i="1"/>
  <c r="X1878" i="1"/>
  <c r="W1878" i="1"/>
  <c r="V1878" i="1"/>
  <c r="U1878" i="1"/>
  <c r="T1878" i="1"/>
  <c r="S1878" i="1"/>
  <c r="R1878" i="1"/>
  <c r="Q1878" i="1"/>
  <c r="P1878" i="1"/>
  <c r="O1878" i="1"/>
  <c r="B1878" i="1"/>
  <c r="H1878" i="1"/>
  <c r="G1878" i="1"/>
  <c r="F1878" i="1"/>
  <c r="E1878" i="1"/>
  <c r="N1878" i="1"/>
  <c r="M1878" i="1"/>
  <c r="L1878" i="1"/>
  <c r="K1878" i="1"/>
  <c r="J1878" i="1"/>
  <c r="I1878" i="1"/>
  <c r="D1878" i="1"/>
  <c r="C1878" i="1"/>
  <c r="A1878" i="1"/>
  <c r="AE1877" i="1"/>
  <c r="AD1877" i="1"/>
  <c r="AC1877" i="1"/>
  <c r="AB1877" i="1"/>
  <c r="AA1877" i="1"/>
  <c r="Z1877" i="1"/>
  <c r="Y1877" i="1"/>
  <c r="X1877" i="1"/>
  <c r="W1877" i="1"/>
  <c r="V1877" i="1"/>
  <c r="U1877" i="1"/>
  <c r="T1877" i="1"/>
  <c r="S1877" i="1"/>
  <c r="R1877" i="1"/>
  <c r="Q1877" i="1"/>
  <c r="P1877" i="1"/>
  <c r="O1877" i="1"/>
  <c r="B1877" i="1"/>
  <c r="H1877" i="1"/>
  <c r="G1877" i="1"/>
  <c r="F1877" i="1"/>
  <c r="E1877" i="1"/>
  <c r="N1877" i="1"/>
  <c r="M1877" i="1"/>
  <c r="L1877" i="1"/>
  <c r="K1877" i="1"/>
  <c r="J1877" i="1"/>
  <c r="I1877" i="1"/>
  <c r="D1877" i="1"/>
  <c r="C1877" i="1"/>
  <c r="A1877" i="1"/>
  <c r="AE1876" i="1"/>
  <c r="AD1876" i="1"/>
  <c r="AC1876" i="1"/>
  <c r="AB1876" i="1"/>
  <c r="AA1876" i="1"/>
  <c r="Z1876" i="1"/>
  <c r="Y1876" i="1"/>
  <c r="X1876" i="1"/>
  <c r="W1876" i="1"/>
  <c r="V1876" i="1"/>
  <c r="U1876" i="1"/>
  <c r="T1876" i="1"/>
  <c r="S1876" i="1"/>
  <c r="R1876" i="1"/>
  <c r="Q1876" i="1"/>
  <c r="P1876" i="1"/>
  <c r="O1876" i="1"/>
  <c r="B1876" i="1"/>
  <c r="H1876" i="1"/>
  <c r="G1876" i="1"/>
  <c r="F1876" i="1"/>
  <c r="E1876" i="1"/>
  <c r="N1876" i="1"/>
  <c r="M1876" i="1"/>
  <c r="L1876" i="1"/>
  <c r="K1876" i="1"/>
  <c r="J1876" i="1"/>
  <c r="I1876" i="1"/>
  <c r="D1876" i="1"/>
  <c r="C1876" i="1"/>
  <c r="A1876" i="1"/>
  <c r="AE1875" i="1"/>
  <c r="AD1875" i="1"/>
  <c r="AC1875" i="1"/>
  <c r="AB1875" i="1"/>
  <c r="AA1875" i="1"/>
  <c r="Z1875" i="1"/>
  <c r="Y1875" i="1"/>
  <c r="X1875" i="1"/>
  <c r="W1875" i="1"/>
  <c r="V1875" i="1"/>
  <c r="U1875" i="1"/>
  <c r="T1875" i="1"/>
  <c r="S1875" i="1"/>
  <c r="R1875" i="1"/>
  <c r="Q1875" i="1"/>
  <c r="P1875" i="1"/>
  <c r="O1875" i="1"/>
  <c r="B1875" i="1"/>
  <c r="H1875" i="1"/>
  <c r="G1875" i="1"/>
  <c r="F1875" i="1"/>
  <c r="E1875" i="1"/>
  <c r="N1875" i="1"/>
  <c r="M1875" i="1"/>
  <c r="L1875" i="1"/>
  <c r="K1875" i="1"/>
  <c r="J1875" i="1"/>
  <c r="I1875" i="1"/>
  <c r="D1875" i="1"/>
  <c r="C1875" i="1"/>
  <c r="A1875" i="1"/>
  <c r="AE1874" i="1"/>
  <c r="AD1874" i="1"/>
  <c r="AC1874" i="1"/>
  <c r="AB1874" i="1"/>
  <c r="AA1874" i="1"/>
  <c r="Z1874" i="1"/>
  <c r="Y1874" i="1"/>
  <c r="X1874" i="1"/>
  <c r="W1874" i="1"/>
  <c r="V1874" i="1"/>
  <c r="U1874" i="1"/>
  <c r="T1874" i="1"/>
  <c r="S1874" i="1"/>
  <c r="R1874" i="1"/>
  <c r="Q1874" i="1"/>
  <c r="P1874" i="1"/>
  <c r="O1874" i="1"/>
  <c r="B1874" i="1"/>
  <c r="H1874" i="1"/>
  <c r="G1874" i="1"/>
  <c r="F1874" i="1"/>
  <c r="E1874" i="1"/>
  <c r="N1874" i="1"/>
  <c r="M1874" i="1"/>
  <c r="L1874" i="1"/>
  <c r="K1874" i="1"/>
  <c r="J1874" i="1"/>
  <c r="I1874" i="1"/>
  <c r="D1874" i="1"/>
  <c r="C1874" i="1"/>
  <c r="A1874" i="1"/>
  <c r="AE1873" i="1"/>
  <c r="AD1873" i="1"/>
  <c r="AC1873" i="1"/>
  <c r="AB1873" i="1"/>
  <c r="AA1873" i="1"/>
  <c r="Z1873" i="1"/>
  <c r="Y1873" i="1"/>
  <c r="X1873" i="1"/>
  <c r="W1873" i="1"/>
  <c r="V1873" i="1"/>
  <c r="U1873" i="1"/>
  <c r="T1873" i="1"/>
  <c r="S1873" i="1"/>
  <c r="R1873" i="1"/>
  <c r="Q1873" i="1"/>
  <c r="P1873" i="1"/>
  <c r="O1873" i="1"/>
  <c r="B1873" i="1"/>
  <c r="H1873" i="1"/>
  <c r="G1873" i="1"/>
  <c r="F1873" i="1"/>
  <c r="E1873" i="1"/>
  <c r="N1873" i="1"/>
  <c r="M1873" i="1"/>
  <c r="L1873" i="1"/>
  <c r="K1873" i="1"/>
  <c r="J1873" i="1"/>
  <c r="I1873" i="1"/>
  <c r="D1873" i="1"/>
  <c r="C1873" i="1"/>
  <c r="A1873" i="1"/>
  <c r="AE1872" i="1"/>
  <c r="AD1872" i="1"/>
  <c r="AC1872" i="1"/>
  <c r="AB1872" i="1"/>
  <c r="AA1872" i="1"/>
  <c r="Z1872" i="1"/>
  <c r="Y1872" i="1"/>
  <c r="X1872" i="1"/>
  <c r="W1872" i="1"/>
  <c r="V1872" i="1"/>
  <c r="U1872" i="1"/>
  <c r="T1872" i="1"/>
  <c r="S1872" i="1"/>
  <c r="R1872" i="1"/>
  <c r="Q1872" i="1"/>
  <c r="P1872" i="1"/>
  <c r="O1872" i="1"/>
  <c r="B1872" i="1"/>
  <c r="H1872" i="1"/>
  <c r="G1872" i="1"/>
  <c r="F1872" i="1"/>
  <c r="E1872" i="1"/>
  <c r="N1872" i="1"/>
  <c r="M1872" i="1"/>
  <c r="L1872" i="1"/>
  <c r="K1872" i="1"/>
  <c r="J1872" i="1"/>
  <c r="I1872" i="1"/>
  <c r="D1872" i="1"/>
  <c r="C1872" i="1"/>
  <c r="A1872" i="1"/>
  <c r="AE1871" i="1"/>
  <c r="AD1871" i="1"/>
  <c r="AC1871" i="1"/>
  <c r="AB1871" i="1"/>
  <c r="AA1871" i="1"/>
  <c r="Z1871" i="1"/>
  <c r="Y1871" i="1"/>
  <c r="X1871" i="1"/>
  <c r="W1871" i="1"/>
  <c r="V1871" i="1"/>
  <c r="U1871" i="1"/>
  <c r="T1871" i="1"/>
  <c r="S1871" i="1"/>
  <c r="R1871" i="1"/>
  <c r="Q1871" i="1"/>
  <c r="P1871" i="1"/>
  <c r="O1871" i="1"/>
  <c r="B1871" i="1"/>
  <c r="H1871" i="1"/>
  <c r="G1871" i="1"/>
  <c r="F1871" i="1"/>
  <c r="E1871" i="1"/>
  <c r="N1871" i="1"/>
  <c r="M1871" i="1"/>
  <c r="L1871" i="1"/>
  <c r="K1871" i="1"/>
  <c r="J1871" i="1"/>
  <c r="I1871" i="1"/>
  <c r="D1871" i="1"/>
  <c r="C1871" i="1"/>
  <c r="A1871" i="1"/>
  <c r="AE1870" i="1"/>
  <c r="AD1870" i="1"/>
  <c r="AC1870" i="1"/>
  <c r="AB1870" i="1"/>
  <c r="AA1870" i="1"/>
  <c r="Z1870" i="1"/>
  <c r="Y1870" i="1"/>
  <c r="X1870" i="1"/>
  <c r="W1870" i="1"/>
  <c r="V1870" i="1"/>
  <c r="U1870" i="1"/>
  <c r="T1870" i="1"/>
  <c r="S1870" i="1"/>
  <c r="R1870" i="1"/>
  <c r="Q1870" i="1"/>
  <c r="P1870" i="1"/>
  <c r="O1870" i="1"/>
  <c r="B1870" i="1"/>
  <c r="H1870" i="1"/>
  <c r="G1870" i="1"/>
  <c r="F1870" i="1"/>
  <c r="E1870" i="1"/>
  <c r="N1870" i="1"/>
  <c r="M1870" i="1"/>
  <c r="L1870" i="1"/>
  <c r="K1870" i="1"/>
  <c r="J1870" i="1"/>
  <c r="I1870" i="1"/>
  <c r="D1870" i="1"/>
  <c r="C1870" i="1"/>
  <c r="A1870" i="1"/>
  <c r="AE1869" i="1"/>
  <c r="AD1869" i="1"/>
  <c r="AC1869" i="1"/>
  <c r="AB1869" i="1"/>
  <c r="AA1869" i="1"/>
  <c r="Z1869" i="1"/>
  <c r="Y1869" i="1"/>
  <c r="X1869" i="1"/>
  <c r="W1869" i="1"/>
  <c r="V1869" i="1"/>
  <c r="U1869" i="1"/>
  <c r="T1869" i="1"/>
  <c r="S1869" i="1"/>
  <c r="R1869" i="1"/>
  <c r="Q1869" i="1"/>
  <c r="P1869" i="1"/>
  <c r="O1869" i="1"/>
  <c r="B1869" i="1"/>
  <c r="H1869" i="1"/>
  <c r="G1869" i="1"/>
  <c r="F1869" i="1"/>
  <c r="E1869" i="1"/>
  <c r="N1869" i="1"/>
  <c r="M1869" i="1"/>
  <c r="L1869" i="1"/>
  <c r="K1869" i="1"/>
  <c r="J1869" i="1"/>
  <c r="I1869" i="1"/>
  <c r="D1869" i="1"/>
  <c r="C1869" i="1"/>
  <c r="A1869" i="1"/>
  <c r="AE1868" i="1"/>
  <c r="AD1868" i="1"/>
  <c r="AC1868" i="1"/>
  <c r="AB1868" i="1"/>
  <c r="AA1868" i="1"/>
  <c r="Z1868" i="1"/>
  <c r="Y1868" i="1"/>
  <c r="X1868" i="1"/>
  <c r="W1868" i="1"/>
  <c r="V1868" i="1"/>
  <c r="U1868" i="1"/>
  <c r="T1868" i="1"/>
  <c r="S1868" i="1"/>
  <c r="R1868" i="1"/>
  <c r="Q1868" i="1"/>
  <c r="P1868" i="1"/>
  <c r="O1868" i="1"/>
  <c r="B1868" i="1"/>
  <c r="H1868" i="1"/>
  <c r="G1868" i="1"/>
  <c r="F1868" i="1"/>
  <c r="E1868" i="1"/>
  <c r="N1868" i="1"/>
  <c r="M1868" i="1"/>
  <c r="L1868" i="1"/>
  <c r="K1868" i="1"/>
  <c r="J1868" i="1"/>
  <c r="I1868" i="1"/>
  <c r="D1868" i="1"/>
  <c r="C1868" i="1"/>
  <c r="A1868" i="1"/>
  <c r="AE1867" i="1"/>
  <c r="AD1867" i="1"/>
  <c r="AC1867" i="1"/>
  <c r="AB1867" i="1"/>
  <c r="AA1867" i="1"/>
  <c r="Z1867" i="1"/>
  <c r="Y1867" i="1"/>
  <c r="X1867" i="1"/>
  <c r="W1867" i="1"/>
  <c r="V1867" i="1"/>
  <c r="U1867" i="1"/>
  <c r="T1867" i="1"/>
  <c r="S1867" i="1"/>
  <c r="R1867" i="1"/>
  <c r="Q1867" i="1"/>
  <c r="P1867" i="1"/>
  <c r="O1867" i="1"/>
  <c r="B1867" i="1"/>
  <c r="H1867" i="1"/>
  <c r="G1867" i="1"/>
  <c r="F1867" i="1"/>
  <c r="E1867" i="1"/>
  <c r="N1867" i="1"/>
  <c r="M1867" i="1"/>
  <c r="L1867" i="1"/>
  <c r="K1867" i="1"/>
  <c r="J1867" i="1"/>
  <c r="I1867" i="1"/>
  <c r="D1867" i="1"/>
  <c r="C1867" i="1"/>
  <c r="A1867" i="1"/>
  <c r="AE1866" i="1"/>
  <c r="AD1866" i="1"/>
  <c r="AC1866" i="1"/>
  <c r="AB1866" i="1"/>
  <c r="AA1866" i="1"/>
  <c r="Z1866" i="1"/>
  <c r="Y1866" i="1"/>
  <c r="X1866" i="1"/>
  <c r="W1866" i="1"/>
  <c r="V1866" i="1"/>
  <c r="U1866" i="1"/>
  <c r="T1866" i="1"/>
  <c r="S1866" i="1"/>
  <c r="R1866" i="1"/>
  <c r="Q1866" i="1"/>
  <c r="P1866" i="1"/>
  <c r="O1866" i="1"/>
  <c r="B1866" i="1"/>
  <c r="H1866" i="1"/>
  <c r="G1866" i="1"/>
  <c r="F1866" i="1"/>
  <c r="E1866" i="1"/>
  <c r="N1866" i="1"/>
  <c r="M1866" i="1"/>
  <c r="L1866" i="1"/>
  <c r="K1866" i="1"/>
  <c r="J1866" i="1"/>
  <c r="I1866" i="1"/>
  <c r="D1866" i="1"/>
  <c r="C1866" i="1"/>
  <c r="A1866" i="1"/>
  <c r="AE1865" i="1"/>
  <c r="AD1865" i="1"/>
  <c r="AC1865" i="1"/>
  <c r="AB1865" i="1"/>
  <c r="AA1865" i="1"/>
  <c r="Z1865" i="1"/>
  <c r="Y1865" i="1"/>
  <c r="X1865" i="1"/>
  <c r="W1865" i="1"/>
  <c r="V1865" i="1"/>
  <c r="U1865" i="1"/>
  <c r="T1865" i="1"/>
  <c r="S1865" i="1"/>
  <c r="R1865" i="1"/>
  <c r="Q1865" i="1"/>
  <c r="P1865" i="1"/>
  <c r="O1865" i="1"/>
  <c r="B1865" i="1"/>
  <c r="H1865" i="1"/>
  <c r="G1865" i="1"/>
  <c r="F1865" i="1"/>
  <c r="E1865" i="1"/>
  <c r="N1865" i="1"/>
  <c r="M1865" i="1"/>
  <c r="L1865" i="1"/>
  <c r="K1865" i="1"/>
  <c r="J1865" i="1"/>
  <c r="I1865" i="1"/>
  <c r="D1865" i="1"/>
  <c r="C1865" i="1"/>
  <c r="A1865" i="1"/>
  <c r="AE1864" i="1"/>
  <c r="AD1864" i="1"/>
  <c r="AC1864" i="1"/>
  <c r="AB1864" i="1"/>
  <c r="AA1864" i="1"/>
  <c r="Z1864" i="1"/>
  <c r="Y1864" i="1"/>
  <c r="X1864" i="1"/>
  <c r="W1864" i="1"/>
  <c r="V1864" i="1"/>
  <c r="U1864" i="1"/>
  <c r="T1864" i="1"/>
  <c r="S1864" i="1"/>
  <c r="R1864" i="1"/>
  <c r="Q1864" i="1"/>
  <c r="P1864" i="1"/>
  <c r="O1864" i="1"/>
  <c r="B1864" i="1"/>
  <c r="H1864" i="1"/>
  <c r="G1864" i="1"/>
  <c r="F1864" i="1"/>
  <c r="E1864" i="1"/>
  <c r="N1864" i="1"/>
  <c r="M1864" i="1"/>
  <c r="L1864" i="1"/>
  <c r="K1864" i="1"/>
  <c r="J1864" i="1"/>
  <c r="I1864" i="1"/>
  <c r="D1864" i="1"/>
  <c r="C1864" i="1"/>
  <c r="A1864" i="1"/>
  <c r="AE1863" i="1"/>
  <c r="AD1863" i="1"/>
  <c r="AC1863" i="1"/>
  <c r="AB1863" i="1"/>
  <c r="AA1863" i="1"/>
  <c r="Z1863" i="1"/>
  <c r="Y1863" i="1"/>
  <c r="X1863" i="1"/>
  <c r="W1863" i="1"/>
  <c r="V1863" i="1"/>
  <c r="U1863" i="1"/>
  <c r="T1863" i="1"/>
  <c r="S1863" i="1"/>
  <c r="R1863" i="1"/>
  <c r="Q1863" i="1"/>
  <c r="P1863" i="1"/>
  <c r="O1863" i="1"/>
  <c r="B1863" i="1"/>
  <c r="H1863" i="1"/>
  <c r="G1863" i="1"/>
  <c r="F1863" i="1"/>
  <c r="E1863" i="1"/>
  <c r="N1863" i="1"/>
  <c r="M1863" i="1"/>
  <c r="L1863" i="1"/>
  <c r="K1863" i="1"/>
  <c r="J1863" i="1"/>
  <c r="I1863" i="1"/>
  <c r="D1863" i="1"/>
  <c r="C1863" i="1"/>
  <c r="A1863" i="1"/>
  <c r="AE1862" i="1"/>
  <c r="AD1862" i="1"/>
  <c r="AC1862" i="1"/>
  <c r="AB1862" i="1"/>
  <c r="AA1862" i="1"/>
  <c r="Z1862" i="1"/>
  <c r="Y1862" i="1"/>
  <c r="X1862" i="1"/>
  <c r="W1862" i="1"/>
  <c r="V1862" i="1"/>
  <c r="U1862" i="1"/>
  <c r="T1862" i="1"/>
  <c r="S1862" i="1"/>
  <c r="R1862" i="1"/>
  <c r="Q1862" i="1"/>
  <c r="P1862" i="1"/>
  <c r="O1862" i="1"/>
  <c r="B1862" i="1"/>
  <c r="H1862" i="1"/>
  <c r="G1862" i="1"/>
  <c r="F1862" i="1"/>
  <c r="E1862" i="1"/>
  <c r="N1862" i="1"/>
  <c r="M1862" i="1"/>
  <c r="L1862" i="1"/>
  <c r="K1862" i="1"/>
  <c r="J1862" i="1"/>
  <c r="I1862" i="1"/>
  <c r="D1862" i="1"/>
  <c r="C1862" i="1"/>
  <c r="A1862" i="1"/>
  <c r="AE1861" i="1"/>
  <c r="AD1861" i="1"/>
  <c r="AC1861" i="1"/>
  <c r="AB1861" i="1"/>
  <c r="AA1861" i="1"/>
  <c r="Z1861" i="1"/>
  <c r="Y1861" i="1"/>
  <c r="X1861" i="1"/>
  <c r="W1861" i="1"/>
  <c r="V1861" i="1"/>
  <c r="U1861" i="1"/>
  <c r="T1861" i="1"/>
  <c r="S1861" i="1"/>
  <c r="R1861" i="1"/>
  <c r="Q1861" i="1"/>
  <c r="P1861" i="1"/>
  <c r="O1861" i="1"/>
  <c r="B1861" i="1"/>
  <c r="H1861" i="1"/>
  <c r="G1861" i="1"/>
  <c r="F1861" i="1"/>
  <c r="E1861" i="1"/>
  <c r="N1861" i="1"/>
  <c r="M1861" i="1"/>
  <c r="L1861" i="1"/>
  <c r="K1861" i="1"/>
  <c r="J1861" i="1"/>
  <c r="I1861" i="1"/>
  <c r="D1861" i="1"/>
  <c r="C1861" i="1"/>
  <c r="A1861" i="1"/>
  <c r="AE1860" i="1"/>
  <c r="AD1860" i="1"/>
  <c r="AC1860" i="1"/>
  <c r="AB1860" i="1"/>
  <c r="AA1860" i="1"/>
  <c r="Z1860" i="1"/>
  <c r="Y1860" i="1"/>
  <c r="X1860" i="1"/>
  <c r="W1860" i="1"/>
  <c r="V1860" i="1"/>
  <c r="U1860" i="1"/>
  <c r="T1860" i="1"/>
  <c r="S1860" i="1"/>
  <c r="R1860" i="1"/>
  <c r="Q1860" i="1"/>
  <c r="P1860" i="1"/>
  <c r="O1860" i="1"/>
  <c r="B1860" i="1"/>
  <c r="H1860" i="1"/>
  <c r="G1860" i="1"/>
  <c r="F1860" i="1"/>
  <c r="E1860" i="1"/>
  <c r="N1860" i="1"/>
  <c r="M1860" i="1"/>
  <c r="L1860" i="1"/>
  <c r="K1860" i="1"/>
  <c r="J1860" i="1"/>
  <c r="I1860" i="1"/>
  <c r="D1860" i="1"/>
  <c r="C1860" i="1"/>
  <c r="A1860" i="1"/>
  <c r="AE1859" i="1"/>
  <c r="AD1859" i="1"/>
  <c r="AC1859" i="1"/>
  <c r="AB1859" i="1"/>
  <c r="AA1859" i="1"/>
  <c r="Z1859" i="1"/>
  <c r="Y1859" i="1"/>
  <c r="X1859" i="1"/>
  <c r="W1859" i="1"/>
  <c r="V1859" i="1"/>
  <c r="U1859" i="1"/>
  <c r="T1859" i="1"/>
  <c r="S1859" i="1"/>
  <c r="R1859" i="1"/>
  <c r="Q1859" i="1"/>
  <c r="P1859" i="1"/>
  <c r="O1859" i="1"/>
  <c r="B1859" i="1"/>
  <c r="H1859" i="1"/>
  <c r="G1859" i="1"/>
  <c r="F1859" i="1"/>
  <c r="E1859" i="1"/>
  <c r="N1859" i="1"/>
  <c r="M1859" i="1"/>
  <c r="L1859" i="1"/>
  <c r="K1859" i="1"/>
  <c r="J1859" i="1"/>
  <c r="I1859" i="1"/>
  <c r="D1859" i="1"/>
  <c r="C1859" i="1"/>
  <c r="A1859" i="1"/>
  <c r="AE1858" i="1"/>
  <c r="AD1858" i="1"/>
  <c r="AC1858" i="1"/>
  <c r="AB1858" i="1"/>
  <c r="AA1858" i="1"/>
  <c r="Z1858" i="1"/>
  <c r="Y1858" i="1"/>
  <c r="X1858" i="1"/>
  <c r="W1858" i="1"/>
  <c r="V1858" i="1"/>
  <c r="U1858" i="1"/>
  <c r="T1858" i="1"/>
  <c r="S1858" i="1"/>
  <c r="R1858" i="1"/>
  <c r="Q1858" i="1"/>
  <c r="P1858" i="1"/>
  <c r="O1858" i="1"/>
  <c r="B1858" i="1"/>
  <c r="H1858" i="1"/>
  <c r="G1858" i="1"/>
  <c r="F1858" i="1"/>
  <c r="E1858" i="1"/>
  <c r="N1858" i="1"/>
  <c r="M1858" i="1"/>
  <c r="L1858" i="1"/>
  <c r="K1858" i="1"/>
  <c r="J1858" i="1"/>
  <c r="I1858" i="1"/>
  <c r="D1858" i="1"/>
  <c r="C1858" i="1"/>
  <c r="A1858" i="1"/>
  <c r="AE1857" i="1"/>
  <c r="AD1857" i="1"/>
  <c r="AC1857" i="1"/>
  <c r="AB1857" i="1"/>
  <c r="AA1857" i="1"/>
  <c r="Z1857" i="1"/>
  <c r="Y1857" i="1"/>
  <c r="X1857" i="1"/>
  <c r="W1857" i="1"/>
  <c r="V1857" i="1"/>
  <c r="U1857" i="1"/>
  <c r="T1857" i="1"/>
  <c r="S1857" i="1"/>
  <c r="R1857" i="1"/>
  <c r="Q1857" i="1"/>
  <c r="P1857" i="1"/>
  <c r="O1857" i="1"/>
  <c r="B1857" i="1"/>
  <c r="H1857" i="1"/>
  <c r="G1857" i="1"/>
  <c r="F1857" i="1"/>
  <c r="E1857" i="1"/>
  <c r="N1857" i="1"/>
  <c r="M1857" i="1"/>
  <c r="L1857" i="1"/>
  <c r="K1857" i="1"/>
  <c r="J1857" i="1"/>
  <c r="I1857" i="1"/>
  <c r="D1857" i="1"/>
  <c r="C1857" i="1"/>
  <c r="A1857" i="1"/>
  <c r="AE1856" i="1"/>
  <c r="AD1856" i="1"/>
  <c r="AC1856" i="1"/>
  <c r="AB1856" i="1"/>
  <c r="AA1856" i="1"/>
  <c r="Z1856" i="1"/>
  <c r="Y1856" i="1"/>
  <c r="X1856" i="1"/>
  <c r="W1856" i="1"/>
  <c r="V1856" i="1"/>
  <c r="U1856" i="1"/>
  <c r="T1856" i="1"/>
  <c r="S1856" i="1"/>
  <c r="R1856" i="1"/>
  <c r="Q1856" i="1"/>
  <c r="P1856" i="1"/>
  <c r="O1856" i="1"/>
  <c r="B1856" i="1"/>
  <c r="H1856" i="1"/>
  <c r="G1856" i="1"/>
  <c r="F1856" i="1"/>
  <c r="E1856" i="1"/>
  <c r="N1856" i="1"/>
  <c r="M1856" i="1"/>
  <c r="L1856" i="1"/>
  <c r="K1856" i="1"/>
  <c r="J1856" i="1"/>
  <c r="I1856" i="1"/>
  <c r="D1856" i="1"/>
  <c r="C1856" i="1"/>
  <c r="A1856" i="1"/>
  <c r="AE1855" i="1"/>
  <c r="AD1855" i="1"/>
  <c r="AC1855" i="1"/>
  <c r="AB1855" i="1"/>
  <c r="AA1855" i="1"/>
  <c r="Z1855" i="1"/>
  <c r="Y1855" i="1"/>
  <c r="X1855" i="1"/>
  <c r="W1855" i="1"/>
  <c r="V1855" i="1"/>
  <c r="U1855" i="1"/>
  <c r="T1855" i="1"/>
  <c r="S1855" i="1"/>
  <c r="R1855" i="1"/>
  <c r="Q1855" i="1"/>
  <c r="P1855" i="1"/>
  <c r="O1855" i="1"/>
  <c r="B1855" i="1"/>
  <c r="H1855" i="1"/>
  <c r="G1855" i="1"/>
  <c r="F1855" i="1"/>
  <c r="E1855" i="1"/>
  <c r="N1855" i="1"/>
  <c r="M1855" i="1"/>
  <c r="L1855" i="1"/>
  <c r="K1855" i="1"/>
  <c r="J1855" i="1"/>
  <c r="I1855" i="1"/>
  <c r="D1855" i="1"/>
  <c r="C1855" i="1"/>
  <c r="A1855" i="1"/>
  <c r="AE1854" i="1"/>
  <c r="AD1854" i="1"/>
  <c r="AC1854" i="1"/>
  <c r="AB1854" i="1"/>
  <c r="AA1854" i="1"/>
  <c r="Z1854" i="1"/>
  <c r="Y1854" i="1"/>
  <c r="X1854" i="1"/>
  <c r="W1854" i="1"/>
  <c r="V1854" i="1"/>
  <c r="U1854" i="1"/>
  <c r="T1854" i="1"/>
  <c r="S1854" i="1"/>
  <c r="R1854" i="1"/>
  <c r="Q1854" i="1"/>
  <c r="P1854" i="1"/>
  <c r="O1854" i="1"/>
  <c r="B1854" i="1"/>
  <c r="H1854" i="1"/>
  <c r="G1854" i="1"/>
  <c r="F1854" i="1"/>
  <c r="E1854" i="1"/>
  <c r="N1854" i="1"/>
  <c r="M1854" i="1"/>
  <c r="L1854" i="1"/>
  <c r="K1854" i="1"/>
  <c r="J1854" i="1"/>
  <c r="I1854" i="1"/>
  <c r="D1854" i="1"/>
  <c r="C1854" i="1"/>
  <c r="A1854" i="1"/>
  <c r="AE1853" i="1"/>
  <c r="AD1853" i="1"/>
  <c r="AC1853" i="1"/>
  <c r="AB1853" i="1"/>
  <c r="AA1853" i="1"/>
  <c r="Z1853" i="1"/>
  <c r="Y1853" i="1"/>
  <c r="X1853" i="1"/>
  <c r="W1853" i="1"/>
  <c r="V1853" i="1"/>
  <c r="U1853" i="1"/>
  <c r="T1853" i="1"/>
  <c r="S1853" i="1"/>
  <c r="R1853" i="1"/>
  <c r="Q1853" i="1"/>
  <c r="P1853" i="1"/>
  <c r="O1853" i="1"/>
  <c r="B1853" i="1"/>
  <c r="H1853" i="1"/>
  <c r="G1853" i="1"/>
  <c r="F1853" i="1"/>
  <c r="E1853" i="1"/>
  <c r="N1853" i="1"/>
  <c r="M1853" i="1"/>
  <c r="L1853" i="1"/>
  <c r="K1853" i="1"/>
  <c r="J1853" i="1"/>
  <c r="I1853" i="1"/>
  <c r="D1853" i="1"/>
  <c r="C1853" i="1"/>
  <c r="A1853" i="1"/>
  <c r="AE1852" i="1"/>
  <c r="AD1852" i="1"/>
  <c r="AC1852" i="1"/>
  <c r="AB1852" i="1"/>
  <c r="AA1852" i="1"/>
  <c r="Z1852" i="1"/>
  <c r="Y1852" i="1"/>
  <c r="X1852" i="1"/>
  <c r="W1852" i="1"/>
  <c r="V1852" i="1"/>
  <c r="U1852" i="1"/>
  <c r="T1852" i="1"/>
  <c r="S1852" i="1"/>
  <c r="R1852" i="1"/>
  <c r="Q1852" i="1"/>
  <c r="P1852" i="1"/>
  <c r="O1852" i="1"/>
  <c r="B1852" i="1"/>
  <c r="H1852" i="1"/>
  <c r="G1852" i="1"/>
  <c r="F1852" i="1"/>
  <c r="E1852" i="1"/>
  <c r="N1852" i="1"/>
  <c r="M1852" i="1"/>
  <c r="L1852" i="1"/>
  <c r="K1852" i="1"/>
  <c r="J1852" i="1"/>
  <c r="I1852" i="1"/>
  <c r="D1852" i="1"/>
  <c r="C1852" i="1"/>
  <c r="A1852" i="1"/>
  <c r="AE1851" i="1"/>
  <c r="AD1851" i="1"/>
  <c r="AC1851" i="1"/>
  <c r="AB1851" i="1"/>
  <c r="AA1851" i="1"/>
  <c r="Z1851" i="1"/>
  <c r="Y1851" i="1"/>
  <c r="X1851" i="1"/>
  <c r="W1851" i="1"/>
  <c r="V1851" i="1"/>
  <c r="U1851" i="1"/>
  <c r="T1851" i="1"/>
  <c r="S1851" i="1"/>
  <c r="R1851" i="1"/>
  <c r="Q1851" i="1"/>
  <c r="P1851" i="1"/>
  <c r="O1851" i="1"/>
  <c r="B1851" i="1"/>
  <c r="H1851" i="1"/>
  <c r="G1851" i="1"/>
  <c r="F1851" i="1"/>
  <c r="E1851" i="1"/>
  <c r="N1851" i="1"/>
  <c r="M1851" i="1"/>
  <c r="L1851" i="1"/>
  <c r="K1851" i="1"/>
  <c r="J1851" i="1"/>
  <c r="I1851" i="1"/>
  <c r="D1851" i="1"/>
  <c r="C1851" i="1"/>
  <c r="A1851" i="1"/>
  <c r="AE1850" i="1"/>
  <c r="AD1850" i="1"/>
  <c r="AC1850" i="1"/>
  <c r="AB1850" i="1"/>
  <c r="AA1850" i="1"/>
  <c r="Z1850" i="1"/>
  <c r="Y1850" i="1"/>
  <c r="X1850" i="1"/>
  <c r="W1850" i="1"/>
  <c r="V1850" i="1"/>
  <c r="U1850" i="1"/>
  <c r="T1850" i="1"/>
  <c r="S1850" i="1"/>
  <c r="R1850" i="1"/>
  <c r="Q1850" i="1"/>
  <c r="P1850" i="1"/>
  <c r="O1850" i="1"/>
  <c r="B1850" i="1"/>
  <c r="H1850" i="1"/>
  <c r="G1850" i="1"/>
  <c r="F1850" i="1"/>
  <c r="E1850" i="1"/>
  <c r="N1850" i="1"/>
  <c r="M1850" i="1"/>
  <c r="L1850" i="1"/>
  <c r="K1850" i="1"/>
  <c r="J1850" i="1"/>
  <c r="I1850" i="1"/>
  <c r="D1850" i="1"/>
  <c r="C1850" i="1"/>
  <c r="A1850" i="1"/>
  <c r="AE1849" i="1"/>
  <c r="AD1849" i="1"/>
  <c r="AC1849" i="1"/>
  <c r="AB1849" i="1"/>
  <c r="AA1849" i="1"/>
  <c r="Z1849" i="1"/>
  <c r="Y1849" i="1"/>
  <c r="X1849" i="1"/>
  <c r="W1849" i="1"/>
  <c r="V1849" i="1"/>
  <c r="U1849" i="1"/>
  <c r="T1849" i="1"/>
  <c r="S1849" i="1"/>
  <c r="R1849" i="1"/>
  <c r="Q1849" i="1"/>
  <c r="P1849" i="1"/>
  <c r="O1849" i="1"/>
  <c r="B1849" i="1"/>
  <c r="H1849" i="1"/>
  <c r="G1849" i="1"/>
  <c r="F1849" i="1"/>
  <c r="E1849" i="1"/>
  <c r="N1849" i="1"/>
  <c r="M1849" i="1"/>
  <c r="L1849" i="1"/>
  <c r="K1849" i="1"/>
  <c r="J1849" i="1"/>
  <c r="I1849" i="1"/>
  <c r="D1849" i="1"/>
  <c r="C1849" i="1"/>
  <c r="A1849" i="1"/>
  <c r="AE1848" i="1"/>
  <c r="AD1848" i="1"/>
  <c r="AC1848" i="1"/>
  <c r="AB1848" i="1"/>
  <c r="AA1848" i="1"/>
  <c r="Z1848" i="1"/>
  <c r="Y1848" i="1"/>
  <c r="X1848" i="1"/>
  <c r="W1848" i="1"/>
  <c r="V1848" i="1"/>
  <c r="U1848" i="1"/>
  <c r="T1848" i="1"/>
  <c r="S1848" i="1"/>
  <c r="R1848" i="1"/>
  <c r="Q1848" i="1"/>
  <c r="P1848" i="1"/>
  <c r="O1848" i="1"/>
  <c r="B1848" i="1"/>
  <c r="H1848" i="1"/>
  <c r="G1848" i="1"/>
  <c r="F1848" i="1"/>
  <c r="E1848" i="1"/>
  <c r="M1848" i="1"/>
  <c r="L1848" i="1"/>
  <c r="K1848" i="1"/>
  <c r="J1848" i="1"/>
  <c r="I1848" i="1"/>
  <c r="D1848" i="1"/>
  <c r="C1848" i="1"/>
  <c r="A1848" i="1"/>
  <c r="AE1847" i="1"/>
  <c r="AD1847" i="1"/>
  <c r="AC1847" i="1"/>
  <c r="AB1847" i="1"/>
  <c r="AA1847" i="1"/>
  <c r="Z1847" i="1"/>
  <c r="Y1847" i="1"/>
  <c r="X1847" i="1"/>
  <c r="W1847" i="1"/>
  <c r="V1847" i="1"/>
  <c r="U1847" i="1"/>
  <c r="T1847" i="1"/>
  <c r="S1847" i="1"/>
  <c r="R1847" i="1"/>
  <c r="Q1847" i="1"/>
  <c r="P1847" i="1"/>
  <c r="O1847" i="1"/>
  <c r="B1847" i="1"/>
  <c r="H1847" i="1"/>
  <c r="G1847" i="1"/>
  <c r="F1847" i="1"/>
  <c r="E1847" i="1"/>
  <c r="N1847" i="1"/>
  <c r="M1847" i="1"/>
  <c r="L1847" i="1"/>
  <c r="K1847" i="1"/>
  <c r="J1847" i="1"/>
  <c r="I1847" i="1"/>
  <c r="D1847" i="1"/>
  <c r="C1847" i="1"/>
  <c r="A1847" i="1"/>
  <c r="AE1846" i="1"/>
  <c r="AD1846" i="1"/>
  <c r="AC1846" i="1"/>
  <c r="AB1846" i="1"/>
  <c r="AA1846" i="1"/>
  <c r="Z1846" i="1"/>
  <c r="Y1846" i="1"/>
  <c r="X1846" i="1"/>
  <c r="W1846" i="1"/>
  <c r="V1846" i="1"/>
  <c r="U1846" i="1"/>
  <c r="T1846" i="1"/>
  <c r="S1846" i="1"/>
  <c r="R1846" i="1"/>
  <c r="Q1846" i="1"/>
  <c r="P1846" i="1"/>
  <c r="O1846" i="1"/>
  <c r="B1846" i="1"/>
  <c r="H1846" i="1"/>
  <c r="G1846" i="1"/>
  <c r="F1846" i="1"/>
  <c r="E1846" i="1"/>
  <c r="N1846" i="1"/>
  <c r="M1846" i="1"/>
  <c r="L1846" i="1"/>
  <c r="K1846" i="1"/>
  <c r="J1846" i="1"/>
  <c r="I1846" i="1"/>
  <c r="D1846" i="1"/>
  <c r="C1846" i="1"/>
  <c r="A1846" i="1"/>
  <c r="AE1845" i="1"/>
  <c r="AD1845" i="1"/>
  <c r="AC1845" i="1"/>
  <c r="AB1845" i="1"/>
  <c r="AA1845" i="1"/>
  <c r="Z1845" i="1"/>
  <c r="Y1845" i="1"/>
  <c r="X1845" i="1"/>
  <c r="W1845" i="1"/>
  <c r="V1845" i="1"/>
  <c r="U1845" i="1"/>
  <c r="T1845" i="1"/>
  <c r="S1845" i="1"/>
  <c r="R1845" i="1"/>
  <c r="Q1845" i="1"/>
  <c r="P1845" i="1"/>
  <c r="O1845" i="1"/>
  <c r="B1845" i="1"/>
  <c r="H1845" i="1"/>
  <c r="G1845" i="1"/>
  <c r="F1845" i="1"/>
  <c r="E1845" i="1"/>
  <c r="N1845" i="1"/>
  <c r="M1845" i="1"/>
  <c r="L1845" i="1"/>
  <c r="K1845" i="1"/>
  <c r="J1845" i="1"/>
  <c r="I1845" i="1"/>
  <c r="D1845" i="1"/>
  <c r="C1845" i="1"/>
  <c r="A1845" i="1"/>
  <c r="AE1844" i="1"/>
  <c r="AD1844" i="1"/>
  <c r="AC1844" i="1"/>
  <c r="AB1844" i="1"/>
  <c r="AA1844" i="1"/>
  <c r="Z1844" i="1"/>
  <c r="Y1844" i="1"/>
  <c r="X1844" i="1"/>
  <c r="W1844" i="1"/>
  <c r="V1844" i="1"/>
  <c r="U1844" i="1"/>
  <c r="T1844" i="1"/>
  <c r="S1844" i="1"/>
  <c r="R1844" i="1"/>
  <c r="Q1844" i="1"/>
  <c r="P1844" i="1"/>
  <c r="O1844" i="1"/>
  <c r="B1844" i="1"/>
  <c r="H1844" i="1"/>
  <c r="G1844" i="1"/>
  <c r="F1844" i="1"/>
  <c r="E1844" i="1"/>
  <c r="N1844" i="1"/>
  <c r="M1844" i="1"/>
  <c r="L1844" i="1"/>
  <c r="K1844" i="1"/>
  <c r="J1844" i="1"/>
  <c r="I1844" i="1"/>
  <c r="D1844" i="1"/>
  <c r="C1844" i="1"/>
  <c r="A1844" i="1"/>
  <c r="AE1843" i="1"/>
  <c r="AD1843" i="1"/>
  <c r="AC1843" i="1"/>
  <c r="AB1843" i="1"/>
  <c r="AA1843" i="1"/>
  <c r="Z1843" i="1"/>
  <c r="Y1843" i="1"/>
  <c r="X1843" i="1"/>
  <c r="W1843" i="1"/>
  <c r="V1843" i="1"/>
  <c r="U1843" i="1"/>
  <c r="T1843" i="1"/>
  <c r="S1843" i="1"/>
  <c r="R1843" i="1"/>
  <c r="Q1843" i="1"/>
  <c r="P1843" i="1"/>
  <c r="O1843" i="1"/>
  <c r="B1843" i="1"/>
  <c r="H1843" i="1"/>
  <c r="G1843" i="1"/>
  <c r="F1843" i="1"/>
  <c r="E1843" i="1"/>
  <c r="N1843" i="1"/>
  <c r="M1843" i="1"/>
  <c r="L1843" i="1"/>
  <c r="K1843" i="1"/>
  <c r="J1843" i="1"/>
  <c r="I1843" i="1"/>
  <c r="D1843" i="1"/>
  <c r="C1843" i="1"/>
  <c r="A1843" i="1"/>
  <c r="AE1842" i="1"/>
  <c r="AD1842" i="1"/>
  <c r="AC1842" i="1"/>
  <c r="AB1842" i="1"/>
  <c r="AA1842" i="1"/>
  <c r="Z1842" i="1"/>
  <c r="Y1842" i="1"/>
  <c r="X1842" i="1"/>
  <c r="W1842" i="1"/>
  <c r="V1842" i="1"/>
  <c r="U1842" i="1"/>
  <c r="T1842" i="1"/>
  <c r="S1842" i="1"/>
  <c r="R1842" i="1"/>
  <c r="Q1842" i="1"/>
  <c r="P1842" i="1"/>
  <c r="O1842" i="1"/>
  <c r="B1842" i="1"/>
  <c r="H1842" i="1"/>
  <c r="G1842" i="1"/>
  <c r="F1842" i="1"/>
  <c r="E1842" i="1"/>
  <c r="M1842" i="1"/>
  <c r="L1842" i="1"/>
  <c r="K1842" i="1"/>
  <c r="J1842" i="1"/>
  <c r="I1842" i="1"/>
  <c r="D1842" i="1"/>
  <c r="C1842" i="1"/>
  <c r="A1842" i="1"/>
  <c r="AE1841" i="1"/>
  <c r="AD1841" i="1"/>
  <c r="AC1841" i="1"/>
  <c r="AB1841" i="1"/>
  <c r="AA1841" i="1"/>
  <c r="Z1841" i="1"/>
  <c r="Y1841" i="1"/>
  <c r="X1841" i="1"/>
  <c r="W1841" i="1"/>
  <c r="V1841" i="1"/>
  <c r="U1841" i="1"/>
  <c r="T1841" i="1"/>
  <c r="S1841" i="1"/>
  <c r="R1841" i="1"/>
  <c r="Q1841" i="1"/>
  <c r="P1841" i="1"/>
  <c r="O1841" i="1"/>
  <c r="B1841" i="1"/>
  <c r="H1841" i="1"/>
  <c r="G1841" i="1"/>
  <c r="F1841" i="1"/>
  <c r="E1841" i="1"/>
  <c r="N1841" i="1"/>
  <c r="M1841" i="1"/>
  <c r="L1841" i="1"/>
  <c r="K1841" i="1"/>
  <c r="J1841" i="1"/>
  <c r="I1841" i="1"/>
  <c r="D1841" i="1"/>
  <c r="C1841" i="1"/>
  <c r="A1841" i="1"/>
  <c r="AE1840" i="1"/>
  <c r="AD1840" i="1"/>
  <c r="AC1840" i="1"/>
  <c r="AB1840" i="1"/>
  <c r="AA1840" i="1"/>
  <c r="Z1840" i="1"/>
  <c r="Y1840" i="1"/>
  <c r="X1840" i="1"/>
  <c r="W1840" i="1"/>
  <c r="V1840" i="1"/>
  <c r="U1840" i="1"/>
  <c r="T1840" i="1"/>
  <c r="S1840" i="1"/>
  <c r="R1840" i="1"/>
  <c r="Q1840" i="1"/>
  <c r="P1840" i="1"/>
  <c r="O1840" i="1"/>
  <c r="B1840" i="1"/>
  <c r="H1840" i="1"/>
  <c r="G1840" i="1"/>
  <c r="F1840" i="1"/>
  <c r="E1840" i="1"/>
  <c r="N1840" i="1"/>
  <c r="M1840" i="1"/>
  <c r="L1840" i="1"/>
  <c r="K1840" i="1"/>
  <c r="J1840" i="1"/>
  <c r="I1840" i="1"/>
  <c r="D1840" i="1"/>
  <c r="C1840" i="1"/>
  <c r="A1840" i="1"/>
  <c r="AE1839" i="1"/>
  <c r="AD1839" i="1"/>
  <c r="AC1839" i="1"/>
  <c r="AB1839" i="1"/>
  <c r="AA1839" i="1"/>
  <c r="Z1839" i="1"/>
  <c r="Y1839" i="1"/>
  <c r="X1839" i="1"/>
  <c r="W1839" i="1"/>
  <c r="V1839" i="1"/>
  <c r="U1839" i="1"/>
  <c r="T1839" i="1"/>
  <c r="S1839" i="1"/>
  <c r="R1839" i="1"/>
  <c r="Q1839" i="1"/>
  <c r="P1839" i="1"/>
  <c r="O1839" i="1"/>
  <c r="B1839" i="1"/>
  <c r="H1839" i="1"/>
  <c r="G1839" i="1"/>
  <c r="F1839" i="1"/>
  <c r="E1839" i="1"/>
  <c r="N1839" i="1"/>
  <c r="M1839" i="1"/>
  <c r="L1839" i="1"/>
  <c r="K1839" i="1"/>
  <c r="J1839" i="1"/>
  <c r="I1839" i="1"/>
  <c r="D1839" i="1"/>
  <c r="C1839" i="1"/>
  <c r="A1839" i="1"/>
  <c r="AE1838" i="1"/>
  <c r="AD1838" i="1"/>
  <c r="AC1838" i="1"/>
  <c r="AB1838" i="1"/>
  <c r="AA1838" i="1"/>
  <c r="Z1838" i="1"/>
  <c r="Y1838" i="1"/>
  <c r="X1838" i="1"/>
  <c r="W1838" i="1"/>
  <c r="V1838" i="1"/>
  <c r="U1838" i="1"/>
  <c r="T1838" i="1"/>
  <c r="S1838" i="1"/>
  <c r="R1838" i="1"/>
  <c r="Q1838" i="1"/>
  <c r="P1838" i="1"/>
  <c r="O1838" i="1"/>
  <c r="B1838" i="1"/>
  <c r="H1838" i="1"/>
  <c r="G1838" i="1"/>
  <c r="F1838" i="1"/>
  <c r="E1838" i="1"/>
  <c r="N1838" i="1"/>
  <c r="M1838" i="1"/>
  <c r="L1838" i="1"/>
  <c r="K1838" i="1"/>
  <c r="J1838" i="1"/>
  <c r="I1838" i="1"/>
  <c r="D1838" i="1"/>
  <c r="C1838" i="1"/>
  <c r="A1838" i="1"/>
  <c r="AE1837" i="1"/>
  <c r="AD1837" i="1"/>
  <c r="AC1837" i="1"/>
  <c r="AB1837" i="1"/>
  <c r="AA1837" i="1"/>
  <c r="Z1837" i="1"/>
  <c r="Y1837" i="1"/>
  <c r="X1837" i="1"/>
  <c r="W1837" i="1"/>
  <c r="V1837" i="1"/>
  <c r="U1837" i="1"/>
  <c r="T1837" i="1"/>
  <c r="S1837" i="1"/>
  <c r="R1837" i="1"/>
  <c r="Q1837" i="1"/>
  <c r="P1837" i="1"/>
  <c r="O1837" i="1"/>
  <c r="B1837" i="1"/>
  <c r="H1837" i="1"/>
  <c r="G1837" i="1"/>
  <c r="F1837" i="1"/>
  <c r="E1837" i="1"/>
  <c r="N1837" i="1"/>
  <c r="M1837" i="1"/>
  <c r="L1837" i="1"/>
  <c r="K1837" i="1"/>
  <c r="J1837" i="1"/>
  <c r="I1837" i="1"/>
  <c r="D1837" i="1"/>
  <c r="C1837" i="1"/>
  <c r="A1837" i="1"/>
  <c r="AE1836" i="1"/>
  <c r="AD1836" i="1"/>
  <c r="AC1836" i="1"/>
  <c r="AB1836" i="1"/>
  <c r="AA1836" i="1"/>
  <c r="Z1836" i="1"/>
  <c r="Y1836" i="1"/>
  <c r="X1836" i="1"/>
  <c r="W1836" i="1"/>
  <c r="V1836" i="1"/>
  <c r="U1836" i="1"/>
  <c r="T1836" i="1"/>
  <c r="S1836" i="1"/>
  <c r="R1836" i="1"/>
  <c r="Q1836" i="1"/>
  <c r="P1836" i="1"/>
  <c r="O1836" i="1"/>
  <c r="B1836" i="1"/>
  <c r="H1836" i="1"/>
  <c r="G1836" i="1"/>
  <c r="F1836" i="1"/>
  <c r="E1836" i="1"/>
  <c r="N1836" i="1"/>
  <c r="M1836" i="1"/>
  <c r="L1836" i="1"/>
  <c r="K1836" i="1"/>
  <c r="J1836" i="1"/>
  <c r="I1836" i="1"/>
  <c r="D1836" i="1"/>
  <c r="C1836" i="1"/>
  <c r="A1836" i="1"/>
  <c r="AE1835" i="1"/>
  <c r="AD1835" i="1"/>
  <c r="AC1835" i="1"/>
  <c r="AB1835" i="1"/>
  <c r="AA1835" i="1"/>
  <c r="Z1835" i="1"/>
  <c r="Y1835" i="1"/>
  <c r="X1835" i="1"/>
  <c r="W1835" i="1"/>
  <c r="V1835" i="1"/>
  <c r="U1835" i="1"/>
  <c r="T1835" i="1"/>
  <c r="S1835" i="1"/>
  <c r="R1835" i="1"/>
  <c r="Q1835" i="1"/>
  <c r="P1835" i="1"/>
  <c r="O1835" i="1"/>
  <c r="B1835" i="1"/>
  <c r="H1835" i="1"/>
  <c r="G1835" i="1"/>
  <c r="F1835" i="1"/>
  <c r="E1835" i="1"/>
  <c r="N1835" i="1"/>
  <c r="M1835" i="1"/>
  <c r="L1835" i="1"/>
  <c r="K1835" i="1"/>
  <c r="J1835" i="1"/>
  <c r="I1835" i="1"/>
  <c r="D1835" i="1"/>
  <c r="C1835" i="1"/>
  <c r="A1835" i="1"/>
  <c r="AE1834" i="1"/>
  <c r="AD1834" i="1"/>
  <c r="AC1834" i="1"/>
  <c r="AB1834" i="1"/>
  <c r="AA1834" i="1"/>
  <c r="Z1834" i="1"/>
  <c r="Y1834" i="1"/>
  <c r="X1834" i="1"/>
  <c r="W1834" i="1"/>
  <c r="V1834" i="1"/>
  <c r="U1834" i="1"/>
  <c r="T1834" i="1"/>
  <c r="S1834" i="1"/>
  <c r="R1834" i="1"/>
  <c r="Q1834" i="1"/>
  <c r="P1834" i="1"/>
  <c r="O1834" i="1"/>
  <c r="B1834" i="1"/>
  <c r="H1834" i="1"/>
  <c r="G1834" i="1"/>
  <c r="F1834" i="1"/>
  <c r="E1834" i="1"/>
  <c r="N1834" i="1"/>
  <c r="M1834" i="1"/>
  <c r="L1834" i="1"/>
  <c r="K1834" i="1"/>
  <c r="J1834" i="1"/>
  <c r="I1834" i="1"/>
  <c r="D1834" i="1"/>
  <c r="C1834" i="1"/>
  <c r="A1834" i="1"/>
  <c r="AE1833" i="1"/>
  <c r="AD1833" i="1"/>
  <c r="AC1833" i="1"/>
  <c r="AB1833" i="1"/>
  <c r="AA1833" i="1"/>
  <c r="Z1833" i="1"/>
  <c r="Y1833" i="1"/>
  <c r="X1833" i="1"/>
  <c r="W1833" i="1"/>
  <c r="V1833" i="1"/>
  <c r="U1833" i="1"/>
  <c r="T1833" i="1"/>
  <c r="S1833" i="1"/>
  <c r="R1833" i="1"/>
  <c r="Q1833" i="1"/>
  <c r="P1833" i="1"/>
  <c r="O1833" i="1"/>
  <c r="B1833" i="1"/>
  <c r="H1833" i="1"/>
  <c r="G1833" i="1"/>
  <c r="F1833" i="1"/>
  <c r="E1833" i="1"/>
  <c r="N1833" i="1"/>
  <c r="M1833" i="1"/>
  <c r="L1833" i="1"/>
  <c r="K1833" i="1"/>
  <c r="J1833" i="1"/>
  <c r="I1833" i="1"/>
  <c r="D1833" i="1"/>
  <c r="C1833" i="1"/>
  <c r="A1833" i="1"/>
  <c r="AE1832" i="1"/>
  <c r="AD1832" i="1"/>
  <c r="AC1832" i="1"/>
  <c r="AB1832" i="1"/>
  <c r="AA1832" i="1"/>
  <c r="Z1832" i="1"/>
  <c r="Y1832" i="1"/>
  <c r="X1832" i="1"/>
  <c r="W1832" i="1"/>
  <c r="V1832" i="1"/>
  <c r="U1832" i="1"/>
  <c r="T1832" i="1"/>
  <c r="S1832" i="1"/>
  <c r="R1832" i="1"/>
  <c r="Q1832" i="1"/>
  <c r="P1832" i="1"/>
  <c r="O1832" i="1"/>
  <c r="B1832" i="1"/>
  <c r="H1832" i="1"/>
  <c r="G1832" i="1"/>
  <c r="F1832" i="1"/>
  <c r="E1832" i="1"/>
  <c r="N1832" i="1"/>
  <c r="M1832" i="1"/>
  <c r="L1832" i="1"/>
  <c r="K1832" i="1"/>
  <c r="J1832" i="1"/>
  <c r="I1832" i="1"/>
  <c r="D1832" i="1"/>
  <c r="C1832" i="1"/>
  <c r="A1832" i="1"/>
  <c r="AE1831" i="1"/>
  <c r="AD1831" i="1"/>
  <c r="AC1831" i="1"/>
  <c r="AB1831" i="1"/>
  <c r="AA1831" i="1"/>
  <c r="Z1831" i="1"/>
  <c r="Y1831" i="1"/>
  <c r="X1831" i="1"/>
  <c r="W1831" i="1"/>
  <c r="V1831" i="1"/>
  <c r="U1831" i="1"/>
  <c r="T1831" i="1"/>
  <c r="S1831" i="1"/>
  <c r="R1831" i="1"/>
  <c r="Q1831" i="1"/>
  <c r="P1831" i="1"/>
  <c r="O1831" i="1"/>
  <c r="B1831" i="1"/>
  <c r="H1831" i="1"/>
  <c r="G1831" i="1"/>
  <c r="F1831" i="1"/>
  <c r="E1831" i="1"/>
  <c r="N1831" i="1"/>
  <c r="M1831" i="1"/>
  <c r="L1831" i="1"/>
  <c r="K1831" i="1"/>
  <c r="J1831" i="1"/>
  <c r="I1831" i="1"/>
  <c r="D1831" i="1"/>
  <c r="C1831" i="1"/>
  <c r="A1831" i="1"/>
  <c r="AE1830" i="1"/>
  <c r="AD1830" i="1"/>
  <c r="AC1830" i="1"/>
  <c r="AB1830" i="1"/>
  <c r="AA1830" i="1"/>
  <c r="Z1830" i="1"/>
  <c r="Y1830" i="1"/>
  <c r="X1830" i="1"/>
  <c r="W1830" i="1"/>
  <c r="V1830" i="1"/>
  <c r="U1830" i="1"/>
  <c r="T1830" i="1"/>
  <c r="S1830" i="1"/>
  <c r="R1830" i="1"/>
  <c r="Q1830" i="1"/>
  <c r="P1830" i="1"/>
  <c r="O1830" i="1"/>
  <c r="B1830" i="1"/>
  <c r="H1830" i="1"/>
  <c r="G1830" i="1"/>
  <c r="F1830" i="1"/>
  <c r="E1830" i="1"/>
  <c r="N1830" i="1"/>
  <c r="M1830" i="1"/>
  <c r="L1830" i="1"/>
  <c r="K1830" i="1"/>
  <c r="J1830" i="1"/>
  <c r="I1830" i="1"/>
  <c r="D1830" i="1"/>
  <c r="C1830" i="1"/>
  <c r="A1830" i="1"/>
  <c r="AE1829" i="1"/>
  <c r="AD1829" i="1"/>
  <c r="AC1829" i="1"/>
  <c r="AB1829" i="1"/>
  <c r="AA1829" i="1"/>
  <c r="Z1829" i="1"/>
  <c r="Y1829" i="1"/>
  <c r="X1829" i="1"/>
  <c r="W1829" i="1"/>
  <c r="V1829" i="1"/>
  <c r="U1829" i="1"/>
  <c r="T1829" i="1"/>
  <c r="S1829" i="1"/>
  <c r="R1829" i="1"/>
  <c r="Q1829" i="1"/>
  <c r="P1829" i="1"/>
  <c r="O1829" i="1"/>
  <c r="B1829" i="1"/>
  <c r="H1829" i="1"/>
  <c r="G1829" i="1"/>
  <c r="F1829" i="1"/>
  <c r="E1829" i="1"/>
  <c r="N1829" i="1"/>
  <c r="M1829" i="1"/>
  <c r="L1829" i="1"/>
  <c r="K1829" i="1"/>
  <c r="J1829" i="1"/>
  <c r="I1829" i="1"/>
  <c r="D1829" i="1"/>
  <c r="C1829" i="1"/>
  <c r="A1829" i="1"/>
  <c r="AE1828" i="1"/>
  <c r="AD1828" i="1"/>
  <c r="AC1828" i="1"/>
  <c r="AB1828" i="1"/>
  <c r="AA1828" i="1"/>
  <c r="Z1828" i="1"/>
  <c r="Y1828" i="1"/>
  <c r="X1828" i="1"/>
  <c r="W1828" i="1"/>
  <c r="V1828" i="1"/>
  <c r="U1828" i="1"/>
  <c r="T1828" i="1"/>
  <c r="S1828" i="1"/>
  <c r="R1828" i="1"/>
  <c r="Q1828" i="1"/>
  <c r="P1828" i="1"/>
  <c r="O1828" i="1"/>
  <c r="B1828" i="1"/>
  <c r="H1828" i="1"/>
  <c r="G1828" i="1"/>
  <c r="F1828" i="1"/>
  <c r="E1828" i="1"/>
  <c r="N1828" i="1"/>
  <c r="M1828" i="1"/>
  <c r="L1828" i="1"/>
  <c r="K1828" i="1"/>
  <c r="J1828" i="1"/>
  <c r="I1828" i="1"/>
  <c r="D1828" i="1"/>
  <c r="C1828" i="1"/>
  <c r="A1828" i="1"/>
  <c r="AE1827" i="1"/>
  <c r="AD1827" i="1"/>
  <c r="AC1827" i="1"/>
  <c r="AB1827" i="1"/>
  <c r="AA1827" i="1"/>
  <c r="Z1827" i="1"/>
  <c r="Y1827" i="1"/>
  <c r="X1827" i="1"/>
  <c r="W1827" i="1"/>
  <c r="V1827" i="1"/>
  <c r="U1827" i="1"/>
  <c r="T1827" i="1"/>
  <c r="S1827" i="1"/>
  <c r="R1827" i="1"/>
  <c r="Q1827" i="1"/>
  <c r="P1827" i="1"/>
  <c r="O1827" i="1"/>
  <c r="B1827" i="1"/>
  <c r="H1827" i="1"/>
  <c r="G1827" i="1"/>
  <c r="F1827" i="1"/>
  <c r="E1827" i="1"/>
  <c r="N1827" i="1"/>
  <c r="M1827" i="1"/>
  <c r="L1827" i="1"/>
  <c r="K1827" i="1"/>
  <c r="J1827" i="1"/>
  <c r="I1827" i="1"/>
  <c r="D1827" i="1"/>
  <c r="C1827" i="1"/>
  <c r="A1827" i="1"/>
  <c r="AE1826" i="1"/>
  <c r="AD1826" i="1"/>
  <c r="AC1826" i="1"/>
  <c r="AB1826" i="1"/>
  <c r="AA1826" i="1"/>
  <c r="Z1826" i="1"/>
  <c r="Y1826" i="1"/>
  <c r="X1826" i="1"/>
  <c r="W1826" i="1"/>
  <c r="V1826" i="1"/>
  <c r="U1826" i="1"/>
  <c r="T1826" i="1"/>
  <c r="S1826" i="1"/>
  <c r="R1826" i="1"/>
  <c r="Q1826" i="1"/>
  <c r="P1826" i="1"/>
  <c r="O1826" i="1"/>
  <c r="B1826" i="1"/>
  <c r="H1826" i="1"/>
  <c r="G1826" i="1"/>
  <c r="F1826" i="1"/>
  <c r="E1826" i="1"/>
  <c r="N1826" i="1"/>
  <c r="M1826" i="1"/>
  <c r="L1826" i="1"/>
  <c r="K1826" i="1"/>
  <c r="J1826" i="1"/>
  <c r="I1826" i="1"/>
  <c r="D1826" i="1"/>
  <c r="C1826" i="1"/>
  <c r="A1826" i="1"/>
  <c r="AE1825" i="1"/>
  <c r="AD1825" i="1"/>
  <c r="AC1825" i="1"/>
  <c r="AB1825" i="1"/>
  <c r="AA1825" i="1"/>
  <c r="Z1825" i="1"/>
  <c r="Y1825" i="1"/>
  <c r="X1825" i="1"/>
  <c r="W1825" i="1"/>
  <c r="V1825" i="1"/>
  <c r="U1825" i="1"/>
  <c r="T1825" i="1"/>
  <c r="S1825" i="1"/>
  <c r="R1825" i="1"/>
  <c r="Q1825" i="1"/>
  <c r="P1825" i="1"/>
  <c r="O1825" i="1"/>
  <c r="B1825" i="1"/>
  <c r="H1825" i="1"/>
  <c r="G1825" i="1"/>
  <c r="F1825" i="1"/>
  <c r="E1825" i="1"/>
  <c r="N1825" i="1"/>
  <c r="M1825" i="1"/>
  <c r="L1825" i="1"/>
  <c r="K1825" i="1"/>
  <c r="J1825" i="1"/>
  <c r="I1825" i="1"/>
  <c r="D1825" i="1"/>
  <c r="C1825" i="1"/>
  <c r="A1825" i="1"/>
  <c r="AE1824" i="1"/>
  <c r="AD1824" i="1"/>
  <c r="AC1824" i="1"/>
  <c r="AB1824" i="1"/>
  <c r="AA1824" i="1"/>
  <c r="Z1824" i="1"/>
  <c r="Y1824" i="1"/>
  <c r="X1824" i="1"/>
  <c r="W1824" i="1"/>
  <c r="V1824" i="1"/>
  <c r="U1824" i="1"/>
  <c r="T1824" i="1"/>
  <c r="S1824" i="1"/>
  <c r="R1824" i="1"/>
  <c r="Q1824" i="1"/>
  <c r="P1824" i="1"/>
  <c r="O1824" i="1"/>
  <c r="B1824" i="1"/>
  <c r="H1824" i="1"/>
  <c r="G1824" i="1"/>
  <c r="F1824" i="1"/>
  <c r="E1824" i="1"/>
  <c r="N1824" i="1"/>
  <c r="M1824" i="1"/>
  <c r="L1824" i="1"/>
  <c r="K1824" i="1"/>
  <c r="J1824" i="1"/>
  <c r="I1824" i="1"/>
  <c r="D1824" i="1"/>
  <c r="C1824" i="1"/>
  <c r="A1824" i="1"/>
  <c r="AE1823" i="1"/>
  <c r="AD1823" i="1"/>
  <c r="AC1823" i="1"/>
  <c r="AB1823" i="1"/>
  <c r="AA1823" i="1"/>
  <c r="Z1823" i="1"/>
  <c r="Y1823" i="1"/>
  <c r="X1823" i="1"/>
  <c r="W1823" i="1"/>
  <c r="V1823" i="1"/>
  <c r="U1823" i="1"/>
  <c r="T1823" i="1"/>
  <c r="S1823" i="1"/>
  <c r="R1823" i="1"/>
  <c r="Q1823" i="1"/>
  <c r="P1823" i="1"/>
  <c r="O1823" i="1"/>
  <c r="B1823" i="1"/>
  <c r="H1823" i="1"/>
  <c r="G1823" i="1"/>
  <c r="F1823" i="1"/>
  <c r="E1823" i="1"/>
  <c r="N1823" i="1"/>
  <c r="M1823" i="1"/>
  <c r="L1823" i="1"/>
  <c r="K1823" i="1"/>
  <c r="J1823" i="1"/>
  <c r="I1823" i="1"/>
  <c r="D1823" i="1"/>
  <c r="C1823" i="1"/>
  <c r="A1823" i="1"/>
  <c r="AE1822" i="1"/>
  <c r="AD1822" i="1"/>
  <c r="AC1822" i="1"/>
  <c r="AB1822" i="1"/>
  <c r="AA1822" i="1"/>
  <c r="Z1822" i="1"/>
  <c r="Y1822" i="1"/>
  <c r="X1822" i="1"/>
  <c r="W1822" i="1"/>
  <c r="V1822" i="1"/>
  <c r="U1822" i="1"/>
  <c r="T1822" i="1"/>
  <c r="S1822" i="1"/>
  <c r="R1822" i="1"/>
  <c r="Q1822" i="1"/>
  <c r="P1822" i="1"/>
  <c r="O1822" i="1"/>
  <c r="B1822" i="1"/>
  <c r="H1822" i="1"/>
  <c r="G1822" i="1"/>
  <c r="F1822" i="1"/>
  <c r="E1822" i="1"/>
  <c r="N1822" i="1"/>
  <c r="M1822" i="1"/>
  <c r="L1822" i="1"/>
  <c r="K1822" i="1"/>
  <c r="J1822" i="1"/>
  <c r="I1822" i="1"/>
  <c r="D1822" i="1"/>
  <c r="C1822" i="1"/>
  <c r="A1822" i="1"/>
  <c r="AE1821" i="1"/>
  <c r="AD1821" i="1"/>
  <c r="AC1821" i="1"/>
  <c r="AB1821" i="1"/>
  <c r="AA1821" i="1"/>
  <c r="Z1821" i="1"/>
  <c r="Y1821" i="1"/>
  <c r="X1821" i="1"/>
  <c r="W1821" i="1"/>
  <c r="V1821" i="1"/>
  <c r="U1821" i="1"/>
  <c r="T1821" i="1"/>
  <c r="S1821" i="1"/>
  <c r="R1821" i="1"/>
  <c r="Q1821" i="1"/>
  <c r="P1821" i="1"/>
  <c r="O1821" i="1"/>
  <c r="B1821" i="1"/>
  <c r="H1821" i="1"/>
  <c r="G1821" i="1"/>
  <c r="F1821" i="1"/>
  <c r="E1821" i="1"/>
  <c r="N1821" i="1"/>
  <c r="M1821" i="1"/>
  <c r="L1821" i="1"/>
  <c r="K1821" i="1"/>
  <c r="J1821" i="1"/>
  <c r="I1821" i="1"/>
  <c r="D1821" i="1"/>
  <c r="C1821" i="1"/>
  <c r="A1821" i="1"/>
  <c r="AE1820" i="1"/>
  <c r="AD1820" i="1"/>
  <c r="AC1820" i="1"/>
  <c r="AB1820" i="1"/>
  <c r="AA1820" i="1"/>
  <c r="Z1820" i="1"/>
  <c r="Y1820" i="1"/>
  <c r="X1820" i="1"/>
  <c r="W1820" i="1"/>
  <c r="V1820" i="1"/>
  <c r="U1820" i="1"/>
  <c r="T1820" i="1"/>
  <c r="S1820" i="1"/>
  <c r="R1820" i="1"/>
  <c r="Q1820" i="1"/>
  <c r="P1820" i="1"/>
  <c r="O1820" i="1"/>
  <c r="B1820" i="1"/>
  <c r="H1820" i="1"/>
  <c r="G1820" i="1"/>
  <c r="F1820" i="1"/>
  <c r="E1820" i="1"/>
  <c r="N1820" i="1"/>
  <c r="M1820" i="1"/>
  <c r="L1820" i="1"/>
  <c r="K1820" i="1"/>
  <c r="J1820" i="1"/>
  <c r="I1820" i="1"/>
  <c r="D1820" i="1"/>
  <c r="C1820" i="1"/>
  <c r="A1820" i="1"/>
  <c r="AE1819" i="1"/>
  <c r="AD1819" i="1"/>
  <c r="AC1819" i="1"/>
  <c r="AB1819" i="1"/>
  <c r="AA1819" i="1"/>
  <c r="Z1819" i="1"/>
  <c r="Y1819" i="1"/>
  <c r="X1819" i="1"/>
  <c r="W1819" i="1"/>
  <c r="V1819" i="1"/>
  <c r="U1819" i="1"/>
  <c r="T1819" i="1"/>
  <c r="S1819" i="1"/>
  <c r="R1819" i="1"/>
  <c r="Q1819" i="1"/>
  <c r="P1819" i="1"/>
  <c r="O1819" i="1"/>
  <c r="B1819" i="1"/>
  <c r="H1819" i="1"/>
  <c r="G1819" i="1"/>
  <c r="F1819" i="1"/>
  <c r="E1819" i="1"/>
  <c r="N1819" i="1"/>
  <c r="M1819" i="1"/>
  <c r="L1819" i="1"/>
  <c r="K1819" i="1"/>
  <c r="J1819" i="1"/>
  <c r="I1819" i="1"/>
  <c r="D1819" i="1"/>
  <c r="C1819" i="1"/>
  <c r="A1819" i="1"/>
  <c r="AE1818" i="1"/>
  <c r="AD1818" i="1"/>
  <c r="AC1818" i="1"/>
  <c r="AB1818" i="1"/>
  <c r="AA1818" i="1"/>
  <c r="Z1818" i="1"/>
  <c r="Y1818" i="1"/>
  <c r="X1818" i="1"/>
  <c r="W1818" i="1"/>
  <c r="V1818" i="1"/>
  <c r="U1818" i="1"/>
  <c r="T1818" i="1"/>
  <c r="S1818" i="1"/>
  <c r="R1818" i="1"/>
  <c r="Q1818" i="1"/>
  <c r="P1818" i="1"/>
  <c r="O1818" i="1"/>
  <c r="B1818" i="1"/>
  <c r="H1818" i="1"/>
  <c r="G1818" i="1"/>
  <c r="F1818" i="1"/>
  <c r="E1818" i="1"/>
  <c r="N1818" i="1"/>
  <c r="M1818" i="1"/>
  <c r="L1818" i="1"/>
  <c r="K1818" i="1"/>
  <c r="J1818" i="1"/>
  <c r="I1818" i="1"/>
  <c r="D1818" i="1"/>
  <c r="C1818" i="1"/>
  <c r="A1818" i="1"/>
  <c r="AE1817" i="1"/>
  <c r="AD1817" i="1"/>
  <c r="AC1817" i="1"/>
  <c r="AB1817" i="1"/>
  <c r="AA1817" i="1"/>
  <c r="Z1817" i="1"/>
  <c r="Y1817" i="1"/>
  <c r="X1817" i="1"/>
  <c r="W1817" i="1"/>
  <c r="V1817" i="1"/>
  <c r="U1817" i="1"/>
  <c r="T1817" i="1"/>
  <c r="S1817" i="1"/>
  <c r="R1817" i="1"/>
  <c r="Q1817" i="1"/>
  <c r="P1817" i="1"/>
  <c r="O1817" i="1"/>
  <c r="B1817" i="1"/>
  <c r="H1817" i="1"/>
  <c r="G1817" i="1"/>
  <c r="F1817" i="1"/>
  <c r="E1817" i="1"/>
  <c r="N1817" i="1"/>
  <c r="M1817" i="1"/>
  <c r="L1817" i="1"/>
  <c r="K1817" i="1"/>
  <c r="J1817" i="1"/>
  <c r="I1817" i="1"/>
  <c r="D1817" i="1"/>
  <c r="C1817" i="1"/>
  <c r="A1817" i="1"/>
  <c r="AE1816" i="1"/>
  <c r="AD1816" i="1"/>
  <c r="AC1816" i="1"/>
  <c r="AB1816" i="1"/>
  <c r="AA1816" i="1"/>
  <c r="Z1816" i="1"/>
  <c r="Y1816" i="1"/>
  <c r="X1816" i="1"/>
  <c r="W1816" i="1"/>
  <c r="V1816" i="1"/>
  <c r="U1816" i="1"/>
  <c r="T1816" i="1"/>
  <c r="S1816" i="1"/>
  <c r="R1816" i="1"/>
  <c r="Q1816" i="1"/>
  <c r="P1816" i="1"/>
  <c r="O1816" i="1"/>
  <c r="B1816" i="1"/>
  <c r="H1816" i="1"/>
  <c r="G1816" i="1"/>
  <c r="F1816" i="1"/>
  <c r="E1816" i="1"/>
  <c r="N1816" i="1"/>
  <c r="M1816" i="1"/>
  <c r="L1816" i="1"/>
  <c r="K1816" i="1"/>
  <c r="J1816" i="1"/>
  <c r="I1816" i="1"/>
  <c r="D1816" i="1"/>
  <c r="C1816" i="1"/>
  <c r="A1816" i="1"/>
  <c r="AE1815" i="1"/>
  <c r="AD1815" i="1"/>
  <c r="AC1815" i="1"/>
  <c r="AB1815" i="1"/>
  <c r="AA1815" i="1"/>
  <c r="Z1815" i="1"/>
  <c r="Y1815" i="1"/>
  <c r="X1815" i="1"/>
  <c r="W1815" i="1"/>
  <c r="V1815" i="1"/>
  <c r="U1815" i="1"/>
  <c r="T1815" i="1"/>
  <c r="S1815" i="1"/>
  <c r="R1815" i="1"/>
  <c r="Q1815" i="1"/>
  <c r="P1815" i="1"/>
  <c r="O1815" i="1"/>
  <c r="B1815" i="1"/>
  <c r="H1815" i="1"/>
  <c r="G1815" i="1"/>
  <c r="F1815" i="1"/>
  <c r="E1815" i="1"/>
  <c r="N1815" i="1"/>
  <c r="M1815" i="1"/>
  <c r="L1815" i="1"/>
  <c r="K1815" i="1"/>
  <c r="J1815" i="1"/>
  <c r="I1815" i="1"/>
  <c r="D1815" i="1"/>
  <c r="C1815" i="1"/>
  <c r="A1815" i="1"/>
  <c r="AE1814" i="1"/>
  <c r="AD1814" i="1"/>
  <c r="AC1814" i="1"/>
  <c r="AB1814" i="1"/>
  <c r="AA1814" i="1"/>
  <c r="Z1814" i="1"/>
  <c r="Y1814" i="1"/>
  <c r="X1814" i="1"/>
  <c r="W1814" i="1"/>
  <c r="V1814" i="1"/>
  <c r="U1814" i="1"/>
  <c r="T1814" i="1"/>
  <c r="S1814" i="1"/>
  <c r="R1814" i="1"/>
  <c r="Q1814" i="1"/>
  <c r="P1814" i="1"/>
  <c r="O1814" i="1"/>
  <c r="B1814" i="1"/>
  <c r="H1814" i="1"/>
  <c r="G1814" i="1"/>
  <c r="F1814" i="1"/>
  <c r="E1814" i="1"/>
  <c r="N1814" i="1"/>
  <c r="M1814" i="1"/>
  <c r="L1814" i="1"/>
  <c r="K1814" i="1"/>
  <c r="J1814" i="1"/>
  <c r="I1814" i="1"/>
  <c r="D1814" i="1"/>
  <c r="C1814" i="1"/>
  <c r="A1814" i="1"/>
  <c r="AE1813" i="1"/>
  <c r="AD1813" i="1"/>
  <c r="AC1813" i="1"/>
  <c r="AB1813" i="1"/>
  <c r="AA1813" i="1"/>
  <c r="Z1813" i="1"/>
  <c r="Y1813" i="1"/>
  <c r="X1813" i="1"/>
  <c r="W1813" i="1"/>
  <c r="V1813" i="1"/>
  <c r="U1813" i="1"/>
  <c r="T1813" i="1"/>
  <c r="S1813" i="1"/>
  <c r="R1813" i="1"/>
  <c r="Q1813" i="1"/>
  <c r="P1813" i="1"/>
  <c r="O1813" i="1"/>
  <c r="B1813" i="1"/>
  <c r="H1813" i="1"/>
  <c r="G1813" i="1"/>
  <c r="F1813" i="1"/>
  <c r="E1813" i="1"/>
  <c r="N1813" i="1"/>
  <c r="M1813" i="1"/>
  <c r="L1813" i="1"/>
  <c r="K1813" i="1"/>
  <c r="J1813" i="1"/>
  <c r="I1813" i="1"/>
  <c r="D1813" i="1"/>
  <c r="C1813" i="1"/>
  <c r="A1813" i="1"/>
  <c r="AE1812" i="1"/>
  <c r="AD1812" i="1"/>
  <c r="AC1812" i="1"/>
  <c r="AB1812" i="1"/>
  <c r="AA1812" i="1"/>
  <c r="Z1812" i="1"/>
  <c r="Y1812" i="1"/>
  <c r="X1812" i="1"/>
  <c r="W1812" i="1"/>
  <c r="V1812" i="1"/>
  <c r="U1812" i="1"/>
  <c r="T1812" i="1"/>
  <c r="S1812" i="1"/>
  <c r="R1812" i="1"/>
  <c r="Q1812" i="1"/>
  <c r="P1812" i="1"/>
  <c r="O1812" i="1"/>
  <c r="B1812" i="1"/>
  <c r="H1812" i="1"/>
  <c r="G1812" i="1"/>
  <c r="F1812" i="1"/>
  <c r="E1812" i="1"/>
  <c r="N1812" i="1"/>
  <c r="M1812" i="1"/>
  <c r="L1812" i="1"/>
  <c r="K1812" i="1"/>
  <c r="J1812" i="1"/>
  <c r="I1812" i="1"/>
  <c r="D1812" i="1"/>
  <c r="C1812" i="1"/>
  <c r="A1812" i="1"/>
  <c r="AE1811" i="1"/>
  <c r="AD1811" i="1"/>
  <c r="AC1811" i="1"/>
  <c r="AB1811" i="1"/>
  <c r="AA1811" i="1"/>
  <c r="Z1811" i="1"/>
  <c r="Y1811" i="1"/>
  <c r="X1811" i="1"/>
  <c r="W1811" i="1"/>
  <c r="V1811" i="1"/>
  <c r="U1811" i="1"/>
  <c r="T1811" i="1"/>
  <c r="S1811" i="1"/>
  <c r="R1811" i="1"/>
  <c r="Q1811" i="1"/>
  <c r="P1811" i="1"/>
  <c r="O1811" i="1"/>
  <c r="B1811" i="1"/>
  <c r="H1811" i="1"/>
  <c r="G1811" i="1"/>
  <c r="F1811" i="1"/>
  <c r="E1811" i="1"/>
  <c r="N1811" i="1"/>
  <c r="M1811" i="1"/>
  <c r="L1811" i="1"/>
  <c r="K1811" i="1"/>
  <c r="J1811" i="1"/>
  <c r="I1811" i="1"/>
  <c r="D1811" i="1"/>
  <c r="C1811" i="1"/>
  <c r="A1811" i="1"/>
  <c r="AE1810" i="1"/>
  <c r="AD1810" i="1"/>
  <c r="AC1810" i="1"/>
  <c r="AB1810" i="1"/>
  <c r="AA1810" i="1"/>
  <c r="Z1810" i="1"/>
  <c r="Y1810" i="1"/>
  <c r="X1810" i="1"/>
  <c r="W1810" i="1"/>
  <c r="V1810" i="1"/>
  <c r="U1810" i="1"/>
  <c r="T1810" i="1"/>
  <c r="S1810" i="1"/>
  <c r="R1810" i="1"/>
  <c r="Q1810" i="1"/>
  <c r="P1810" i="1"/>
  <c r="O1810" i="1"/>
  <c r="B1810" i="1"/>
  <c r="H1810" i="1"/>
  <c r="G1810" i="1"/>
  <c r="F1810" i="1"/>
  <c r="E1810" i="1"/>
  <c r="N1810" i="1"/>
  <c r="M1810" i="1"/>
  <c r="L1810" i="1"/>
  <c r="K1810" i="1"/>
  <c r="J1810" i="1"/>
  <c r="I1810" i="1"/>
  <c r="D1810" i="1"/>
  <c r="C1810" i="1"/>
  <c r="A1810" i="1"/>
  <c r="AE1809" i="1"/>
  <c r="AD1809" i="1"/>
  <c r="AC1809" i="1"/>
  <c r="AB1809" i="1"/>
  <c r="AA1809" i="1"/>
  <c r="Z1809" i="1"/>
  <c r="Y1809" i="1"/>
  <c r="X1809" i="1"/>
  <c r="W1809" i="1"/>
  <c r="V1809" i="1"/>
  <c r="U1809" i="1"/>
  <c r="T1809" i="1"/>
  <c r="S1809" i="1"/>
  <c r="R1809" i="1"/>
  <c r="Q1809" i="1"/>
  <c r="P1809" i="1"/>
  <c r="O1809" i="1"/>
  <c r="B1809" i="1"/>
  <c r="H1809" i="1"/>
  <c r="G1809" i="1"/>
  <c r="F1809" i="1"/>
  <c r="E1809" i="1"/>
  <c r="N1809" i="1"/>
  <c r="M1809" i="1"/>
  <c r="L1809" i="1"/>
  <c r="K1809" i="1"/>
  <c r="J1809" i="1"/>
  <c r="I1809" i="1"/>
  <c r="D1809" i="1"/>
  <c r="C1809" i="1"/>
  <c r="A1809" i="1"/>
  <c r="AE1808" i="1"/>
  <c r="AD1808" i="1"/>
  <c r="AC1808" i="1"/>
  <c r="AB1808" i="1"/>
  <c r="AA1808" i="1"/>
  <c r="Z1808" i="1"/>
  <c r="Y1808" i="1"/>
  <c r="X1808" i="1"/>
  <c r="W1808" i="1"/>
  <c r="V1808" i="1"/>
  <c r="U1808" i="1"/>
  <c r="T1808" i="1"/>
  <c r="S1808" i="1"/>
  <c r="R1808" i="1"/>
  <c r="Q1808" i="1"/>
  <c r="P1808" i="1"/>
  <c r="O1808" i="1"/>
  <c r="B1808" i="1"/>
  <c r="H1808" i="1"/>
  <c r="G1808" i="1"/>
  <c r="F1808" i="1"/>
  <c r="E1808" i="1"/>
  <c r="N1808" i="1"/>
  <c r="M1808" i="1"/>
  <c r="L1808" i="1"/>
  <c r="K1808" i="1"/>
  <c r="J1808" i="1"/>
  <c r="I1808" i="1"/>
  <c r="D1808" i="1"/>
  <c r="C1808" i="1"/>
  <c r="A1808" i="1"/>
  <c r="AE1807" i="1"/>
  <c r="AD1807" i="1"/>
  <c r="AC1807" i="1"/>
  <c r="AB1807" i="1"/>
  <c r="AA1807" i="1"/>
  <c r="Z1807" i="1"/>
  <c r="Y1807" i="1"/>
  <c r="X1807" i="1"/>
  <c r="W1807" i="1"/>
  <c r="V1807" i="1"/>
  <c r="U1807" i="1"/>
  <c r="T1807" i="1"/>
  <c r="S1807" i="1"/>
  <c r="R1807" i="1"/>
  <c r="Q1807" i="1"/>
  <c r="P1807" i="1"/>
  <c r="O1807" i="1"/>
  <c r="B1807" i="1"/>
  <c r="H1807" i="1"/>
  <c r="G1807" i="1"/>
  <c r="F1807" i="1"/>
  <c r="E1807" i="1"/>
  <c r="N1807" i="1"/>
  <c r="M1807" i="1"/>
  <c r="L1807" i="1"/>
  <c r="K1807" i="1"/>
  <c r="J1807" i="1"/>
  <c r="I1807" i="1"/>
  <c r="D1807" i="1"/>
  <c r="C1807" i="1"/>
  <c r="A1807" i="1"/>
  <c r="AE1806" i="1"/>
  <c r="AD1806" i="1"/>
  <c r="AC1806" i="1"/>
  <c r="AB1806" i="1"/>
  <c r="AA1806" i="1"/>
  <c r="Z1806" i="1"/>
  <c r="Y1806" i="1"/>
  <c r="X1806" i="1"/>
  <c r="W1806" i="1"/>
  <c r="V1806" i="1"/>
  <c r="U1806" i="1"/>
  <c r="T1806" i="1"/>
  <c r="S1806" i="1"/>
  <c r="R1806" i="1"/>
  <c r="Q1806" i="1"/>
  <c r="P1806" i="1"/>
  <c r="O1806" i="1"/>
  <c r="B1806" i="1"/>
  <c r="H1806" i="1"/>
  <c r="G1806" i="1"/>
  <c r="F1806" i="1"/>
  <c r="E1806" i="1"/>
  <c r="N1806" i="1"/>
  <c r="M1806" i="1"/>
  <c r="L1806" i="1"/>
  <c r="K1806" i="1"/>
  <c r="J1806" i="1"/>
  <c r="I1806" i="1"/>
  <c r="D1806" i="1"/>
  <c r="C1806" i="1"/>
  <c r="A1806" i="1"/>
  <c r="AE1805" i="1"/>
  <c r="AD1805" i="1"/>
  <c r="AC1805" i="1"/>
  <c r="AB1805" i="1"/>
  <c r="AA1805" i="1"/>
  <c r="Z1805" i="1"/>
  <c r="Y1805" i="1"/>
  <c r="X1805" i="1"/>
  <c r="W1805" i="1"/>
  <c r="V1805" i="1"/>
  <c r="U1805" i="1"/>
  <c r="T1805" i="1"/>
  <c r="S1805" i="1"/>
  <c r="R1805" i="1"/>
  <c r="Q1805" i="1"/>
  <c r="P1805" i="1"/>
  <c r="O1805" i="1"/>
  <c r="B1805" i="1"/>
  <c r="H1805" i="1"/>
  <c r="G1805" i="1"/>
  <c r="F1805" i="1"/>
  <c r="E1805" i="1"/>
  <c r="N1805" i="1"/>
  <c r="M1805" i="1"/>
  <c r="L1805" i="1"/>
  <c r="K1805" i="1"/>
  <c r="J1805" i="1"/>
  <c r="I1805" i="1"/>
  <c r="D1805" i="1"/>
  <c r="C1805" i="1"/>
  <c r="A1805" i="1"/>
  <c r="AE1804" i="1"/>
  <c r="AD1804" i="1"/>
  <c r="AC1804" i="1"/>
  <c r="AB1804" i="1"/>
  <c r="AA1804" i="1"/>
  <c r="Z1804" i="1"/>
  <c r="Y1804" i="1"/>
  <c r="X1804" i="1"/>
  <c r="W1804" i="1"/>
  <c r="V1804" i="1"/>
  <c r="U1804" i="1"/>
  <c r="T1804" i="1"/>
  <c r="S1804" i="1"/>
  <c r="R1804" i="1"/>
  <c r="Q1804" i="1"/>
  <c r="P1804" i="1"/>
  <c r="O1804" i="1"/>
  <c r="B1804" i="1"/>
  <c r="H1804" i="1"/>
  <c r="G1804" i="1"/>
  <c r="F1804" i="1"/>
  <c r="E1804" i="1"/>
  <c r="N1804" i="1"/>
  <c r="M1804" i="1"/>
  <c r="L1804" i="1"/>
  <c r="K1804" i="1"/>
  <c r="J1804" i="1"/>
  <c r="I1804" i="1"/>
  <c r="D1804" i="1"/>
  <c r="C1804" i="1"/>
  <c r="A1804" i="1"/>
  <c r="AE1803" i="1"/>
  <c r="AD1803" i="1"/>
  <c r="AC1803" i="1"/>
  <c r="AB1803" i="1"/>
  <c r="AA1803" i="1"/>
  <c r="Z1803" i="1"/>
  <c r="Y1803" i="1"/>
  <c r="X1803" i="1"/>
  <c r="W1803" i="1"/>
  <c r="V1803" i="1"/>
  <c r="U1803" i="1"/>
  <c r="T1803" i="1"/>
  <c r="S1803" i="1"/>
  <c r="R1803" i="1"/>
  <c r="Q1803" i="1"/>
  <c r="P1803" i="1"/>
  <c r="O1803" i="1"/>
  <c r="B1803" i="1"/>
  <c r="H1803" i="1"/>
  <c r="G1803" i="1"/>
  <c r="F1803" i="1"/>
  <c r="E1803" i="1"/>
  <c r="N1803" i="1"/>
  <c r="M1803" i="1"/>
  <c r="L1803" i="1"/>
  <c r="K1803" i="1"/>
  <c r="J1803" i="1"/>
  <c r="I1803" i="1"/>
  <c r="D1803" i="1"/>
  <c r="C1803" i="1"/>
  <c r="A1803" i="1"/>
  <c r="AE1802" i="1"/>
  <c r="AD1802" i="1"/>
  <c r="AC1802" i="1"/>
  <c r="AB1802" i="1"/>
  <c r="AA1802" i="1"/>
  <c r="Z1802" i="1"/>
  <c r="Y1802" i="1"/>
  <c r="X1802" i="1"/>
  <c r="W1802" i="1"/>
  <c r="V1802" i="1"/>
  <c r="U1802" i="1"/>
  <c r="T1802" i="1"/>
  <c r="S1802" i="1"/>
  <c r="R1802" i="1"/>
  <c r="Q1802" i="1"/>
  <c r="P1802" i="1"/>
  <c r="O1802" i="1"/>
  <c r="B1802" i="1"/>
  <c r="H1802" i="1"/>
  <c r="G1802" i="1"/>
  <c r="F1802" i="1"/>
  <c r="E1802" i="1"/>
  <c r="N1802" i="1"/>
  <c r="M1802" i="1"/>
  <c r="L1802" i="1"/>
  <c r="K1802" i="1"/>
  <c r="J1802" i="1"/>
  <c r="I1802" i="1"/>
  <c r="D1802" i="1"/>
  <c r="C1802" i="1"/>
  <c r="A1802" i="1"/>
  <c r="AE1801" i="1"/>
  <c r="AD1801" i="1"/>
  <c r="AC1801" i="1"/>
  <c r="AB1801" i="1"/>
  <c r="AA1801" i="1"/>
  <c r="Z1801" i="1"/>
  <c r="Y1801" i="1"/>
  <c r="X1801" i="1"/>
  <c r="W1801" i="1"/>
  <c r="V1801" i="1"/>
  <c r="U1801" i="1"/>
  <c r="T1801" i="1"/>
  <c r="S1801" i="1"/>
  <c r="R1801" i="1"/>
  <c r="Q1801" i="1"/>
  <c r="P1801" i="1"/>
  <c r="O1801" i="1"/>
  <c r="B1801" i="1"/>
  <c r="H1801" i="1"/>
  <c r="G1801" i="1"/>
  <c r="F1801" i="1"/>
  <c r="E1801" i="1"/>
  <c r="N1801" i="1"/>
  <c r="M1801" i="1"/>
  <c r="L1801" i="1"/>
  <c r="K1801" i="1"/>
  <c r="J1801" i="1"/>
  <c r="I1801" i="1"/>
  <c r="D1801" i="1"/>
  <c r="C1801" i="1"/>
  <c r="A1801" i="1"/>
  <c r="AE1800" i="1"/>
  <c r="AD1800" i="1"/>
  <c r="AC1800" i="1"/>
  <c r="AB1800" i="1"/>
  <c r="AA1800" i="1"/>
  <c r="Z1800" i="1"/>
  <c r="Y1800" i="1"/>
  <c r="X1800" i="1"/>
  <c r="W1800" i="1"/>
  <c r="V1800" i="1"/>
  <c r="U1800" i="1"/>
  <c r="T1800" i="1"/>
  <c r="S1800" i="1"/>
  <c r="R1800" i="1"/>
  <c r="Q1800" i="1"/>
  <c r="P1800" i="1"/>
  <c r="O1800" i="1"/>
  <c r="B1800" i="1"/>
  <c r="H1800" i="1"/>
  <c r="G1800" i="1"/>
  <c r="F1800" i="1"/>
  <c r="E1800" i="1"/>
  <c r="N1800" i="1"/>
  <c r="M1800" i="1"/>
  <c r="L1800" i="1"/>
  <c r="K1800" i="1"/>
  <c r="J1800" i="1"/>
  <c r="I1800" i="1"/>
  <c r="D1800" i="1"/>
  <c r="C1800" i="1"/>
  <c r="A1800" i="1"/>
  <c r="AE1799" i="1"/>
  <c r="AD1799" i="1"/>
  <c r="AC1799" i="1"/>
  <c r="AB1799" i="1"/>
  <c r="AA1799" i="1"/>
  <c r="Z1799" i="1"/>
  <c r="Y1799" i="1"/>
  <c r="X1799" i="1"/>
  <c r="W1799" i="1"/>
  <c r="V1799" i="1"/>
  <c r="U1799" i="1"/>
  <c r="T1799" i="1"/>
  <c r="S1799" i="1"/>
  <c r="R1799" i="1"/>
  <c r="Q1799" i="1"/>
  <c r="P1799" i="1"/>
  <c r="O1799" i="1"/>
  <c r="B1799" i="1"/>
  <c r="H1799" i="1"/>
  <c r="G1799" i="1"/>
  <c r="F1799" i="1"/>
  <c r="E1799" i="1"/>
  <c r="N1799" i="1"/>
  <c r="M1799" i="1"/>
  <c r="L1799" i="1"/>
  <c r="K1799" i="1"/>
  <c r="J1799" i="1"/>
  <c r="I1799" i="1"/>
  <c r="D1799" i="1"/>
  <c r="C1799" i="1"/>
  <c r="A1799" i="1"/>
  <c r="AE1798" i="1"/>
  <c r="AD1798" i="1"/>
  <c r="AC1798" i="1"/>
  <c r="AB1798" i="1"/>
  <c r="AA1798" i="1"/>
  <c r="Z1798" i="1"/>
  <c r="Y1798" i="1"/>
  <c r="X1798" i="1"/>
  <c r="W1798" i="1"/>
  <c r="V1798" i="1"/>
  <c r="U1798" i="1"/>
  <c r="T1798" i="1"/>
  <c r="S1798" i="1"/>
  <c r="R1798" i="1"/>
  <c r="Q1798" i="1"/>
  <c r="P1798" i="1"/>
  <c r="O1798" i="1"/>
  <c r="B1798" i="1"/>
  <c r="H1798" i="1"/>
  <c r="G1798" i="1"/>
  <c r="F1798" i="1"/>
  <c r="E1798" i="1"/>
  <c r="N1798" i="1"/>
  <c r="M1798" i="1"/>
  <c r="L1798" i="1"/>
  <c r="K1798" i="1"/>
  <c r="J1798" i="1"/>
  <c r="I1798" i="1"/>
  <c r="D1798" i="1"/>
  <c r="C1798" i="1"/>
  <c r="A1798" i="1"/>
  <c r="AE1797" i="1"/>
  <c r="AD1797" i="1"/>
  <c r="AC1797" i="1"/>
  <c r="AB1797" i="1"/>
  <c r="AA1797" i="1"/>
  <c r="Z1797" i="1"/>
  <c r="Y1797" i="1"/>
  <c r="X1797" i="1"/>
  <c r="W1797" i="1"/>
  <c r="V1797" i="1"/>
  <c r="U1797" i="1"/>
  <c r="T1797" i="1"/>
  <c r="S1797" i="1"/>
  <c r="R1797" i="1"/>
  <c r="Q1797" i="1"/>
  <c r="P1797" i="1"/>
  <c r="O1797" i="1"/>
  <c r="B1797" i="1"/>
  <c r="H1797" i="1"/>
  <c r="G1797" i="1"/>
  <c r="F1797" i="1"/>
  <c r="E1797" i="1"/>
  <c r="N1797" i="1"/>
  <c r="M1797" i="1"/>
  <c r="L1797" i="1"/>
  <c r="K1797" i="1"/>
  <c r="J1797" i="1"/>
  <c r="I1797" i="1"/>
  <c r="D1797" i="1"/>
  <c r="C1797" i="1"/>
  <c r="A1797" i="1"/>
  <c r="AE1796" i="1"/>
  <c r="AD1796" i="1"/>
  <c r="AC1796" i="1"/>
  <c r="AB1796" i="1"/>
  <c r="AA1796" i="1"/>
  <c r="Z1796" i="1"/>
  <c r="Y1796" i="1"/>
  <c r="X1796" i="1"/>
  <c r="W1796" i="1"/>
  <c r="V1796" i="1"/>
  <c r="U1796" i="1"/>
  <c r="T1796" i="1"/>
  <c r="S1796" i="1"/>
  <c r="R1796" i="1"/>
  <c r="Q1796" i="1"/>
  <c r="P1796" i="1"/>
  <c r="O1796" i="1"/>
  <c r="B1796" i="1"/>
  <c r="H1796" i="1"/>
  <c r="G1796" i="1"/>
  <c r="F1796" i="1"/>
  <c r="E1796" i="1"/>
  <c r="N1796" i="1"/>
  <c r="M1796" i="1"/>
  <c r="L1796" i="1"/>
  <c r="K1796" i="1"/>
  <c r="J1796" i="1"/>
  <c r="I1796" i="1"/>
  <c r="D1796" i="1"/>
  <c r="C1796" i="1"/>
  <c r="A1796" i="1"/>
  <c r="AE1795" i="1"/>
  <c r="AD1795" i="1"/>
  <c r="AC1795" i="1"/>
  <c r="AB1795" i="1"/>
  <c r="AA1795" i="1"/>
  <c r="Z1795" i="1"/>
  <c r="Y1795" i="1"/>
  <c r="X1795" i="1"/>
  <c r="W1795" i="1"/>
  <c r="V1795" i="1"/>
  <c r="U1795" i="1"/>
  <c r="T1795" i="1"/>
  <c r="S1795" i="1"/>
  <c r="R1795" i="1"/>
  <c r="Q1795" i="1"/>
  <c r="P1795" i="1"/>
  <c r="O1795" i="1"/>
  <c r="B1795" i="1"/>
  <c r="H1795" i="1"/>
  <c r="G1795" i="1"/>
  <c r="F1795" i="1"/>
  <c r="E1795" i="1"/>
  <c r="N1795" i="1"/>
  <c r="M1795" i="1"/>
  <c r="L1795" i="1"/>
  <c r="K1795" i="1"/>
  <c r="J1795" i="1"/>
  <c r="I1795" i="1"/>
  <c r="D1795" i="1"/>
  <c r="C1795" i="1"/>
  <c r="A1795" i="1"/>
  <c r="AE1794" i="1"/>
  <c r="AD1794" i="1"/>
  <c r="AC1794" i="1"/>
  <c r="AB1794" i="1"/>
  <c r="AA1794" i="1"/>
  <c r="Z1794" i="1"/>
  <c r="Y1794" i="1"/>
  <c r="X1794" i="1"/>
  <c r="W1794" i="1"/>
  <c r="V1794" i="1"/>
  <c r="U1794" i="1"/>
  <c r="T1794" i="1"/>
  <c r="S1794" i="1"/>
  <c r="R1794" i="1"/>
  <c r="Q1794" i="1"/>
  <c r="P1794" i="1"/>
  <c r="O1794" i="1"/>
  <c r="B1794" i="1"/>
  <c r="H1794" i="1"/>
  <c r="G1794" i="1"/>
  <c r="F1794" i="1"/>
  <c r="E1794" i="1"/>
  <c r="N1794" i="1"/>
  <c r="M1794" i="1"/>
  <c r="L1794" i="1"/>
  <c r="K1794" i="1"/>
  <c r="J1794" i="1"/>
  <c r="I1794" i="1"/>
  <c r="D1794" i="1"/>
  <c r="C1794" i="1"/>
  <c r="A1794" i="1"/>
  <c r="AE1793" i="1"/>
  <c r="AD1793" i="1"/>
  <c r="AC1793" i="1"/>
  <c r="AB1793" i="1"/>
  <c r="AA1793" i="1"/>
  <c r="Z1793" i="1"/>
  <c r="Y1793" i="1"/>
  <c r="X1793" i="1"/>
  <c r="W1793" i="1"/>
  <c r="V1793" i="1"/>
  <c r="U1793" i="1"/>
  <c r="T1793" i="1"/>
  <c r="S1793" i="1"/>
  <c r="R1793" i="1"/>
  <c r="Q1793" i="1"/>
  <c r="P1793" i="1"/>
  <c r="O1793" i="1"/>
  <c r="B1793" i="1"/>
  <c r="H1793" i="1"/>
  <c r="G1793" i="1"/>
  <c r="F1793" i="1"/>
  <c r="E1793" i="1"/>
  <c r="N1793" i="1"/>
  <c r="M1793" i="1"/>
  <c r="L1793" i="1"/>
  <c r="K1793" i="1"/>
  <c r="J1793" i="1"/>
  <c r="I1793" i="1"/>
  <c r="D1793" i="1"/>
  <c r="C1793" i="1"/>
  <c r="A1793" i="1"/>
  <c r="AE1792" i="1"/>
  <c r="AD1792" i="1"/>
  <c r="AC1792" i="1"/>
  <c r="AB1792" i="1"/>
  <c r="AA1792" i="1"/>
  <c r="Z1792" i="1"/>
  <c r="Y1792" i="1"/>
  <c r="X1792" i="1"/>
  <c r="W1792" i="1"/>
  <c r="V1792" i="1"/>
  <c r="U1792" i="1"/>
  <c r="T1792" i="1"/>
  <c r="S1792" i="1"/>
  <c r="R1792" i="1"/>
  <c r="Q1792" i="1"/>
  <c r="P1792" i="1"/>
  <c r="O1792" i="1"/>
  <c r="B1792" i="1"/>
  <c r="H1792" i="1"/>
  <c r="G1792" i="1"/>
  <c r="F1792" i="1"/>
  <c r="E1792" i="1"/>
  <c r="N1792" i="1"/>
  <c r="M1792" i="1"/>
  <c r="L1792" i="1"/>
  <c r="K1792" i="1"/>
  <c r="J1792" i="1"/>
  <c r="I1792" i="1"/>
  <c r="D1792" i="1"/>
  <c r="C1792" i="1"/>
  <c r="A1792" i="1"/>
  <c r="AE1791" i="1"/>
  <c r="AD1791" i="1"/>
  <c r="AC1791" i="1"/>
  <c r="AB1791" i="1"/>
  <c r="AA1791" i="1"/>
  <c r="Z1791" i="1"/>
  <c r="Y1791" i="1"/>
  <c r="X1791" i="1"/>
  <c r="W1791" i="1"/>
  <c r="V1791" i="1"/>
  <c r="U1791" i="1"/>
  <c r="T1791" i="1"/>
  <c r="S1791" i="1"/>
  <c r="R1791" i="1"/>
  <c r="Q1791" i="1"/>
  <c r="P1791" i="1"/>
  <c r="O1791" i="1"/>
  <c r="B1791" i="1"/>
  <c r="H1791" i="1"/>
  <c r="G1791" i="1"/>
  <c r="F1791" i="1"/>
  <c r="E1791" i="1"/>
  <c r="N1791" i="1"/>
  <c r="M1791" i="1"/>
  <c r="L1791" i="1"/>
  <c r="K1791" i="1"/>
  <c r="J1791" i="1"/>
  <c r="I1791" i="1"/>
  <c r="D1791" i="1"/>
  <c r="C1791" i="1"/>
  <c r="A1791" i="1"/>
  <c r="AE1790" i="1"/>
  <c r="AD1790" i="1"/>
  <c r="AC1790" i="1"/>
  <c r="AB1790" i="1"/>
  <c r="AA1790" i="1"/>
  <c r="Z1790" i="1"/>
  <c r="Y1790" i="1"/>
  <c r="X1790" i="1"/>
  <c r="W1790" i="1"/>
  <c r="V1790" i="1"/>
  <c r="U1790" i="1"/>
  <c r="T1790" i="1"/>
  <c r="S1790" i="1"/>
  <c r="R1790" i="1"/>
  <c r="Q1790" i="1"/>
  <c r="P1790" i="1"/>
  <c r="O1790" i="1"/>
  <c r="B1790" i="1"/>
  <c r="H1790" i="1"/>
  <c r="G1790" i="1"/>
  <c r="F1790" i="1"/>
  <c r="E1790" i="1"/>
  <c r="N1790" i="1"/>
  <c r="M1790" i="1"/>
  <c r="L1790" i="1"/>
  <c r="K1790" i="1"/>
  <c r="J1790" i="1"/>
  <c r="I1790" i="1"/>
  <c r="D1790" i="1"/>
  <c r="C1790" i="1"/>
  <c r="A1790" i="1"/>
  <c r="AE1789" i="1"/>
  <c r="AD1789" i="1"/>
  <c r="AC1789" i="1"/>
  <c r="AB1789" i="1"/>
  <c r="AA1789" i="1"/>
  <c r="Z1789" i="1"/>
  <c r="Y1789" i="1"/>
  <c r="X1789" i="1"/>
  <c r="W1789" i="1"/>
  <c r="V1789" i="1"/>
  <c r="U1789" i="1"/>
  <c r="T1789" i="1"/>
  <c r="S1789" i="1"/>
  <c r="R1789" i="1"/>
  <c r="Q1789" i="1"/>
  <c r="P1789" i="1"/>
  <c r="O1789" i="1"/>
  <c r="B1789" i="1"/>
  <c r="H1789" i="1"/>
  <c r="G1789" i="1"/>
  <c r="F1789" i="1"/>
  <c r="E1789" i="1"/>
  <c r="M1789" i="1"/>
  <c r="L1789" i="1"/>
  <c r="K1789" i="1"/>
  <c r="J1789" i="1"/>
  <c r="I1789" i="1"/>
  <c r="D1789" i="1"/>
  <c r="C1789" i="1"/>
  <c r="A1789" i="1"/>
  <c r="AE1788" i="1"/>
  <c r="AD1788" i="1"/>
  <c r="AC1788" i="1"/>
  <c r="AB1788" i="1"/>
  <c r="AA1788" i="1"/>
  <c r="Z1788" i="1"/>
  <c r="Y1788" i="1"/>
  <c r="X1788" i="1"/>
  <c r="W1788" i="1"/>
  <c r="V1788" i="1"/>
  <c r="U1788" i="1"/>
  <c r="T1788" i="1"/>
  <c r="S1788" i="1"/>
  <c r="R1788" i="1"/>
  <c r="Q1788" i="1"/>
  <c r="P1788" i="1"/>
  <c r="O1788" i="1"/>
  <c r="B1788" i="1"/>
  <c r="H1788" i="1"/>
  <c r="G1788" i="1"/>
  <c r="F1788" i="1"/>
  <c r="E1788" i="1"/>
  <c r="N1788" i="1"/>
  <c r="M1788" i="1"/>
  <c r="L1788" i="1"/>
  <c r="K1788" i="1"/>
  <c r="J1788" i="1"/>
  <c r="I1788" i="1"/>
  <c r="D1788" i="1"/>
  <c r="C1788" i="1"/>
  <c r="A1788" i="1"/>
  <c r="AE1787" i="1"/>
  <c r="AD1787" i="1"/>
  <c r="AC1787" i="1"/>
  <c r="AB1787" i="1"/>
  <c r="AA1787" i="1"/>
  <c r="Z1787" i="1"/>
  <c r="Y1787" i="1"/>
  <c r="X1787" i="1"/>
  <c r="W1787" i="1"/>
  <c r="V1787" i="1"/>
  <c r="U1787" i="1"/>
  <c r="T1787" i="1"/>
  <c r="S1787" i="1"/>
  <c r="R1787" i="1"/>
  <c r="Q1787" i="1"/>
  <c r="P1787" i="1"/>
  <c r="O1787" i="1"/>
  <c r="B1787" i="1"/>
  <c r="H1787" i="1"/>
  <c r="G1787" i="1"/>
  <c r="F1787" i="1"/>
  <c r="E1787" i="1"/>
  <c r="N1787" i="1"/>
  <c r="M1787" i="1"/>
  <c r="L1787" i="1"/>
  <c r="K1787" i="1"/>
  <c r="J1787" i="1"/>
  <c r="I1787" i="1"/>
  <c r="D1787" i="1"/>
  <c r="C1787" i="1"/>
  <c r="A1787" i="1"/>
  <c r="AE1786" i="1"/>
  <c r="AD1786" i="1"/>
  <c r="AC1786" i="1"/>
  <c r="AB1786" i="1"/>
  <c r="AA1786" i="1"/>
  <c r="Z1786" i="1"/>
  <c r="Y1786" i="1"/>
  <c r="X1786" i="1"/>
  <c r="W1786" i="1"/>
  <c r="V1786" i="1"/>
  <c r="U1786" i="1"/>
  <c r="T1786" i="1"/>
  <c r="S1786" i="1"/>
  <c r="R1786" i="1"/>
  <c r="Q1786" i="1"/>
  <c r="P1786" i="1"/>
  <c r="O1786" i="1"/>
  <c r="B1786" i="1"/>
  <c r="H1786" i="1"/>
  <c r="G1786" i="1"/>
  <c r="F1786" i="1"/>
  <c r="E1786" i="1"/>
  <c r="N1786" i="1"/>
  <c r="M1786" i="1"/>
  <c r="L1786" i="1"/>
  <c r="K1786" i="1"/>
  <c r="J1786" i="1"/>
  <c r="I1786" i="1"/>
  <c r="D1786" i="1"/>
  <c r="C1786" i="1"/>
  <c r="A1786" i="1"/>
  <c r="AE1785" i="1"/>
  <c r="AD1785" i="1"/>
  <c r="AC1785" i="1"/>
  <c r="AB1785" i="1"/>
  <c r="AA1785" i="1"/>
  <c r="Z1785" i="1"/>
  <c r="Y1785" i="1"/>
  <c r="X1785" i="1"/>
  <c r="W1785" i="1"/>
  <c r="V1785" i="1"/>
  <c r="U1785" i="1"/>
  <c r="T1785" i="1"/>
  <c r="S1785" i="1"/>
  <c r="R1785" i="1"/>
  <c r="Q1785" i="1"/>
  <c r="P1785" i="1"/>
  <c r="O1785" i="1"/>
  <c r="B1785" i="1"/>
  <c r="H1785" i="1"/>
  <c r="G1785" i="1"/>
  <c r="F1785" i="1"/>
  <c r="E1785" i="1"/>
  <c r="N1785" i="1"/>
  <c r="M1785" i="1"/>
  <c r="L1785" i="1"/>
  <c r="K1785" i="1"/>
  <c r="J1785" i="1"/>
  <c r="I1785" i="1"/>
  <c r="D1785" i="1"/>
  <c r="C1785" i="1"/>
  <c r="A1785" i="1"/>
  <c r="AE1784" i="1"/>
  <c r="AD1784" i="1"/>
  <c r="AC1784" i="1"/>
  <c r="AB1784" i="1"/>
  <c r="AA1784" i="1"/>
  <c r="Z1784" i="1"/>
  <c r="Y1784" i="1"/>
  <c r="X1784" i="1"/>
  <c r="W1784" i="1"/>
  <c r="V1784" i="1"/>
  <c r="U1784" i="1"/>
  <c r="T1784" i="1"/>
  <c r="S1784" i="1"/>
  <c r="R1784" i="1"/>
  <c r="Q1784" i="1"/>
  <c r="P1784" i="1"/>
  <c r="O1784" i="1"/>
  <c r="B1784" i="1"/>
  <c r="H1784" i="1"/>
  <c r="G1784" i="1"/>
  <c r="F1784" i="1"/>
  <c r="E1784" i="1"/>
  <c r="N1784" i="1"/>
  <c r="M1784" i="1"/>
  <c r="L1784" i="1"/>
  <c r="K1784" i="1"/>
  <c r="J1784" i="1"/>
  <c r="I1784" i="1"/>
  <c r="D1784" i="1"/>
  <c r="C1784" i="1"/>
  <c r="A1784" i="1"/>
  <c r="AE1783" i="1"/>
  <c r="AD1783" i="1"/>
  <c r="AC1783" i="1"/>
  <c r="AB1783" i="1"/>
  <c r="AA1783" i="1"/>
  <c r="Z1783" i="1"/>
  <c r="Y1783" i="1"/>
  <c r="X1783" i="1"/>
  <c r="W1783" i="1"/>
  <c r="V1783" i="1"/>
  <c r="U1783" i="1"/>
  <c r="T1783" i="1"/>
  <c r="S1783" i="1"/>
  <c r="R1783" i="1"/>
  <c r="Q1783" i="1"/>
  <c r="P1783" i="1"/>
  <c r="O1783" i="1"/>
  <c r="B1783" i="1"/>
  <c r="H1783" i="1"/>
  <c r="G1783" i="1"/>
  <c r="F1783" i="1"/>
  <c r="E1783" i="1"/>
  <c r="N1783" i="1"/>
  <c r="M1783" i="1"/>
  <c r="L1783" i="1"/>
  <c r="K1783" i="1"/>
  <c r="J1783" i="1"/>
  <c r="I1783" i="1"/>
  <c r="D1783" i="1"/>
  <c r="C1783" i="1"/>
  <c r="A1783" i="1"/>
  <c r="AE1782" i="1"/>
  <c r="AD1782" i="1"/>
  <c r="AC1782" i="1"/>
  <c r="AB1782" i="1"/>
  <c r="AA1782" i="1"/>
  <c r="Z1782" i="1"/>
  <c r="Y1782" i="1"/>
  <c r="X1782" i="1"/>
  <c r="W1782" i="1"/>
  <c r="V1782" i="1"/>
  <c r="U1782" i="1"/>
  <c r="T1782" i="1"/>
  <c r="S1782" i="1"/>
  <c r="R1782" i="1"/>
  <c r="Q1782" i="1"/>
  <c r="P1782" i="1"/>
  <c r="O1782" i="1"/>
  <c r="B1782" i="1"/>
  <c r="H1782" i="1"/>
  <c r="G1782" i="1"/>
  <c r="F1782" i="1"/>
  <c r="E1782" i="1"/>
  <c r="N1782" i="1"/>
  <c r="M1782" i="1"/>
  <c r="L1782" i="1"/>
  <c r="K1782" i="1"/>
  <c r="J1782" i="1"/>
  <c r="I1782" i="1"/>
  <c r="D1782" i="1"/>
  <c r="C1782" i="1"/>
  <c r="A1782" i="1"/>
  <c r="AE1781" i="1"/>
  <c r="AD1781" i="1"/>
  <c r="AC1781" i="1"/>
  <c r="AB1781" i="1"/>
  <c r="AA1781" i="1"/>
  <c r="Z1781" i="1"/>
  <c r="Y1781" i="1"/>
  <c r="X1781" i="1"/>
  <c r="W1781" i="1"/>
  <c r="V1781" i="1"/>
  <c r="U1781" i="1"/>
  <c r="T1781" i="1"/>
  <c r="S1781" i="1"/>
  <c r="R1781" i="1"/>
  <c r="Q1781" i="1"/>
  <c r="P1781" i="1"/>
  <c r="O1781" i="1"/>
  <c r="B1781" i="1"/>
  <c r="H1781" i="1"/>
  <c r="G1781" i="1"/>
  <c r="F1781" i="1"/>
  <c r="E1781" i="1"/>
  <c r="N1781" i="1"/>
  <c r="M1781" i="1"/>
  <c r="L1781" i="1"/>
  <c r="K1781" i="1"/>
  <c r="J1781" i="1"/>
  <c r="I1781" i="1"/>
  <c r="D1781" i="1"/>
  <c r="C1781" i="1"/>
  <c r="A1781" i="1"/>
  <c r="AE1780" i="1"/>
  <c r="AD1780" i="1"/>
  <c r="AC1780" i="1"/>
  <c r="AB1780" i="1"/>
  <c r="AA1780" i="1"/>
  <c r="Z1780" i="1"/>
  <c r="Y1780" i="1"/>
  <c r="X1780" i="1"/>
  <c r="W1780" i="1"/>
  <c r="V1780" i="1"/>
  <c r="U1780" i="1"/>
  <c r="T1780" i="1"/>
  <c r="S1780" i="1"/>
  <c r="R1780" i="1"/>
  <c r="Q1780" i="1"/>
  <c r="P1780" i="1"/>
  <c r="O1780" i="1"/>
  <c r="B1780" i="1"/>
  <c r="H1780" i="1"/>
  <c r="G1780" i="1"/>
  <c r="F1780" i="1"/>
  <c r="E1780" i="1"/>
  <c r="N1780" i="1"/>
  <c r="M1780" i="1"/>
  <c r="L1780" i="1"/>
  <c r="K1780" i="1"/>
  <c r="J1780" i="1"/>
  <c r="I1780" i="1"/>
  <c r="D1780" i="1"/>
  <c r="C1780" i="1"/>
  <c r="A1780" i="1"/>
  <c r="AE1779" i="1"/>
  <c r="AD1779" i="1"/>
  <c r="AC1779" i="1"/>
  <c r="AB1779" i="1"/>
  <c r="AA1779" i="1"/>
  <c r="Z1779" i="1"/>
  <c r="Y1779" i="1"/>
  <c r="X1779" i="1"/>
  <c r="W1779" i="1"/>
  <c r="V1779" i="1"/>
  <c r="U1779" i="1"/>
  <c r="T1779" i="1"/>
  <c r="S1779" i="1"/>
  <c r="R1779" i="1"/>
  <c r="Q1779" i="1"/>
  <c r="P1779" i="1"/>
  <c r="O1779" i="1"/>
  <c r="B1779" i="1"/>
  <c r="H1779" i="1"/>
  <c r="G1779" i="1"/>
  <c r="F1779" i="1"/>
  <c r="E1779" i="1"/>
  <c r="N1779" i="1"/>
  <c r="M1779" i="1"/>
  <c r="L1779" i="1"/>
  <c r="K1779" i="1"/>
  <c r="J1779" i="1"/>
  <c r="I1779" i="1"/>
  <c r="D1779" i="1"/>
  <c r="C1779" i="1"/>
  <c r="A1779" i="1"/>
  <c r="AE1778" i="1"/>
  <c r="AD1778" i="1"/>
  <c r="AC1778" i="1"/>
  <c r="AB1778" i="1"/>
  <c r="AA1778" i="1"/>
  <c r="Z1778" i="1"/>
  <c r="Y1778" i="1"/>
  <c r="X1778" i="1"/>
  <c r="W1778" i="1"/>
  <c r="V1778" i="1"/>
  <c r="U1778" i="1"/>
  <c r="T1778" i="1"/>
  <c r="S1778" i="1"/>
  <c r="R1778" i="1"/>
  <c r="Q1778" i="1"/>
  <c r="P1778" i="1"/>
  <c r="O1778" i="1"/>
  <c r="B1778" i="1"/>
  <c r="H1778" i="1"/>
  <c r="G1778" i="1"/>
  <c r="F1778" i="1"/>
  <c r="E1778" i="1"/>
  <c r="N1778" i="1"/>
  <c r="M1778" i="1"/>
  <c r="L1778" i="1"/>
  <c r="K1778" i="1"/>
  <c r="J1778" i="1"/>
  <c r="I1778" i="1"/>
  <c r="D1778" i="1"/>
  <c r="C1778" i="1"/>
  <c r="A1778" i="1"/>
  <c r="AE1777" i="1"/>
  <c r="AD1777" i="1"/>
  <c r="AC1777" i="1"/>
  <c r="AB1777" i="1"/>
  <c r="AA1777" i="1"/>
  <c r="Z1777" i="1"/>
  <c r="Y1777" i="1"/>
  <c r="X1777" i="1"/>
  <c r="W1777" i="1"/>
  <c r="V1777" i="1"/>
  <c r="U1777" i="1"/>
  <c r="T1777" i="1"/>
  <c r="S1777" i="1"/>
  <c r="R1777" i="1"/>
  <c r="Q1777" i="1"/>
  <c r="P1777" i="1"/>
  <c r="O1777" i="1"/>
  <c r="B1777" i="1"/>
  <c r="H1777" i="1"/>
  <c r="G1777" i="1"/>
  <c r="F1777" i="1"/>
  <c r="E1777" i="1"/>
  <c r="N1777" i="1"/>
  <c r="M1777" i="1"/>
  <c r="L1777" i="1"/>
  <c r="K1777" i="1"/>
  <c r="J1777" i="1"/>
  <c r="I1777" i="1"/>
  <c r="D1777" i="1"/>
  <c r="C1777" i="1"/>
  <c r="A1777" i="1"/>
  <c r="AE1776" i="1"/>
  <c r="AD1776" i="1"/>
  <c r="AC1776" i="1"/>
  <c r="AB1776" i="1"/>
  <c r="AA1776" i="1"/>
  <c r="Z1776" i="1"/>
  <c r="Y1776" i="1"/>
  <c r="X1776" i="1"/>
  <c r="W1776" i="1"/>
  <c r="V1776" i="1"/>
  <c r="U1776" i="1"/>
  <c r="T1776" i="1"/>
  <c r="S1776" i="1"/>
  <c r="R1776" i="1"/>
  <c r="Q1776" i="1"/>
  <c r="P1776" i="1"/>
  <c r="O1776" i="1"/>
  <c r="B1776" i="1"/>
  <c r="H1776" i="1"/>
  <c r="G1776" i="1"/>
  <c r="F1776" i="1"/>
  <c r="E1776" i="1"/>
  <c r="N1776" i="1"/>
  <c r="M1776" i="1"/>
  <c r="L1776" i="1"/>
  <c r="K1776" i="1"/>
  <c r="J1776" i="1"/>
  <c r="I1776" i="1"/>
  <c r="D1776" i="1"/>
  <c r="C1776" i="1"/>
  <c r="A1776" i="1"/>
  <c r="AE1775" i="1"/>
  <c r="AD1775" i="1"/>
  <c r="AC1775" i="1"/>
  <c r="AB1775" i="1"/>
  <c r="AA1775" i="1"/>
  <c r="Z1775" i="1"/>
  <c r="Y1775" i="1"/>
  <c r="X1775" i="1"/>
  <c r="W1775" i="1"/>
  <c r="V1775" i="1"/>
  <c r="U1775" i="1"/>
  <c r="T1775" i="1"/>
  <c r="S1775" i="1"/>
  <c r="R1775" i="1"/>
  <c r="Q1775" i="1"/>
  <c r="P1775" i="1"/>
  <c r="O1775" i="1"/>
  <c r="B1775" i="1"/>
  <c r="H1775" i="1"/>
  <c r="G1775" i="1"/>
  <c r="F1775" i="1"/>
  <c r="E1775" i="1"/>
  <c r="M1775" i="1"/>
  <c r="L1775" i="1"/>
  <c r="K1775" i="1"/>
  <c r="J1775" i="1"/>
  <c r="I1775" i="1"/>
  <c r="D1775" i="1"/>
  <c r="C1775" i="1"/>
  <c r="A1775" i="1"/>
  <c r="AE1774" i="1"/>
  <c r="AD1774" i="1"/>
  <c r="AC1774" i="1"/>
  <c r="AB1774" i="1"/>
  <c r="AA1774" i="1"/>
  <c r="Z1774" i="1"/>
  <c r="Y1774" i="1"/>
  <c r="X1774" i="1"/>
  <c r="W1774" i="1"/>
  <c r="V1774" i="1"/>
  <c r="U1774" i="1"/>
  <c r="T1774" i="1"/>
  <c r="S1774" i="1"/>
  <c r="R1774" i="1"/>
  <c r="Q1774" i="1"/>
  <c r="P1774" i="1"/>
  <c r="O1774" i="1"/>
  <c r="B1774" i="1"/>
  <c r="H1774" i="1"/>
  <c r="G1774" i="1"/>
  <c r="F1774" i="1"/>
  <c r="E1774" i="1"/>
  <c r="N1774" i="1"/>
  <c r="M1774" i="1"/>
  <c r="L1774" i="1"/>
  <c r="K1774" i="1"/>
  <c r="J1774" i="1"/>
  <c r="I1774" i="1"/>
  <c r="D1774" i="1"/>
  <c r="C1774" i="1"/>
  <c r="A1774" i="1"/>
  <c r="AE1773" i="1"/>
  <c r="AD1773" i="1"/>
  <c r="AC1773" i="1"/>
  <c r="AB1773" i="1"/>
  <c r="AA1773" i="1"/>
  <c r="Z1773" i="1"/>
  <c r="Y1773" i="1"/>
  <c r="X1773" i="1"/>
  <c r="W1773" i="1"/>
  <c r="V1773" i="1"/>
  <c r="U1773" i="1"/>
  <c r="T1773" i="1"/>
  <c r="S1773" i="1"/>
  <c r="R1773" i="1"/>
  <c r="Q1773" i="1"/>
  <c r="P1773" i="1"/>
  <c r="O1773" i="1"/>
  <c r="B1773" i="1"/>
  <c r="H1773" i="1"/>
  <c r="G1773" i="1"/>
  <c r="F1773" i="1"/>
  <c r="E1773" i="1"/>
  <c r="N1773" i="1"/>
  <c r="M1773" i="1"/>
  <c r="L1773" i="1"/>
  <c r="K1773" i="1"/>
  <c r="J1773" i="1"/>
  <c r="I1773" i="1"/>
  <c r="D1773" i="1"/>
  <c r="C1773" i="1"/>
  <c r="A1773" i="1"/>
  <c r="AE1772" i="1"/>
  <c r="AD1772" i="1"/>
  <c r="AC1772" i="1"/>
  <c r="AB1772" i="1"/>
  <c r="AA1772" i="1"/>
  <c r="Z1772" i="1"/>
  <c r="Y1772" i="1"/>
  <c r="X1772" i="1"/>
  <c r="W1772" i="1"/>
  <c r="V1772" i="1"/>
  <c r="U1772" i="1"/>
  <c r="T1772" i="1"/>
  <c r="S1772" i="1"/>
  <c r="R1772" i="1"/>
  <c r="Q1772" i="1"/>
  <c r="P1772" i="1"/>
  <c r="O1772" i="1"/>
  <c r="B1772" i="1"/>
  <c r="H1772" i="1"/>
  <c r="G1772" i="1"/>
  <c r="F1772" i="1"/>
  <c r="E1772" i="1"/>
  <c r="N1772" i="1"/>
  <c r="M1772" i="1"/>
  <c r="L1772" i="1"/>
  <c r="K1772" i="1"/>
  <c r="J1772" i="1"/>
  <c r="I1772" i="1"/>
  <c r="D1772" i="1"/>
  <c r="C1772" i="1"/>
  <c r="A1772" i="1"/>
  <c r="AE1771" i="1"/>
  <c r="AD1771" i="1"/>
  <c r="AC1771" i="1"/>
  <c r="AB1771" i="1"/>
  <c r="AA1771" i="1"/>
  <c r="Z1771" i="1"/>
  <c r="Y1771" i="1"/>
  <c r="X1771" i="1"/>
  <c r="W1771" i="1"/>
  <c r="V1771" i="1"/>
  <c r="U1771" i="1"/>
  <c r="T1771" i="1"/>
  <c r="S1771" i="1"/>
  <c r="R1771" i="1"/>
  <c r="Q1771" i="1"/>
  <c r="P1771" i="1"/>
  <c r="O1771" i="1"/>
  <c r="B1771" i="1"/>
  <c r="H1771" i="1"/>
  <c r="G1771" i="1"/>
  <c r="F1771" i="1"/>
  <c r="E1771" i="1"/>
  <c r="N1771" i="1"/>
  <c r="M1771" i="1"/>
  <c r="L1771" i="1"/>
  <c r="K1771" i="1"/>
  <c r="J1771" i="1"/>
  <c r="I1771" i="1"/>
  <c r="D1771" i="1"/>
  <c r="C1771" i="1"/>
  <c r="A1771" i="1"/>
  <c r="AE1770" i="1"/>
  <c r="AD1770" i="1"/>
  <c r="AC1770" i="1"/>
  <c r="AB1770" i="1"/>
  <c r="AA1770" i="1"/>
  <c r="Z1770" i="1"/>
  <c r="Y1770" i="1"/>
  <c r="X1770" i="1"/>
  <c r="W1770" i="1"/>
  <c r="V1770" i="1"/>
  <c r="U1770" i="1"/>
  <c r="T1770" i="1"/>
  <c r="S1770" i="1"/>
  <c r="R1770" i="1"/>
  <c r="Q1770" i="1"/>
  <c r="P1770" i="1"/>
  <c r="O1770" i="1"/>
  <c r="B1770" i="1"/>
  <c r="H1770" i="1"/>
  <c r="G1770" i="1"/>
  <c r="F1770" i="1"/>
  <c r="E1770" i="1"/>
  <c r="N1770" i="1"/>
  <c r="M1770" i="1"/>
  <c r="L1770" i="1"/>
  <c r="K1770" i="1"/>
  <c r="J1770" i="1"/>
  <c r="I1770" i="1"/>
  <c r="D1770" i="1"/>
  <c r="C1770" i="1"/>
  <c r="A1770" i="1"/>
  <c r="AE1769" i="1"/>
  <c r="AD1769" i="1"/>
  <c r="AC1769" i="1"/>
  <c r="AB1769" i="1"/>
  <c r="AA1769" i="1"/>
  <c r="Z1769" i="1"/>
  <c r="Y1769" i="1"/>
  <c r="X1769" i="1"/>
  <c r="W1769" i="1"/>
  <c r="V1769" i="1"/>
  <c r="U1769" i="1"/>
  <c r="T1769" i="1"/>
  <c r="S1769" i="1"/>
  <c r="R1769" i="1"/>
  <c r="Q1769" i="1"/>
  <c r="P1769" i="1"/>
  <c r="O1769" i="1"/>
  <c r="B1769" i="1"/>
  <c r="H1769" i="1"/>
  <c r="G1769" i="1"/>
  <c r="F1769" i="1"/>
  <c r="E1769" i="1"/>
  <c r="M1769" i="1"/>
  <c r="L1769" i="1"/>
  <c r="K1769" i="1"/>
  <c r="J1769" i="1"/>
  <c r="I1769" i="1"/>
  <c r="D1769" i="1"/>
  <c r="C1769" i="1"/>
  <c r="A1769" i="1"/>
  <c r="AE1768" i="1"/>
  <c r="AD1768" i="1"/>
  <c r="AC1768" i="1"/>
  <c r="AB1768" i="1"/>
  <c r="AA1768" i="1"/>
  <c r="Z1768" i="1"/>
  <c r="Y1768" i="1"/>
  <c r="X1768" i="1"/>
  <c r="W1768" i="1"/>
  <c r="V1768" i="1"/>
  <c r="U1768" i="1"/>
  <c r="T1768" i="1"/>
  <c r="S1768" i="1"/>
  <c r="R1768" i="1"/>
  <c r="Q1768" i="1"/>
  <c r="P1768" i="1"/>
  <c r="O1768" i="1"/>
  <c r="B1768" i="1"/>
  <c r="H1768" i="1"/>
  <c r="G1768" i="1"/>
  <c r="F1768" i="1"/>
  <c r="E1768" i="1"/>
  <c r="N1768" i="1"/>
  <c r="M1768" i="1"/>
  <c r="L1768" i="1"/>
  <c r="K1768" i="1"/>
  <c r="J1768" i="1"/>
  <c r="I1768" i="1"/>
  <c r="D1768" i="1"/>
  <c r="C1768" i="1"/>
  <c r="A1768" i="1"/>
  <c r="AE1767" i="1"/>
  <c r="AD1767" i="1"/>
  <c r="AC1767" i="1"/>
  <c r="AB1767" i="1"/>
  <c r="AA1767" i="1"/>
  <c r="Z1767" i="1"/>
  <c r="Y1767" i="1"/>
  <c r="X1767" i="1"/>
  <c r="W1767" i="1"/>
  <c r="V1767" i="1"/>
  <c r="U1767" i="1"/>
  <c r="T1767" i="1"/>
  <c r="S1767" i="1"/>
  <c r="R1767" i="1"/>
  <c r="Q1767" i="1"/>
  <c r="P1767" i="1"/>
  <c r="O1767" i="1"/>
  <c r="B1767" i="1"/>
  <c r="H1767" i="1"/>
  <c r="G1767" i="1"/>
  <c r="F1767" i="1"/>
  <c r="E1767" i="1"/>
  <c r="N1767" i="1"/>
  <c r="M1767" i="1"/>
  <c r="L1767" i="1"/>
  <c r="K1767" i="1"/>
  <c r="J1767" i="1"/>
  <c r="I1767" i="1"/>
  <c r="D1767" i="1"/>
  <c r="C1767" i="1"/>
  <c r="A1767" i="1"/>
  <c r="AE1766" i="1"/>
  <c r="AD1766" i="1"/>
  <c r="AC1766" i="1"/>
  <c r="AB1766" i="1"/>
  <c r="AA1766" i="1"/>
  <c r="Z1766" i="1"/>
  <c r="Y1766" i="1"/>
  <c r="X1766" i="1"/>
  <c r="W1766" i="1"/>
  <c r="V1766" i="1"/>
  <c r="U1766" i="1"/>
  <c r="T1766" i="1"/>
  <c r="S1766" i="1"/>
  <c r="R1766" i="1"/>
  <c r="Q1766" i="1"/>
  <c r="P1766" i="1"/>
  <c r="O1766" i="1"/>
  <c r="B1766" i="1"/>
  <c r="H1766" i="1"/>
  <c r="G1766" i="1"/>
  <c r="F1766" i="1"/>
  <c r="E1766" i="1"/>
  <c r="N1766" i="1"/>
  <c r="M1766" i="1"/>
  <c r="L1766" i="1"/>
  <c r="K1766" i="1"/>
  <c r="J1766" i="1"/>
  <c r="I1766" i="1"/>
  <c r="D1766" i="1"/>
  <c r="C1766" i="1"/>
  <c r="A1766" i="1"/>
  <c r="AE1765" i="1"/>
  <c r="AD1765" i="1"/>
  <c r="AC1765" i="1"/>
  <c r="AB1765" i="1"/>
  <c r="AA1765" i="1"/>
  <c r="Z1765" i="1"/>
  <c r="Y1765" i="1"/>
  <c r="X1765" i="1"/>
  <c r="W1765" i="1"/>
  <c r="V1765" i="1"/>
  <c r="U1765" i="1"/>
  <c r="T1765" i="1"/>
  <c r="S1765" i="1"/>
  <c r="R1765" i="1"/>
  <c r="Q1765" i="1"/>
  <c r="P1765" i="1"/>
  <c r="O1765" i="1"/>
  <c r="B1765" i="1"/>
  <c r="H1765" i="1"/>
  <c r="G1765" i="1"/>
  <c r="F1765" i="1"/>
  <c r="E1765" i="1"/>
  <c r="N1765" i="1"/>
  <c r="M1765" i="1"/>
  <c r="L1765" i="1"/>
  <c r="K1765" i="1"/>
  <c r="J1765" i="1"/>
  <c r="I1765" i="1"/>
  <c r="D1765" i="1"/>
  <c r="C1765" i="1"/>
  <c r="A1765" i="1"/>
  <c r="AE1764" i="1"/>
  <c r="AD1764" i="1"/>
  <c r="AC1764" i="1"/>
  <c r="AB1764" i="1"/>
  <c r="AA1764" i="1"/>
  <c r="Z1764" i="1"/>
  <c r="Y1764" i="1"/>
  <c r="X1764" i="1"/>
  <c r="W1764" i="1"/>
  <c r="V1764" i="1"/>
  <c r="U1764" i="1"/>
  <c r="T1764" i="1"/>
  <c r="S1764" i="1"/>
  <c r="R1764" i="1"/>
  <c r="Q1764" i="1"/>
  <c r="P1764" i="1"/>
  <c r="O1764" i="1"/>
  <c r="B1764" i="1"/>
  <c r="H1764" i="1"/>
  <c r="G1764" i="1"/>
  <c r="F1764" i="1"/>
  <c r="E1764" i="1"/>
  <c r="N1764" i="1"/>
  <c r="M1764" i="1"/>
  <c r="L1764" i="1"/>
  <c r="K1764" i="1"/>
  <c r="J1764" i="1"/>
  <c r="I1764" i="1"/>
  <c r="D1764" i="1"/>
  <c r="C1764" i="1"/>
  <c r="A1764" i="1"/>
  <c r="AE1763" i="1"/>
  <c r="AD1763" i="1"/>
  <c r="AC1763" i="1"/>
  <c r="AB1763" i="1"/>
  <c r="AA1763" i="1"/>
  <c r="Z1763" i="1"/>
  <c r="Y1763" i="1"/>
  <c r="X1763" i="1"/>
  <c r="W1763" i="1"/>
  <c r="V1763" i="1"/>
  <c r="U1763" i="1"/>
  <c r="T1763" i="1"/>
  <c r="S1763" i="1"/>
  <c r="R1763" i="1"/>
  <c r="Q1763" i="1"/>
  <c r="P1763" i="1"/>
  <c r="O1763" i="1"/>
  <c r="B1763" i="1"/>
  <c r="H1763" i="1"/>
  <c r="G1763" i="1"/>
  <c r="F1763" i="1"/>
  <c r="E1763" i="1"/>
  <c r="N1763" i="1"/>
  <c r="M1763" i="1"/>
  <c r="L1763" i="1"/>
  <c r="K1763" i="1"/>
  <c r="J1763" i="1"/>
  <c r="I1763" i="1"/>
  <c r="D1763" i="1"/>
  <c r="C1763" i="1"/>
  <c r="A1763" i="1"/>
  <c r="AE1762" i="1"/>
  <c r="AD1762" i="1"/>
  <c r="AC1762" i="1"/>
  <c r="AB1762" i="1"/>
  <c r="AA1762" i="1"/>
  <c r="Z1762" i="1"/>
  <c r="Y1762" i="1"/>
  <c r="X1762" i="1"/>
  <c r="W1762" i="1"/>
  <c r="V1762" i="1"/>
  <c r="U1762" i="1"/>
  <c r="T1762" i="1"/>
  <c r="S1762" i="1"/>
  <c r="R1762" i="1"/>
  <c r="Q1762" i="1"/>
  <c r="P1762" i="1"/>
  <c r="O1762" i="1"/>
  <c r="B1762" i="1"/>
  <c r="H1762" i="1"/>
  <c r="G1762" i="1"/>
  <c r="F1762" i="1"/>
  <c r="E1762" i="1"/>
  <c r="N1762" i="1"/>
  <c r="M1762" i="1"/>
  <c r="L1762" i="1"/>
  <c r="K1762" i="1"/>
  <c r="J1762" i="1"/>
  <c r="I1762" i="1"/>
  <c r="D1762" i="1"/>
  <c r="C1762" i="1"/>
  <c r="A1762" i="1"/>
  <c r="AE1761" i="1"/>
  <c r="AD1761" i="1"/>
  <c r="AC1761" i="1"/>
  <c r="AB1761" i="1"/>
  <c r="AA1761" i="1"/>
  <c r="Z1761" i="1"/>
  <c r="Y1761" i="1"/>
  <c r="X1761" i="1"/>
  <c r="W1761" i="1"/>
  <c r="V1761" i="1"/>
  <c r="U1761" i="1"/>
  <c r="T1761" i="1"/>
  <c r="S1761" i="1"/>
  <c r="R1761" i="1"/>
  <c r="Q1761" i="1"/>
  <c r="P1761" i="1"/>
  <c r="O1761" i="1"/>
  <c r="B1761" i="1"/>
  <c r="H1761" i="1"/>
  <c r="G1761" i="1"/>
  <c r="F1761" i="1"/>
  <c r="E1761" i="1"/>
  <c r="N1761" i="1"/>
  <c r="M1761" i="1"/>
  <c r="L1761" i="1"/>
  <c r="K1761" i="1"/>
  <c r="J1761" i="1"/>
  <c r="I1761" i="1"/>
  <c r="D1761" i="1"/>
  <c r="C1761" i="1"/>
  <c r="A1761" i="1"/>
  <c r="AE1760" i="1"/>
  <c r="AD1760" i="1"/>
  <c r="AC1760" i="1"/>
  <c r="AB1760" i="1"/>
  <c r="AA1760" i="1"/>
  <c r="Z1760" i="1"/>
  <c r="Y1760" i="1"/>
  <c r="X1760" i="1"/>
  <c r="W1760" i="1"/>
  <c r="V1760" i="1"/>
  <c r="U1760" i="1"/>
  <c r="T1760" i="1"/>
  <c r="S1760" i="1"/>
  <c r="R1760" i="1"/>
  <c r="Q1760" i="1"/>
  <c r="P1760" i="1"/>
  <c r="O1760" i="1"/>
  <c r="B1760" i="1"/>
  <c r="H1760" i="1"/>
  <c r="G1760" i="1"/>
  <c r="F1760" i="1"/>
  <c r="E1760" i="1"/>
  <c r="N1760" i="1"/>
  <c r="M1760" i="1"/>
  <c r="L1760" i="1"/>
  <c r="K1760" i="1"/>
  <c r="J1760" i="1"/>
  <c r="I1760" i="1"/>
  <c r="D1760" i="1"/>
  <c r="C1760" i="1"/>
  <c r="A1760" i="1"/>
  <c r="AE1759" i="1"/>
  <c r="AD1759" i="1"/>
  <c r="AC1759" i="1"/>
  <c r="AB1759" i="1"/>
  <c r="AA1759" i="1"/>
  <c r="Z1759" i="1"/>
  <c r="Y1759" i="1"/>
  <c r="X1759" i="1"/>
  <c r="W1759" i="1"/>
  <c r="V1759" i="1"/>
  <c r="U1759" i="1"/>
  <c r="T1759" i="1"/>
  <c r="S1759" i="1"/>
  <c r="R1759" i="1"/>
  <c r="Q1759" i="1"/>
  <c r="P1759" i="1"/>
  <c r="O1759" i="1"/>
  <c r="B1759" i="1"/>
  <c r="H1759" i="1"/>
  <c r="G1759" i="1"/>
  <c r="F1759" i="1"/>
  <c r="E1759" i="1"/>
  <c r="N1759" i="1"/>
  <c r="M1759" i="1"/>
  <c r="L1759" i="1"/>
  <c r="K1759" i="1"/>
  <c r="J1759" i="1"/>
  <c r="I1759" i="1"/>
  <c r="D1759" i="1"/>
  <c r="C1759" i="1"/>
  <c r="A1759" i="1"/>
  <c r="AE1758" i="1"/>
  <c r="AD1758" i="1"/>
  <c r="AC1758" i="1"/>
  <c r="AB1758" i="1"/>
  <c r="AA1758" i="1"/>
  <c r="Z1758" i="1"/>
  <c r="Y1758" i="1"/>
  <c r="X1758" i="1"/>
  <c r="W1758" i="1"/>
  <c r="V1758" i="1"/>
  <c r="U1758" i="1"/>
  <c r="T1758" i="1"/>
  <c r="S1758" i="1"/>
  <c r="R1758" i="1"/>
  <c r="Q1758" i="1"/>
  <c r="P1758" i="1"/>
  <c r="O1758" i="1"/>
  <c r="B1758" i="1"/>
  <c r="H1758" i="1"/>
  <c r="G1758" i="1"/>
  <c r="F1758" i="1"/>
  <c r="E1758" i="1"/>
  <c r="N1758" i="1"/>
  <c r="M1758" i="1"/>
  <c r="L1758" i="1"/>
  <c r="K1758" i="1"/>
  <c r="J1758" i="1"/>
  <c r="I1758" i="1"/>
  <c r="D1758" i="1"/>
  <c r="C1758" i="1"/>
  <c r="A1758" i="1"/>
  <c r="AE1757" i="1"/>
  <c r="AD1757" i="1"/>
  <c r="AC1757" i="1"/>
  <c r="AB1757" i="1"/>
  <c r="AA1757" i="1"/>
  <c r="Z1757" i="1"/>
  <c r="Y1757" i="1"/>
  <c r="X1757" i="1"/>
  <c r="W1757" i="1"/>
  <c r="V1757" i="1"/>
  <c r="U1757" i="1"/>
  <c r="T1757" i="1"/>
  <c r="S1757" i="1"/>
  <c r="R1757" i="1"/>
  <c r="Q1757" i="1"/>
  <c r="P1757" i="1"/>
  <c r="O1757" i="1"/>
  <c r="B1757" i="1"/>
  <c r="H1757" i="1"/>
  <c r="G1757" i="1"/>
  <c r="F1757" i="1"/>
  <c r="E1757" i="1"/>
  <c r="N1757" i="1"/>
  <c r="M1757" i="1"/>
  <c r="L1757" i="1"/>
  <c r="K1757" i="1"/>
  <c r="J1757" i="1"/>
  <c r="I1757" i="1"/>
  <c r="D1757" i="1"/>
  <c r="C1757" i="1"/>
  <c r="A1757" i="1"/>
  <c r="AE1756" i="1"/>
  <c r="AD1756" i="1"/>
  <c r="AC1756" i="1"/>
  <c r="AB1756" i="1"/>
  <c r="AA1756" i="1"/>
  <c r="Z1756" i="1"/>
  <c r="Y1756" i="1"/>
  <c r="X1756" i="1"/>
  <c r="W1756" i="1"/>
  <c r="V1756" i="1"/>
  <c r="U1756" i="1"/>
  <c r="T1756" i="1"/>
  <c r="S1756" i="1"/>
  <c r="R1756" i="1"/>
  <c r="Q1756" i="1"/>
  <c r="P1756" i="1"/>
  <c r="O1756" i="1"/>
  <c r="B1756" i="1"/>
  <c r="H1756" i="1"/>
  <c r="G1756" i="1"/>
  <c r="F1756" i="1"/>
  <c r="E1756" i="1"/>
  <c r="M1756" i="1"/>
  <c r="L1756" i="1"/>
  <c r="K1756" i="1"/>
  <c r="J1756" i="1"/>
  <c r="I1756" i="1"/>
  <c r="D1756" i="1"/>
  <c r="C1756" i="1"/>
  <c r="A1756" i="1"/>
  <c r="AE1755" i="1"/>
  <c r="AD1755" i="1"/>
  <c r="AC1755" i="1"/>
  <c r="AB1755" i="1"/>
  <c r="AA1755" i="1"/>
  <c r="Z1755" i="1"/>
  <c r="Y1755" i="1"/>
  <c r="X1755" i="1"/>
  <c r="W1755" i="1"/>
  <c r="V1755" i="1"/>
  <c r="U1755" i="1"/>
  <c r="T1755" i="1"/>
  <c r="S1755" i="1"/>
  <c r="R1755" i="1"/>
  <c r="Q1755" i="1"/>
  <c r="P1755" i="1"/>
  <c r="O1755" i="1"/>
  <c r="B1755" i="1"/>
  <c r="H1755" i="1"/>
  <c r="G1755" i="1"/>
  <c r="F1755" i="1"/>
  <c r="E1755" i="1"/>
  <c r="N1755" i="1"/>
  <c r="M1755" i="1"/>
  <c r="L1755" i="1"/>
  <c r="K1755" i="1"/>
  <c r="J1755" i="1"/>
  <c r="I1755" i="1"/>
  <c r="D1755" i="1"/>
  <c r="C1755" i="1"/>
  <c r="A1755" i="1"/>
  <c r="AE1754" i="1"/>
  <c r="AD1754" i="1"/>
  <c r="AC1754" i="1"/>
  <c r="AB1754" i="1"/>
  <c r="AA1754" i="1"/>
  <c r="Z1754" i="1"/>
  <c r="Y1754" i="1"/>
  <c r="X1754" i="1"/>
  <c r="W1754" i="1"/>
  <c r="V1754" i="1"/>
  <c r="U1754" i="1"/>
  <c r="T1754" i="1"/>
  <c r="S1754" i="1"/>
  <c r="R1754" i="1"/>
  <c r="Q1754" i="1"/>
  <c r="P1754" i="1"/>
  <c r="O1754" i="1"/>
  <c r="B1754" i="1"/>
  <c r="H1754" i="1"/>
  <c r="G1754" i="1"/>
  <c r="F1754" i="1"/>
  <c r="E1754" i="1"/>
  <c r="N1754" i="1"/>
  <c r="M1754" i="1"/>
  <c r="L1754" i="1"/>
  <c r="K1754" i="1"/>
  <c r="J1754" i="1"/>
  <c r="I1754" i="1"/>
  <c r="D1754" i="1"/>
  <c r="C1754" i="1"/>
  <c r="A1754" i="1"/>
  <c r="AE1753" i="1"/>
  <c r="AD1753" i="1"/>
  <c r="AC1753" i="1"/>
  <c r="AB1753" i="1"/>
  <c r="AA1753" i="1"/>
  <c r="Z1753" i="1"/>
  <c r="Y1753" i="1"/>
  <c r="X1753" i="1"/>
  <c r="W1753" i="1"/>
  <c r="V1753" i="1"/>
  <c r="U1753" i="1"/>
  <c r="T1753" i="1"/>
  <c r="S1753" i="1"/>
  <c r="R1753" i="1"/>
  <c r="Q1753" i="1"/>
  <c r="P1753" i="1"/>
  <c r="O1753" i="1"/>
  <c r="B1753" i="1"/>
  <c r="H1753" i="1"/>
  <c r="G1753" i="1"/>
  <c r="F1753" i="1"/>
  <c r="E1753" i="1"/>
  <c r="N1753" i="1"/>
  <c r="M1753" i="1"/>
  <c r="L1753" i="1"/>
  <c r="K1753" i="1"/>
  <c r="J1753" i="1"/>
  <c r="I1753" i="1"/>
  <c r="D1753" i="1"/>
  <c r="C1753" i="1"/>
  <c r="A1753" i="1"/>
  <c r="AE1752" i="1"/>
  <c r="AD1752" i="1"/>
  <c r="AC1752" i="1"/>
  <c r="AB1752" i="1"/>
  <c r="AA1752" i="1"/>
  <c r="Z1752" i="1"/>
  <c r="Y1752" i="1"/>
  <c r="X1752" i="1"/>
  <c r="W1752" i="1"/>
  <c r="V1752" i="1"/>
  <c r="U1752" i="1"/>
  <c r="T1752" i="1"/>
  <c r="S1752" i="1"/>
  <c r="R1752" i="1"/>
  <c r="Q1752" i="1"/>
  <c r="P1752" i="1"/>
  <c r="O1752" i="1"/>
  <c r="B1752" i="1"/>
  <c r="H1752" i="1"/>
  <c r="G1752" i="1"/>
  <c r="F1752" i="1"/>
  <c r="E1752" i="1"/>
  <c r="N1752" i="1"/>
  <c r="M1752" i="1"/>
  <c r="L1752" i="1"/>
  <c r="K1752" i="1"/>
  <c r="J1752" i="1"/>
  <c r="I1752" i="1"/>
  <c r="D1752" i="1"/>
  <c r="C1752" i="1"/>
  <c r="A1752" i="1"/>
  <c r="AE1751" i="1"/>
  <c r="AD1751" i="1"/>
  <c r="AC1751" i="1"/>
  <c r="AB1751" i="1"/>
  <c r="AA1751" i="1"/>
  <c r="Z1751" i="1"/>
  <c r="Y1751" i="1"/>
  <c r="X1751" i="1"/>
  <c r="W1751" i="1"/>
  <c r="V1751" i="1"/>
  <c r="U1751" i="1"/>
  <c r="T1751" i="1"/>
  <c r="S1751" i="1"/>
  <c r="R1751" i="1"/>
  <c r="Q1751" i="1"/>
  <c r="P1751" i="1"/>
  <c r="O1751" i="1"/>
  <c r="B1751" i="1"/>
  <c r="H1751" i="1"/>
  <c r="G1751" i="1"/>
  <c r="F1751" i="1"/>
  <c r="E1751" i="1"/>
  <c r="N1751" i="1"/>
  <c r="M1751" i="1"/>
  <c r="L1751" i="1"/>
  <c r="K1751" i="1"/>
  <c r="J1751" i="1"/>
  <c r="I1751" i="1"/>
  <c r="D1751" i="1"/>
  <c r="C1751" i="1"/>
  <c r="A1751" i="1"/>
  <c r="AE1750" i="1"/>
  <c r="AD1750" i="1"/>
  <c r="AC1750" i="1"/>
  <c r="AB1750" i="1"/>
  <c r="AA1750" i="1"/>
  <c r="Z1750" i="1"/>
  <c r="Y1750" i="1"/>
  <c r="X1750" i="1"/>
  <c r="W1750" i="1"/>
  <c r="V1750" i="1"/>
  <c r="U1750" i="1"/>
  <c r="T1750" i="1"/>
  <c r="S1750" i="1"/>
  <c r="R1750" i="1"/>
  <c r="Q1750" i="1"/>
  <c r="P1750" i="1"/>
  <c r="O1750" i="1"/>
  <c r="B1750" i="1"/>
  <c r="H1750" i="1"/>
  <c r="G1750" i="1"/>
  <c r="F1750" i="1"/>
  <c r="E1750" i="1"/>
  <c r="N1750" i="1"/>
  <c r="M1750" i="1"/>
  <c r="L1750" i="1"/>
  <c r="K1750" i="1"/>
  <c r="J1750" i="1"/>
  <c r="I1750" i="1"/>
  <c r="D1750" i="1"/>
  <c r="C1750" i="1"/>
  <c r="A1750" i="1"/>
  <c r="AE1749" i="1"/>
  <c r="AD1749" i="1"/>
  <c r="AC1749" i="1"/>
  <c r="AB1749" i="1"/>
  <c r="AA1749" i="1"/>
  <c r="Z1749" i="1"/>
  <c r="Y1749" i="1"/>
  <c r="X1749" i="1"/>
  <c r="W1749" i="1"/>
  <c r="V1749" i="1"/>
  <c r="U1749" i="1"/>
  <c r="T1749" i="1"/>
  <c r="S1749" i="1"/>
  <c r="R1749" i="1"/>
  <c r="Q1749" i="1"/>
  <c r="P1749" i="1"/>
  <c r="O1749" i="1"/>
  <c r="B1749" i="1"/>
  <c r="H1749" i="1"/>
  <c r="G1749" i="1"/>
  <c r="F1749" i="1"/>
  <c r="E1749" i="1"/>
  <c r="N1749" i="1"/>
  <c r="M1749" i="1"/>
  <c r="L1749" i="1"/>
  <c r="K1749" i="1"/>
  <c r="J1749" i="1"/>
  <c r="I1749" i="1"/>
  <c r="D1749" i="1"/>
  <c r="C1749" i="1"/>
  <c r="A1749" i="1"/>
  <c r="AE1748" i="1"/>
  <c r="AD1748" i="1"/>
  <c r="AC1748" i="1"/>
  <c r="AB1748" i="1"/>
  <c r="AA1748" i="1"/>
  <c r="Z1748" i="1"/>
  <c r="Y1748" i="1"/>
  <c r="X1748" i="1"/>
  <c r="W1748" i="1"/>
  <c r="V1748" i="1"/>
  <c r="U1748" i="1"/>
  <c r="T1748" i="1"/>
  <c r="S1748" i="1"/>
  <c r="R1748" i="1"/>
  <c r="Q1748" i="1"/>
  <c r="P1748" i="1"/>
  <c r="O1748" i="1"/>
  <c r="B1748" i="1"/>
  <c r="H1748" i="1"/>
  <c r="G1748" i="1"/>
  <c r="F1748" i="1"/>
  <c r="E1748" i="1"/>
  <c r="N1748" i="1"/>
  <c r="M1748" i="1"/>
  <c r="L1748" i="1"/>
  <c r="K1748" i="1"/>
  <c r="J1748" i="1"/>
  <c r="I1748" i="1"/>
  <c r="D1748" i="1"/>
  <c r="C1748" i="1"/>
  <c r="A1748" i="1"/>
  <c r="AE1747" i="1"/>
  <c r="AD1747" i="1"/>
  <c r="AC1747" i="1"/>
  <c r="AB1747" i="1"/>
  <c r="AA1747" i="1"/>
  <c r="Z1747" i="1"/>
  <c r="Y1747" i="1"/>
  <c r="X1747" i="1"/>
  <c r="W1747" i="1"/>
  <c r="V1747" i="1"/>
  <c r="U1747" i="1"/>
  <c r="T1747" i="1"/>
  <c r="S1747" i="1"/>
  <c r="R1747" i="1"/>
  <c r="Q1747" i="1"/>
  <c r="P1747" i="1"/>
  <c r="O1747" i="1"/>
  <c r="B1747" i="1"/>
  <c r="H1747" i="1"/>
  <c r="G1747" i="1"/>
  <c r="F1747" i="1"/>
  <c r="E1747" i="1"/>
  <c r="N1747" i="1"/>
  <c r="M1747" i="1"/>
  <c r="L1747" i="1"/>
  <c r="K1747" i="1"/>
  <c r="J1747" i="1"/>
  <c r="I1747" i="1"/>
  <c r="D1747" i="1"/>
  <c r="C1747" i="1"/>
  <c r="A1747" i="1"/>
  <c r="AE1746" i="1"/>
  <c r="AD1746" i="1"/>
  <c r="AC1746" i="1"/>
  <c r="AB1746" i="1"/>
  <c r="AA1746" i="1"/>
  <c r="Z1746" i="1"/>
  <c r="Y1746" i="1"/>
  <c r="X1746" i="1"/>
  <c r="W1746" i="1"/>
  <c r="V1746" i="1"/>
  <c r="U1746" i="1"/>
  <c r="T1746" i="1"/>
  <c r="S1746" i="1"/>
  <c r="R1746" i="1"/>
  <c r="Q1746" i="1"/>
  <c r="P1746" i="1"/>
  <c r="O1746" i="1"/>
  <c r="B1746" i="1"/>
  <c r="H1746" i="1"/>
  <c r="G1746" i="1"/>
  <c r="F1746" i="1"/>
  <c r="E1746" i="1"/>
  <c r="N1746" i="1"/>
  <c r="M1746" i="1"/>
  <c r="L1746" i="1"/>
  <c r="K1746" i="1"/>
  <c r="J1746" i="1"/>
  <c r="I1746" i="1"/>
  <c r="D1746" i="1"/>
  <c r="C1746" i="1"/>
  <c r="A1746" i="1"/>
  <c r="AE1745" i="1"/>
  <c r="AD1745" i="1"/>
  <c r="AC1745" i="1"/>
  <c r="AB1745" i="1"/>
  <c r="AA1745" i="1"/>
  <c r="Z1745" i="1"/>
  <c r="Y1745" i="1"/>
  <c r="X1745" i="1"/>
  <c r="W1745" i="1"/>
  <c r="V1745" i="1"/>
  <c r="U1745" i="1"/>
  <c r="T1745" i="1"/>
  <c r="S1745" i="1"/>
  <c r="R1745" i="1"/>
  <c r="Q1745" i="1"/>
  <c r="P1745" i="1"/>
  <c r="O1745" i="1"/>
  <c r="B1745" i="1"/>
  <c r="H1745" i="1"/>
  <c r="G1745" i="1"/>
  <c r="F1745" i="1"/>
  <c r="E1745" i="1"/>
  <c r="N1745" i="1"/>
  <c r="M1745" i="1"/>
  <c r="L1745" i="1"/>
  <c r="K1745" i="1"/>
  <c r="J1745" i="1"/>
  <c r="I1745" i="1"/>
  <c r="D1745" i="1"/>
  <c r="C1745" i="1"/>
  <c r="A1745" i="1"/>
  <c r="AE1744" i="1"/>
  <c r="AD1744" i="1"/>
  <c r="AC1744" i="1"/>
  <c r="AB1744" i="1"/>
  <c r="AA1744" i="1"/>
  <c r="Z1744" i="1"/>
  <c r="Y1744" i="1"/>
  <c r="X1744" i="1"/>
  <c r="W1744" i="1"/>
  <c r="V1744" i="1"/>
  <c r="U1744" i="1"/>
  <c r="T1744" i="1"/>
  <c r="S1744" i="1"/>
  <c r="R1744" i="1"/>
  <c r="Q1744" i="1"/>
  <c r="P1744" i="1"/>
  <c r="O1744" i="1"/>
  <c r="B1744" i="1"/>
  <c r="H1744" i="1"/>
  <c r="G1744" i="1"/>
  <c r="F1744" i="1"/>
  <c r="E1744" i="1"/>
  <c r="N1744" i="1"/>
  <c r="M1744" i="1"/>
  <c r="L1744" i="1"/>
  <c r="K1744" i="1"/>
  <c r="J1744" i="1"/>
  <c r="I1744" i="1"/>
  <c r="D1744" i="1"/>
  <c r="C1744" i="1"/>
  <c r="A1744" i="1"/>
  <c r="AE1743" i="1"/>
  <c r="AD1743" i="1"/>
  <c r="AC1743" i="1"/>
  <c r="AB1743" i="1"/>
  <c r="AA1743" i="1"/>
  <c r="Z1743" i="1"/>
  <c r="Y1743" i="1"/>
  <c r="X1743" i="1"/>
  <c r="W1743" i="1"/>
  <c r="V1743" i="1"/>
  <c r="U1743" i="1"/>
  <c r="T1743" i="1"/>
  <c r="S1743" i="1"/>
  <c r="R1743" i="1"/>
  <c r="Q1743" i="1"/>
  <c r="P1743" i="1"/>
  <c r="O1743" i="1"/>
  <c r="B1743" i="1"/>
  <c r="H1743" i="1"/>
  <c r="G1743" i="1"/>
  <c r="F1743" i="1"/>
  <c r="E1743" i="1"/>
  <c r="N1743" i="1"/>
  <c r="M1743" i="1"/>
  <c r="L1743" i="1"/>
  <c r="K1743" i="1"/>
  <c r="J1743" i="1"/>
  <c r="I1743" i="1"/>
  <c r="D1743" i="1"/>
  <c r="C1743" i="1"/>
  <c r="A1743" i="1"/>
  <c r="AE1742" i="1"/>
  <c r="AD1742" i="1"/>
  <c r="AC1742" i="1"/>
  <c r="AB1742" i="1"/>
  <c r="AA1742" i="1"/>
  <c r="Z1742" i="1"/>
  <c r="Y1742" i="1"/>
  <c r="X1742" i="1"/>
  <c r="W1742" i="1"/>
  <c r="V1742" i="1"/>
  <c r="U1742" i="1"/>
  <c r="T1742" i="1"/>
  <c r="S1742" i="1"/>
  <c r="R1742" i="1"/>
  <c r="Q1742" i="1"/>
  <c r="P1742" i="1"/>
  <c r="O1742" i="1"/>
  <c r="B1742" i="1"/>
  <c r="H1742" i="1"/>
  <c r="G1742" i="1"/>
  <c r="F1742" i="1"/>
  <c r="E1742" i="1"/>
  <c r="N1742" i="1"/>
  <c r="M1742" i="1"/>
  <c r="L1742" i="1"/>
  <c r="K1742" i="1"/>
  <c r="J1742" i="1"/>
  <c r="I1742" i="1"/>
  <c r="D1742" i="1"/>
  <c r="C1742" i="1"/>
  <c r="A1742" i="1"/>
  <c r="AE1741" i="1"/>
  <c r="AD1741" i="1"/>
  <c r="AC1741" i="1"/>
  <c r="AB1741" i="1"/>
  <c r="AA1741" i="1"/>
  <c r="Z1741" i="1"/>
  <c r="Y1741" i="1"/>
  <c r="X1741" i="1"/>
  <c r="W1741" i="1"/>
  <c r="V1741" i="1"/>
  <c r="U1741" i="1"/>
  <c r="T1741" i="1"/>
  <c r="S1741" i="1"/>
  <c r="R1741" i="1"/>
  <c r="Q1741" i="1"/>
  <c r="P1741" i="1"/>
  <c r="O1741" i="1"/>
  <c r="B1741" i="1"/>
  <c r="H1741" i="1"/>
  <c r="G1741" i="1"/>
  <c r="F1741" i="1"/>
  <c r="E1741" i="1"/>
  <c r="N1741" i="1"/>
  <c r="M1741" i="1"/>
  <c r="L1741" i="1"/>
  <c r="K1741" i="1"/>
  <c r="J1741" i="1"/>
  <c r="I1741" i="1"/>
  <c r="D1741" i="1"/>
  <c r="C1741" i="1"/>
  <c r="A1741" i="1"/>
  <c r="AE1740" i="1"/>
  <c r="AD1740" i="1"/>
  <c r="AC1740" i="1"/>
  <c r="AB1740" i="1"/>
  <c r="AA1740" i="1"/>
  <c r="Z1740" i="1"/>
  <c r="Y1740" i="1"/>
  <c r="X1740" i="1"/>
  <c r="W1740" i="1"/>
  <c r="V1740" i="1"/>
  <c r="U1740" i="1"/>
  <c r="T1740" i="1"/>
  <c r="S1740" i="1"/>
  <c r="R1740" i="1"/>
  <c r="Q1740" i="1"/>
  <c r="P1740" i="1"/>
  <c r="O1740" i="1"/>
  <c r="B1740" i="1"/>
  <c r="H1740" i="1"/>
  <c r="G1740" i="1"/>
  <c r="F1740" i="1"/>
  <c r="E1740" i="1"/>
  <c r="N1740" i="1"/>
  <c r="M1740" i="1"/>
  <c r="L1740" i="1"/>
  <c r="K1740" i="1"/>
  <c r="J1740" i="1"/>
  <c r="I1740" i="1"/>
  <c r="D1740" i="1"/>
  <c r="C1740" i="1"/>
  <c r="A1740" i="1"/>
  <c r="AE1739" i="1"/>
  <c r="AD1739" i="1"/>
  <c r="AC1739" i="1"/>
  <c r="AB1739" i="1"/>
  <c r="AA1739" i="1"/>
  <c r="Z1739" i="1"/>
  <c r="Y1739" i="1"/>
  <c r="X1739" i="1"/>
  <c r="W1739" i="1"/>
  <c r="V1739" i="1"/>
  <c r="U1739" i="1"/>
  <c r="T1739" i="1"/>
  <c r="S1739" i="1"/>
  <c r="R1739" i="1"/>
  <c r="Q1739" i="1"/>
  <c r="P1739" i="1"/>
  <c r="O1739" i="1"/>
  <c r="B1739" i="1"/>
  <c r="H1739" i="1"/>
  <c r="G1739" i="1"/>
  <c r="F1739" i="1"/>
  <c r="E1739" i="1"/>
  <c r="N1739" i="1"/>
  <c r="M1739" i="1"/>
  <c r="L1739" i="1"/>
  <c r="K1739" i="1"/>
  <c r="J1739" i="1"/>
  <c r="I1739" i="1"/>
  <c r="D1739" i="1"/>
  <c r="C1739" i="1"/>
  <c r="A1739" i="1"/>
  <c r="AE1738" i="1"/>
  <c r="AD1738" i="1"/>
  <c r="AC1738" i="1"/>
  <c r="AB1738" i="1"/>
  <c r="AA1738" i="1"/>
  <c r="Z1738" i="1"/>
  <c r="Y1738" i="1"/>
  <c r="X1738" i="1"/>
  <c r="W1738" i="1"/>
  <c r="V1738" i="1"/>
  <c r="U1738" i="1"/>
  <c r="T1738" i="1"/>
  <c r="S1738" i="1"/>
  <c r="R1738" i="1"/>
  <c r="Q1738" i="1"/>
  <c r="P1738" i="1"/>
  <c r="O1738" i="1"/>
  <c r="B1738" i="1"/>
  <c r="H1738" i="1"/>
  <c r="G1738" i="1"/>
  <c r="F1738" i="1"/>
  <c r="E1738" i="1"/>
  <c r="N1738" i="1"/>
  <c r="M1738" i="1"/>
  <c r="L1738" i="1"/>
  <c r="K1738" i="1"/>
  <c r="J1738" i="1"/>
  <c r="I1738" i="1"/>
  <c r="D1738" i="1"/>
  <c r="C1738" i="1"/>
  <c r="A1738" i="1"/>
  <c r="AE1737" i="1"/>
  <c r="AD1737" i="1"/>
  <c r="AC1737" i="1"/>
  <c r="AB1737" i="1"/>
  <c r="AA1737" i="1"/>
  <c r="Z1737" i="1"/>
  <c r="Y1737" i="1"/>
  <c r="X1737" i="1"/>
  <c r="W1737" i="1"/>
  <c r="V1737" i="1"/>
  <c r="U1737" i="1"/>
  <c r="T1737" i="1"/>
  <c r="S1737" i="1"/>
  <c r="R1737" i="1"/>
  <c r="Q1737" i="1"/>
  <c r="P1737" i="1"/>
  <c r="O1737" i="1"/>
  <c r="B1737" i="1"/>
  <c r="H1737" i="1"/>
  <c r="G1737" i="1"/>
  <c r="F1737" i="1"/>
  <c r="E1737" i="1"/>
  <c r="N1737" i="1"/>
  <c r="M1737" i="1"/>
  <c r="L1737" i="1"/>
  <c r="K1737" i="1"/>
  <c r="J1737" i="1"/>
  <c r="I1737" i="1"/>
  <c r="D1737" i="1"/>
  <c r="C1737" i="1"/>
  <c r="A1737" i="1"/>
  <c r="AE1736" i="1"/>
  <c r="AD1736" i="1"/>
  <c r="AC1736" i="1"/>
  <c r="AB1736" i="1"/>
  <c r="AA1736" i="1"/>
  <c r="Z1736" i="1"/>
  <c r="Y1736" i="1"/>
  <c r="X1736" i="1"/>
  <c r="W1736" i="1"/>
  <c r="V1736" i="1"/>
  <c r="U1736" i="1"/>
  <c r="T1736" i="1"/>
  <c r="S1736" i="1"/>
  <c r="R1736" i="1"/>
  <c r="Q1736" i="1"/>
  <c r="P1736" i="1"/>
  <c r="O1736" i="1"/>
  <c r="B1736" i="1"/>
  <c r="H1736" i="1"/>
  <c r="G1736" i="1"/>
  <c r="F1736" i="1"/>
  <c r="E1736" i="1"/>
  <c r="N1736" i="1"/>
  <c r="M1736" i="1"/>
  <c r="L1736" i="1"/>
  <c r="K1736" i="1"/>
  <c r="J1736" i="1"/>
  <c r="I1736" i="1"/>
  <c r="D1736" i="1"/>
  <c r="C1736" i="1"/>
  <c r="A1736" i="1"/>
  <c r="AE1735" i="1"/>
  <c r="AD1735" i="1"/>
  <c r="AC1735" i="1"/>
  <c r="AB1735" i="1"/>
  <c r="AA1735" i="1"/>
  <c r="Z1735" i="1"/>
  <c r="Y1735" i="1"/>
  <c r="X1735" i="1"/>
  <c r="W1735" i="1"/>
  <c r="V1735" i="1"/>
  <c r="U1735" i="1"/>
  <c r="T1735" i="1"/>
  <c r="S1735" i="1"/>
  <c r="R1735" i="1"/>
  <c r="Q1735" i="1"/>
  <c r="P1735" i="1"/>
  <c r="O1735" i="1"/>
  <c r="B1735" i="1"/>
  <c r="H1735" i="1"/>
  <c r="G1735" i="1"/>
  <c r="F1735" i="1"/>
  <c r="E1735" i="1"/>
  <c r="N1735" i="1"/>
  <c r="M1735" i="1"/>
  <c r="L1735" i="1"/>
  <c r="K1735" i="1"/>
  <c r="J1735" i="1"/>
  <c r="I1735" i="1"/>
  <c r="D1735" i="1"/>
  <c r="C1735" i="1"/>
  <c r="A1735" i="1"/>
  <c r="AE1734" i="1"/>
  <c r="AD1734" i="1"/>
  <c r="AC1734" i="1"/>
  <c r="AB1734" i="1"/>
  <c r="AA1734" i="1"/>
  <c r="Z1734" i="1"/>
  <c r="Y1734" i="1"/>
  <c r="X1734" i="1"/>
  <c r="W1734" i="1"/>
  <c r="V1734" i="1"/>
  <c r="U1734" i="1"/>
  <c r="T1734" i="1"/>
  <c r="S1734" i="1"/>
  <c r="R1734" i="1"/>
  <c r="Q1734" i="1"/>
  <c r="P1734" i="1"/>
  <c r="O1734" i="1"/>
  <c r="B1734" i="1"/>
  <c r="H1734" i="1"/>
  <c r="G1734" i="1"/>
  <c r="F1734" i="1"/>
  <c r="E1734" i="1"/>
  <c r="N1734" i="1"/>
  <c r="M1734" i="1"/>
  <c r="L1734" i="1"/>
  <c r="K1734" i="1"/>
  <c r="J1734" i="1"/>
  <c r="I1734" i="1"/>
  <c r="D1734" i="1"/>
  <c r="C1734" i="1"/>
  <c r="A1734" i="1"/>
  <c r="AE1733" i="1"/>
  <c r="AD1733" i="1"/>
  <c r="AC1733" i="1"/>
  <c r="AB1733" i="1"/>
  <c r="AA1733" i="1"/>
  <c r="Z1733" i="1"/>
  <c r="Y1733" i="1"/>
  <c r="X1733" i="1"/>
  <c r="W1733" i="1"/>
  <c r="V1733" i="1"/>
  <c r="U1733" i="1"/>
  <c r="T1733" i="1"/>
  <c r="S1733" i="1"/>
  <c r="R1733" i="1"/>
  <c r="Q1733" i="1"/>
  <c r="P1733" i="1"/>
  <c r="O1733" i="1"/>
  <c r="B1733" i="1"/>
  <c r="H1733" i="1"/>
  <c r="G1733" i="1"/>
  <c r="F1733" i="1"/>
  <c r="E1733" i="1"/>
  <c r="N1733" i="1"/>
  <c r="M1733" i="1"/>
  <c r="L1733" i="1"/>
  <c r="K1733" i="1"/>
  <c r="J1733" i="1"/>
  <c r="I1733" i="1"/>
  <c r="D1733" i="1"/>
  <c r="C1733" i="1"/>
  <c r="A1733" i="1"/>
  <c r="AE1732" i="1"/>
  <c r="AD1732" i="1"/>
  <c r="AC1732" i="1"/>
  <c r="AB1732" i="1"/>
  <c r="AA1732" i="1"/>
  <c r="Z1732" i="1"/>
  <c r="Y1732" i="1"/>
  <c r="X1732" i="1"/>
  <c r="W1732" i="1"/>
  <c r="V1732" i="1"/>
  <c r="U1732" i="1"/>
  <c r="T1732" i="1"/>
  <c r="S1732" i="1"/>
  <c r="R1732" i="1"/>
  <c r="Q1732" i="1"/>
  <c r="P1732" i="1"/>
  <c r="O1732" i="1"/>
  <c r="B1732" i="1"/>
  <c r="H1732" i="1"/>
  <c r="G1732" i="1"/>
  <c r="F1732" i="1"/>
  <c r="E1732" i="1"/>
  <c r="N1732" i="1"/>
  <c r="M1732" i="1"/>
  <c r="L1732" i="1"/>
  <c r="K1732" i="1"/>
  <c r="J1732" i="1"/>
  <c r="I1732" i="1"/>
  <c r="D1732" i="1"/>
  <c r="C1732" i="1"/>
  <c r="A1732" i="1"/>
  <c r="AE1731" i="1"/>
  <c r="AD1731" i="1"/>
  <c r="AC1731" i="1"/>
  <c r="AB1731" i="1"/>
  <c r="AA1731" i="1"/>
  <c r="Z1731" i="1"/>
  <c r="Y1731" i="1"/>
  <c r="X1731" i="1"/>
  <c r="W1731" i="1"/>
  <c r="V1731" i="1"/>
  <c r="U1731" i="1"/>
  <c r="T1731" i="1"/>
  <c r="S1731" i="1"/>
  <c r="R1731" i="1"/>
  <c r="Q1731" i="1"/>
  <c r="P1731" i="1"/>
  <c r="O1731" i="1"/>
  <c r="B1731" i="1"/>
  <c r="H1731" i="1"/>
  <c r="G1731" i="1"/>
  <c r="F1731" i="1"/>
  <c r="E1731" i="1"/>
  <c r="M1731" i="1"/>
  <c r="L1731" i="1"/>
  <c r="K1731" i="1"/>
  <c r="J1731" i="1"/>
  <c r="I1731" i="1"/>
  <c r="D1731" i="1"/>
  <c r="C1731" i="1"/>
  <c r="A1731" i="1"/>
  <c r="AE1730" i="1"/>
  <c r="AD1730" i="1"/>
  <c r="AC1730" i="1"/>
  <c r="AB1730" i="1"/>
  <c r="AA1730" i="1"/>
  <c r="Z1730" i="1"/>
  <c r="Y1730" i="1"/>
  <c r="X1730" i="1"/>
  <c r="W1730" i="1"/>
  <c r="V1730" i="1"/>
  <c r="U1730" i="1"/>
  <c r="T1730" i="1"/>
  <c r="S1730" i="1"/>
  <c r="R1730" i="1"/>
  <c r="Q1730" i="1"/>
  <c r="P1730" i="1"/>
  <c r="O1730" i="1"/>
  <c r="B1730" i="1"/>
  <c r="H1730" i="1"/>
  <c r="G1730" i="1"/>
  <c r="F1730" i="1"/>
  <c r="E1730" i="1"/>
  <c r="N1730" i="1"/>
  <c r="M1730" i="1"/>
  <c r="L1730" i="1"/>
  <c r="K1730" i="1"/>
  <c r="J1730" i="1"/>
  <c r="I1730" i="1"/>
  <c r="D1730" i="1"/>
  <c r="C1730" i="1"/>
  <c r="A1730" i="1"/>
  <c r="AE1729" i="1"/>
  <c r="AD1729" i="1"/>
  <c r="AC1729" i="1"/>
  <c r="AB1729" i="1"/>
  <c r="AA1729" i="1"/>
  <c r="Z1729" i="1"/>
  <c r="Y1729" i="1"/>
  <c r="X1729" i="1"/>
  <c r="W1729" i="1"/>
  <c r="V1729" i="1"/>
  <c r="U1729" i="1"/>
  <c r="T1729" i="1"/>
  <c r="S1729" i="1"/>
  <c r="R1729" i="1"/>
  <c r="Q1729" i="1"/>
  <c r="P1729" i="1"/>
  <c r="O1729" i="1"/>
  <c r="B1729" i="1"/>
  <c r="H1729" i="1"/>
  <c r="G1729" i="1"/>
  <c r="F1729" i="1"/>
  <c r="E1729" i="1"/>
  <c r="N1729" i="1"/>
  <c r="M1729" i="1"/>
  <c r="L1729" i="1"/>
  <c r="K1729" i="1"/>
  <c r="J1729" i="1"/>
  <c r="I1729" i="1"/>
  <c r="D1729" i="1"/>
  <c r="C1729" i="1"/>
  <c r="A1729" i="1"/>
  <c r="AE1728" i="1"/>
  <c r="AD1728" i="1"/>
  <c r="AC1728" i="1"/>
  <c r="AB1728" i="1"/>
  <c r="AA1728" i="1"/>
  <c r="Z1728" i="1"/>
  <c r="Y1728" i="1"/>
  <c r="X1728" i="1"/>
  <c r="W1728" i="1"/>
  <c r="V1728" i="1"/>
  <c r="U1728" i="1"/>
  <c r="T1728" i="1"/>
  <c r="S1728" i="1"/>
  <c r="R1728" i="1"/>
  <c r="Q1728" i="1"/>
  <c r="P1728" i="1"/>
  <c r="O1728" i="1"/>
  <c r="B1728" i="1"/>
  <c r="H1728" i="1"/>
  <c r="G1728" i="1"/>
  <c r="F1728" i="1"/>
  <c r="E1728" i="1"/>
  <c r="N1728" i="1"/>
  <c r="M1728" i="1"/>
  <c r="L1728" i="1"/>
  <c r="K1728" i="1"/>
  <c r="J1728" i="1"/>
  <c r="I1728" i="1"/>
  <c r="D1728" i="1"/>
  <c r="C1728" i="1"/>
  <c r="A1728" i="1"/>
  <c r="AE1727" i="1"/>
  <c r="AD1727" i="1"/>
  <c r="AC1727" i="1"/>
  <c r="AB1727" i="1"/>
  <c r="AA1727" i="1"/>
  <c r="Z1727" i="1"/>
  <c r="Y1727" i="1"/>
  <c r="X1727" i="1"/>
  <c r="W1727" i="1"/>
  <c r="V1727" i="1"/>
  <c r="U1727" i="1"/>
  <c r="T1727" i="1"/>
  <c r="S1727" i="1"/>
  <c r="R1727" i="1"/>
  <c r="Q1727" i="1"/>
  <c r="P1727" i="1"/>
  <c r="O1727" i="1"/>
  <c r="B1727" i="1"/>
  <c r="H1727" i="1"/>
  <c r="G1727" i="1"/>
  <c r="F1727" i="1"/>
  <c r="E1727" i="1"/>
  <c r="N1727" i="1"/>
  <c r="M1727" i="1"/>
  <c r="L1727" i="1"/>
  <c r="K1727" i="1"/>
  <c r="J1727" i="1"/>
  <c r="I1727" i="1"/>
  <c r="D1727" i="1"/>
  <c r="C1727" i="1"/>
  <c r="A1727" i="1"/>
  <c r="AE1726" i="1"/>
  <c r="AD1726" i="1"/>
  <c r="AC1726" i="1"/>
  <c r="AB1726" i="1"/>
  <c r="AA1726" i="1"/>
  <c r="Z1726" i="1"/>
  <c r="Y1726" i="1"/>
  <c r="X1726" i="1"/>
  <c r="W1726" i="1"/>
  <c r="V1726" i="1"/>
  <c r="U1726" i="1"/>
  <c r="T1726" i="1"/>
  <c r="S1726" i="1"/>
  <c r="R1726" i="1"/>
  <c r="Q1726" i="1"/>
  <c r="P1726" i="1"/>
  <c r="O1726" i="1"/>
  <c r="B1726" i="1"/>
  <c r="H1726" i="1"/>
  <c r="G1726" i="1"/>
  <c r="F1726" i="1"/>
  <c r="E1726" i="1"/>
  <c r="M1726" i="1"/>
  <c r="L1726" i="1"/>
  <c r="K1726" i="1"/>
  <c r="J1726" i="1"/>
  <c r="I1726" i="1"/>
  <c r="D1726" i="1"/>
  <c r="C1726" i="1"/>
  <c r="A1726" i="1"/>
  <c r="AE1725" i="1"/>
  <c r="AD1725" i="1"/>
  <c r="AC1725" i="1"/>
  <c r="AB1725" i="1"/>
  <c r="AA1725" i="1"/>
  <c r="Z1725" i="1"/>
  <c r="Y1725" i="1"/>
  <c r="X1725" i="1"/>
  <c r="W1725" i="1"/>
  <c r="V1725" i="1"/>
  <c r="U1725" i="1"/>
  <c r="T1725" i="1"/>
  <c r="S1725" i="1"/>
  <c r="R1725" i="1"/>
  <c r="Q1725" i="1"/>
  <c r="P1725" i="1"/>
  <c r="O1725" i="1"/>
  <c r="B1725" i="1"/>
  <c r="H1725" i="1"/>
  <c r="G1725" i="1"/>
  <c r="F1725" i="1"/>
  <c r="E1725" i="1"/>
  <c r="N1725" i="1"/>
  <c r="M1725" i="1"/>
  <c r="L1725" i="1"/>
  <c r="K1725" i="1"/>
  <c r="J1725" i="1"/>
  <c r="I1725" i="1"/>
  <c r="D1725" i="1"/>
  <c r="C1725" i="1"/>
  <c r="A1725" i="1"/>
  <c r="AE1724" i="1"/>
  <c r="AD1724" i="1"/>
  <c r="AC1724" i="1"/>
  <c r="AB1724" i="1"/>
  <c r="AA1724" i="1"/>
  <c r="Z1724" i="1"/>
  <c r="Y1724" i="1"/>
  <c r="X1724" i="1"/>
  <c r="W1724" i="1"/>
  <c r="V1724" i="1"/>
  <c r="U1724" i="1"/>
  <c r="T1724" i="1"/>
  <c r="S1724" i="1"/>
  <c r="R1724" i="1"/>
  <c r="Q1724" i="1"/>
  <c r="P1724" i="1"/>
  <c r="O1724" i="1"/>
  <c r="B1724" i="1"/>
  <c r="H1724" i="1"/>
  <c r="G1724" i="1"/>
  <c r="F1724" i="1"/>
  <c r="E1724" i="1"/>
  <c r="N1724" i="1"/>
  <c r="M1724" i="1"/>
  <c r="L1724" i="1"/>
  <c r="K1724" i="1"/>
  <c r="J1724" i="1"/>
  <c r="I1724" i="1"/>
  <c r="D1724" i="1"/>
  <c r="C1724" i="1"/>
  <c r="A1724" i="1"/>
  <c r="AE1723" i="1"/>
  <c r="AD1723" i="1"/>
  <c r="AC1723" i="1"/>
  <c r="AB1723" i="1"/>
  <c r="AA1723" i="1"/>
  <c r="Z1723" i="1"/>
  <c r="Y1723" i="1"/>
  <c r="X1723" i="1"/>
  <c r="W1723" i="1"/>
  <c r="V1723" i="1"/>
  <c r="U1723" i="1"/>
  <c r="T1723" i="1"/>
  <c r="S1723" i="1"/>
  <c r="R1723" i="1"/>
  <c r="Q1723" i="1"/>
  <c r="P1723" i="1"/>
  <c r="O1723" i="1"/>
  <c r="B1723" i="1"/>
  <c r="H1723" i="1"/>
  <c r="G1723" i="1"/>
  <c r="F1723" i="1"/>
  <c r="E1723" i="1"/>
  <c r="N1723" i="1"/>
  <c r="M1723" i="1"/>
  <c r="L1723" i="1"/>
  <c r="K1723" i="1"/>
  <c r="J1723" i="1"/>
  <c r="I1723" i="1"/>
  <c r="D1723" i="1"/>
  <c r="C1723" i="1"/>
  <c r="A1723" i="1"/>
  <c r="AE1722" i="1"/>
  <c r="AD1722" i="1"/>
  <c r="AC1722" i="1"/>
  <c r="AB1722" i="1"/>
  <c r="AA1722" i="1"/>
  <c r="Z1722" i="1"/>
  <c r="Y1722" i="1"/>
  <c r="X1722" i="1"/>
  <c r="W1722" i="1"/>
  <c r="V1722" i="1"/>
  <c r="U1722" i="1"/>
  <c r="T1722" i="1"/>
  <c r="S1722" i="1"/>
  <c r="R1722" i="1"/>
  <c r="Q1722" i="1"/>
  <c r="P1722" i="1"/>
  <c r="O1722" i="1"/>
  <c r="B1722" i="1"/>
  <c r="H1722" i="1"/>
  <c r="G1722" i="1"/>
  <c r="F1722" i="1"/>
  <c r="E1722" i="1"/>
  <c r="N1722" i="1"/>
  <c r="M1722" i="1"/>
  <c r="L1722" i="1"/>
  <c r="K1722" i="1"/>
  <c r="J1722" i="1"/>
  <c r="I1722" i="1"/>
  <c r="D1722" i="1"/>
  <c r="C1722" i="1"/>
  <c r="A1722" i="1"/>
  <c r="AE1721" i="1"/>
  <c r="AD1721" i="1"/>
  <c r="AC1721" i="1"/>
  <c r="AB1721" i="1"/>
  <c r="AA1721" i="1"/>
  <c r="Z1721" i="1"/>
  <c r="Y1721" i="1"/>
  <c r="X1721" i="1"/>
  <c r="W1721" i="1"/>
  <c r="V1721" i="1"/>
  <c r="U1721" i="1"/>
  <c r="T1721" i="1"/>
  <c r="S1721" i="1"/>
  <c r="R1721" i="1"/>
  <c r="Q1721" i="1"/>
  <c r="P1721" i="1"/>
  <c r="O1721" i="1"/>
  <c r="B1721" i="1"/>
  <c r="H1721" i="1"/>
  <c r="G1721" i="1"/>
  <c r="F1721" i="1"/>
  <c r="E1721" i="1"/>
  <c r="N1721" i="1"/>
  <c r="M1721" i="1"/>
  <c r="L1721" i="1"/>
  <c r="K1721" i="1"/>
  <c r="J1721" i="1"/>
  <c r="I1721" i="1"/>
  <c r="D1721" i="1"/>
  <c r="C1721" i="1"/>
  <c r="A1721" i="1"/>
  <c r="AE1720" i="1"/>
  <c r="AD1720" i="1"/>
  <c r="AC1720" i="1"/>
  <c r="AB1720" i="1"/>
  <c r="AA1720" i="1"/>
  <c r="Z1720" i="1"/>
  <c r="Y1720" i="1"/>
  <c r="X1720" i="1"/>
  <c r="W1720" i="1"/>
  <c r="V1720" i="1"/>
  <c r="U1720" i="1"/>
  <c r="T1720" i="1"/>
  <c r="S1720" i="1"/>
  <c r="R1720" i="1"/>
  <c r="Q1720" i="1"/>
  <c r="P1720" i="1"/>
  <c r="O1720" i="1"/>
  <c r="B1720" i="1"/>
  <c r="H1720" i="1"/>
  <c r="G1720" i="1"/>
  <c r="F1720" i="1"/>
  <c r="E1720" i="1"/>
  <c r="N1720" i="1"/>
  <c r="M1720" i="1"/>
  <c r="L1720" i="1"/>
  <c r="K1720" i="1"/>
  <c r="J1720" i="1"/>
  <c r="I1720" i="1"/>
  <c r="D1720" i="1"/>
  <c r="C1720" i="1"/>
  <c r="A1720" i="1"/>
  <c r="AE1719" i="1"/>
  <c r="AD1719" i="1"/>
  <c r="AC1719" i="1"/>
  <c r="AB1719" i="1"/>
  <c r="AA1719" i="1"/>
  <c r="Z1719" i="1"/>
  <c r="Y1719" i="1"/>
  <c r="X1719" i="1"/>
  <c r="W1719" i="1"/>
  <c r="V1719" i="1"/>
  <c r="U1719" i="1"/>
  <c r="T1719" i="1"/>
  <c r="S1719" i="1"/>
  <c r="R1719" i="1"/>
  <c r="Q1719" i="1"/>
  <c r="P1719" i="1"/>
  <c r="O1719" i="1"/>
  <c r="B1719" i="1"/>
  <c r="H1719" i="1"/>
  <c r="G1719" i="1"/>
  <c r="F1719" i="1"/>
  <c r="E1719" i="1"/>
  <c r="N1719" i="1"/>
  <c r="M1719" i="1"/>
  <c r="L1719" i="1"/>
  <c r="K1719" i="1"/>
  <c r="J1719" i="1"/>
  <c r="I1719" i="1"/>
  <c r="D1719" i="1"/>
  <c r="C1719" i="1"/>
  <c r="A1719" i="1"/>
  <c r="AE1718" i="1"/>
  <c r="AD1718" i="1"/>
  <c r="AC1718" i="1"/>
  <c r="AB1718" i="1"/>
  <c r="AA1718" i="1"/>
  <c r="Z1718" i="1"/>
  <c r="Y1718" i="1"/>
  <c r="X1718" i="1"/>
  <c r="W1718" i="1"/>
  <c r="V1718" i="1"/>
  <c r="U1718" i="1"/>
  <c r="T1718" i="1"/>
  <c r="S1718" i="1"/>
  <c r="R1718" i="1"/>
  <c r="Q1718" i="1"/>
  <c r="P1718" i="1"/>
  <c r="O1718" i="1"/>
  <c r="B1718" i="1"/>
  <c r="H1718" i="1"/>
  <c r="G1718" i="1"/>
  <c r="F1718" i="1"/>
  <c r="E1718" i="1"/>
  <c r="N1718" i="1"/>
  <c r="M1718" i="1"/>
  <c r="L1718" i="1"/>
  <c r="K1718" i="1"/>
  <c r="J1718" i="1"/>
  <c r="I1718" i="1"/>
  <c r="D1718" i="1"/>
  <c r="C1718" i="1"/>
  <c r="A1718" i="1"/>
  <c r="AE1717" i="1"/>
  <c r="AD1717" i="1"/>
  <c r="AC1717" i="1"/>
  <c r="AB1717" i="1"/>
  <c r="AA1717" i="1"/>
  <c r="Z1717" i="1"/>
  <c r="Y1717" i="1"/>
  <c r="X1717" i="1"/>
  <c r="W1717" i="1"/>
  <c r="V1717" i="1"/>
  <c r="U1717" i="1"/>
  <c r="T1717" i="1"/>
  <c r="S1717" i="1"/>
  <c r="R1717" i="1"/>
  <c r="Q1717" i="1"/>
  <c r="P1717" i="1"/>
  <c r="O1717" i="1"/>
  <c r="B1717" i="1"/>
  <c r="H1717" i="1"/>
  <c r="G1717" i="1"/>
  <c r="F1717" i="1"/>
  <c r="E1717" i="1"/>
  <c r="N1717" i="1"/>
  <c r="M1717" i="1"/>
  <c r="L1717" i="1"/>
  <c r="K1717" i="1"/>
  <c r="J1717" i="1"/>
  <c r="I1717" i="1"/>
  <c r="D1717" i="1"/>
  <c r="C1717" i="1"/>
  <c r="A1717" i="1"/>
  <c r="AE1716" i="1"/>
  <c r="AD1716" i="1"/>
  <c r="AC1716" i="1"/>
  <c r="AB1716" i="1"/>
  <c r="AA1716" i="1"/>
  <c r="Z1716" i="1"/>
  <c r="Y1716" i="1"/>
  <c r="X1716" i="1"/>
  <c r="W1716" i="1"/>
  <c r="V1716" i="1"/>
  <c r="U1716" i="1"/>
  <c r="T1716" i="1"/>
  <c r="S1716" i="1"/>
  <c r="R1716" i="1"/>
  <c r="Q1716" i="1"/>
  <c r="P1716" i="1"/>
  <c r="O1716" i="1"/>
  <c r="B1716" i="1"/>
  <c r="H1716" i="1"/>
  <c r="G1716" i="1"/>
  <c r="F1716" i="1"/>
  <c r="E1716" i="1"/>
  <c r="N1716" i="1"/>
  <c r="M1716" i="1"/>
  <c r="L1716" i="1"/>
  <c r="K1716" i="1"/>
  <c r="J1716" i="1"/>
  <c r="I1716" i="1"/>
  <c r="D1716" i="1"/>
  <c r="C1716" i="1"/>
  <c r="A1716" i="1"/>
  <c r="AE1715" i="1"/>
  <c r="AD1715" i="1"/>
  <c r="AC1715" i="1"/>
  <c r="AB1715" i="1"/>
  <c r="AA1715" i="1"/>
  <c r="Z1715" i="1"/>
  <c r="Y1715" i="1"/>
  <c r="X1715" i="1"/>
  <c r="W1715" i="1"/>
  <c r="V1715" i="1"/>
  <c r="U1715" i="1"/>
  <c r="T1715" i="1"/>
  <c r="S1715" i="1"/>
  <c r="R1715" i="1"/>
  <c r="Q1715" i="1"/>
  <c r="P1715" i="1"/>
  <c r="O1715" i="1"/>
  <c r="B1715" i="1"/>
  <c r="H1715" i="1"/>
  <c r="G1715" i="1"/>
  <c r="F1715" i="1"/>
  <c r="E1715" i="1"/>
  <c r="N1715" i="1"/>
  <c r="M1715" i="1"/>
  <c r="L1715" i="1"/>
  <c r="K1715" i="1"/>
  <c r="J1715" i="1"/>
  <c r="I1715" i="1"/>
  <c r="D1715" i="1"/>
  <c r="C1715" i="1"/>
  <c r="A1715" i="1"/>
  <c r="AE1714" i="1"/>
  <c r="AD1714" i="1"/>
  <c r="AC1714" i="1"/>
  <c r="AB1714" i="1"/>
  <c r="AA1714" i="1"/>
  <c r="Z1714" i="1"/>
  <c r="Y1714" i="1"/>
  <c r="X1714" i="1"/>
  <c r="W1714" i="1"/>
  <c r="V1714" i="1"/>
  <c r="U1714" i="1"/>
  <c r="T1714" i="1"/>
  <c r="S1714" i="1"/>
  <c r="R1714" i="1"/>
  <c r="Q1714" i="1"/>
  <c r="P1714" i="1"/>
  <c r="O1714" i="1"/>
  <c r="B1714" i="1"/>
  <c r="H1714" i="1"/>
  <c r="G1714" i="1"/>
  <c r="F1714" i="1"/>
  <c r="E1714" i="1"/>
  <c r="N1714" i="1"/>
  <c r="M1714" i="1"/>
  <c r="L1714" i="1"/>
  <c r="K1714" i="1"/>
  <c r="J1714" i="1"/>
  <c r="I1714" i="1"/>
  <c r="D1714" i="1"/>
  <c r="C1714" i="1"/>
  <c r="A1714" i="1"/>
  <c r="AE1713" i="1"/>
  <c r="AD1713" i="1"/>
  <c r="AC1713" i="1"/>
  <c r="AB1713" i="1"/>
  <c r="AA1713" i="1"/>
  <c r="Z1713" i="1"/>
  <c r="Y1713" i="1"/>
  <c r="X1713" i="1"/>
  <c r="W1713" i="1"/>
  <c r="V1713" i="1"/>
  <c r="U1713" i="1"/>
  <c r="T1713" i="1"/>
  <c r="S1713" i="1"/>
  <c r="R1713" i="1"/>
  <c r="Q1713" i="1"/>
  <c r="P1713" i="1"/>
  <c r="O1713" i="1"/>
  <c r="B1713" i="1"/>
  <c r="H1713" i="1"/>
  <c r="G1713" i="1"/>
  <c r="F1713" i="1"/>
  <c r="E1713" i="1"/>
  <c r="N1713" i="1"/>
  <c r="M1713" i="1"/>
  <c r="L1713" i="1"/>
  <c r="K1713" i="1"/>
  <c r="J1713" i="1"/>
  <c r="I1713" i="1"/>
  <c r="D1713" i="1"/>
  <c r="C1713" i="1"/>
  <c r="A1713" i="1"/>
  <c r="AE1712" i="1"/>
  <c r="AD1712" i="1"/>
  <c r="AC1712" i="1"/>
  <c r="AB1712" i="1"/>
  <c r="AA1712" i="1"/>
  <c r="Z1712" i="1"/>
  <c r="Y1712" i="1"/>
  <c r="X1712" i="1"/>
  <c r="W1712" i="1"/>
  <c r="V1712" i="1"/>
  <c r="U1712" i="1"/>
  <c r="T1712" i="1"/>
  <c r="S1712" i="1"/>
  <c r="R1712" i="1"/>
  <c r="Q1712" i="1"/>
  <c r="P1712" i="1"/>
  <c r="O1712" i="1"/>
  <c r="B1712" i="1"/>
  <c r="H1712" i="1"/>
  <c r="G1712" i="1"/>
  <c r="F1712" i="1"/>
  <c r="E1712" i="1"/>
  <c r="N1712" i="1"/>
  <c r="M1712" i="1"/>
  <c r="L1712" i="1"/>
  <c r="K1712" i="1"/>
  <c r="J1712" i="1"/>
  <c r="I1712" i="1"/>
  <c r="D1712" i="1"/>
  <c r="C1712" i="1"/>
  <c r="A1712" i="1"/>
  <c r="AE1711" i="1"/>
  <c r="AD1711" i="1"/>
  <c r="AC1711" i="1"/>
  <c r="AB1711" i="1"/>
  <c r="AA1711" i="1"/>
  <c r="Z1711" i="1"/>
  <c r="Y1711" i="1"/>
  <c r="X1711" i="1"/>
  <c r="W1711" i="1"/>
  <c r="V1711" i="1"/>
  <c r="U1711" i="1"/>
  <c r="T1711" i="1"/>
  <c r="S1711" i="1"/>
  <c r="R1711" i="1"/>
  <c r="Q1711" i="1"/>
  <c r="P1711" i="1"/>
  <c r="O1711" i="1"/>
  <c r="B1711" i="1"/>
  <c r="H1711" i="1"/>
  <c r="G1711" i="1"/>
  <c r="F1711" i="1"/>
  <c r="E1711" i="1"/>
  <c r="N1711" i="1"/>
  <c r="M1711" i="1"/>
  <c r="L1711" i="1"/>
  <c r="K1711" i="1"/>
  <c r="J1711" i="1"/>
  <c r="I1711" i="1"/>
  <c r="D1711" i="1"/>
  <c r="C1711" i="1"/>
  <c r="A1711" i="1"/>
  <c r="AE1710" i="1"/>
  <c r="AD1710" i="1"/>
  <c r="AC1710" i="1"/>
  <c r="AB1710" i="1"/>
  <c r="AA1710" i="1"/>
  <c r="Z1710" i="1"/>
  <c r="Y1710" i="1"/>
  <c r="X1710" i="1"/>
  <c r="W1710" i="1"/>
  <c r="V1710" i="1"/>
  <c r="U1710" i="1"/>
  <c r="T1710" i="1"/>
  <c r="S1710" i="1"/>
  <c r="R1710" i="1"/>
  <c r="Q1710" i="1"/>
  <c r="P1710" i="1"/>
  <c r="O1710" i="1"/>
  <c r="B1710" i="1"/>
  <c r="H1710" i="1"/>
  <c r="G1710" i="1"/>
  <c r="F1710" i="1"/>
  <c r="E1710" i="1"/>
  <c r="N1710" i="1"/>
  <c r="M1710" i="1"/>
  <c r="L1710" i="1"/>
  <c r="K1710" i="1"/>
  <c r="J1710" i="1"/>
  <c r="I1710" i="1"/>
  <c r="D1710" i="1"/>
  <c r="C1710" i="1"/>
  <c r="A1710" i="1"/>
  <c r="AE1709" i="1"/>
  <c r="AD1709" i="1"/>
  <c r="AC1709" i="1"/>
  <c r="AB1709" i="1"/>
  <c r="AA1709" i="1"/>
  <c r="Z1709" i="1"/>
  <c r="Y1709" i="1"/>
  <c r="X1709" i="1"/>
  <c r="W1709" i="1"/>
  <c r="V1709" i="1"/>
  <c r="U1709" i="1"/>
  <c r="T1709" i="1"/>
  <c r="S1709" i="1"/>
  <c r="R1709" i="1"/>
  <c r="Q1709" i="1"/>
  <c r="P1709" i="1"/>
  <c r="O1709" i="1"/>
  <c r="B1709" i="1"/>
  <c r="H1709" i="1"/>
  <c r="G1709" i="1"/>
  <c r="F1709" i="1"/>
  <c r="E1709" i="1"/>
  <c r="N1709" i="1"/>
  <c r="M1709" i="1"/>
  <c r="L1709" i="1"/>
  <c r="K1709" i="1"/>
  <c r="J1709" i="1"/>
  <c r="I1709" i="1"/>
  <c r="D1709" i="1"/>
  <c r="C1709" i="1"/>
  <c r="A1709" i="1"/>
  <c r="AE1708" i="1"/>
  <c r="AD1708" i="1"/>
  <c r="AC1708" i="1"/>
  <c r="AB1708" i="1"/>
  <c r="AA1708" i="1"/>
  <c r="Z1708" i="1"/>
  <c r="Y1708" i="1"/>
  <c r="X1708" i="1"/>
  <c r="W1708" i="1"/>
  <c r="V1708" i="1"/>
  <c r="U1708" i="1"/>
  <c r="T1708" i="1"/>
  <c r="S1708" i="1"/>
  <c r="R1708" i="1"/>
  <c r="Q1708" i="1"/>
  <c r="P1708" i="1"/>
  <c r="O1708" i="1"/>
  <c r="B1708" i="1"/>
  <c r="H1708" i="1"/>
  <c r="G1708" i="1"/>
  <c r="F1708" i="1"/>
  <c r="E1708" i="1"/>
  <c r="N1708" i="1"/>
  <c r="M1708" i="1"/>
  <c r="L1708" i="1"/>
  <c r="K1708" i="1"/>
  <c r="J1708" i="1"/>
  <c r="I1708" i="1"/>
  <c r="D1708" i="1"/>
  <c r="C1708" i="1"/>
  <c r="A1708" i="1"/>
  <c r="AE1707" i="1"/>
  <c r="AD1707" i="1"/>
  <c r="AC1707" i="1"/>
  <c r="AB1707" i="1"/>
  <c r="AA1707" i="1"/>
  <c r="Z1707" i="1"/>
  <c r="Y1707" i="1"/>
  <c r="X1707" i="1"/>
  <c r="W1707" i="1"/>
  <c r="V1707" i="1"/>
  <c r="U1707" i="1"/>
  <c r="T1707" i="1"/>
  <c r="S1707" i="1"/>
  <c r="R1707" i="1"/>
  <c r="Q1707" i="1"/>
  <c r="P1707" i="1"/>
  <c r="O1707" i="1"/>
  <c r="B1707" i="1"/>
  <c r="H1707" i="1"/>
  <c r="G1707" i="1"/>
  <c r="F1707" i="1"/>
  <c r="E1707" i="1"/>
  <c r="N1707" i="1"/>
  <c r="M1707" i="1"/>
  <c r="L1707" i="1"/>
  <c r="K1707" i="1"/>
  <c r="J1707" i="1"/>
  <c r="I1707" i="1"/>
  <c r="D1707" i="1"/>
  <c r="C1707" i="1"/>
  <c r="A1707" i="1"/>
  <c r="AE1706" i="1"/>
  <c r="AD1706" i="1"/>
  <c r="AC1706" i="1"/>
  <c r="AB1706" i="1"/>
  <c r="AA1706" i="1"/>
  <c r="Z1706" i="1"/>
  <c r="Y1706" i="1"/>
  <c r="X1706" i="1"/>
  <c r="W1706" i="1"/>
  <c r="V1706" i="1"/>
  <c r="U1706" i="1"/>
  <c r="T1706" i="1"/>
  <c r="S1706" i="1"/>
  <c r="R1706" i="1"/>
  <c r="Q1706" i="1"/>
  <c r="P1706" i="1"/>
  <c r="O1706" i="1"/>
  <c r="B1706" i="1"/>
  <c r="H1706" i="1"/>
  <c r="G1706" i="1"/>
  <c r="F1706" i="1"/>
  <c r="E1706" i="1"/>
  <c r="N1706" i="1"/>
  <c r="M1706" i="1"/>
  <c r="L1706" i="1"/>
  <c r="K1706" i="1"/>
  <c r="J1706" i="1"/>
  <c r="I1706" i="1"/>
  <c r="D1706" i="1"/>
  <c r="C1706" i="1"/>
  <c r="A1706" i="1"/>
  <c r="AE1705" i="1"/>
  <c r="AD1705" i="1"/>
  <c r="AC1705" i="1"/>
  <c r="AB1705" i="1"/>
  <c r="AA1705" i="1"/>
  <c r="Z1705" i="1"/>
  <c r="Y1705" i="1"/>
  <c r="X1705" i="1"/>
  <c r="W1705" i="1"/>
  <c r="V1705" i="1"/>
  <c r="U1705" i="1"/>
  <c r="T1705" i="1"/>
  <c r="S1705" i="1"/>
  <c r="R1705" i="1"/>
  <c r="Q1705" i="1"/>
  <c r="P1705" i="1"/>
  <c r="O1705" i="1"/>
  <c r="B1705" i="1"/>
  <c r="H1705" i="1"/>
  <c r="G1705" i="1"/>
  <c r="F1705" i="1"/>
  <c r="E1705" i="1"/>
  <c r="N1705" i="1"/>
  <c r="M1705" i="1"/>
  <c r="L1705" i="1"/>
  <c r="K1705" i="1"/>
  <c r="J1705" i="1"/>
  <c r="I1705" i="1"/>
  <c r="D1705" i="1"/>
  <c r="C1705" i="1"/>
  <c r="A1705" i="1"/>
  <c r="AE1704" i="1"/>
  <c r="AD1704" i="1"/>
  <c r="AC1704" i="1"/>
  <c r="AB1704" i="1"/>
  <c r="AA1704" i="1"/>
  <c r="Z1704" i="1"/>
  <c r="Y1704" i="1"/>
  <c r="X1704" i="1"/>
  <c r="W1704" i="1"/>
  <c r="V1704" i="1"/>
  <c r="U1704" i="1"/>
  <c r="T1704" i="1"/>
  <c r="S1704" i="1"/>
  <c r="R1704" i="1"/>
  <c r="Q1704" i="1"/>
  <c r="P1704" i="1"/>
  <c r="O1704" i="1"/>
  <c r="B1704" i="1"/>
  <c r="H1704" i="1"/>
  <c r="G1704" i="1"/>
  <c r="F1704" i="1"/>
  <c r="E1704" i="1"/>
  <c r="N1704" i="1"/>
  <c r="M1704" i="1"/>
  <c r="L1704" i="1"/>
  <c r="K1704" i="1"/>
  <c r="J1704" i="1"/>
  <c r="I1704" i="1"/>
  <c r="D1704" i="1"/>
  <c r="C1704" i="1"/>
  <c r="A1704" i="1"/>
  <c r="AE1703" i="1"/>
  <c r="AD1703" i="1"/>
  <c r="AC1703" i="1"/>
  <c r="AB1703" i="1"/>
  <c r="AA1703" i="1"/>
  <c r="Z1703" i="1"/>
  <c r="Y1703" i="1"/>
  <c r="X1703" i="1"/>
  <c r="W1703" i="1"/>
  <c r="V1703" i="1"/>
  <c r="U1703" i="1"/>
  <c r="T1703" i="1"/>
  <c r="S1703" i="1"/>
  <c r="R1703" i="1"/>
  <c r="Q1703" i="1"/>
  <c r="P1703" i="1"/>
  <c r="O1703" i="1"/>
  <c r="B1703" i="1"/>
  <c r="H1703" i="1"/>
  <c r="G1703" i="1"/>
  <c r="F1703" i="1"/>
  <c r="E1703" i="1"/>
  <c r="N1703" i="1"/>
  <c r="M1703" i="1"/>
  <c r="L1703" i="1"/>
  <c r="K1703" i="1"/>
  <c r="J1703" i="1"/>
  <c r="I1703" i="1"/>
  <c r="D1703" i="1"/>
  <c r="C1703" i="1"/>
  <c r="A1703" i="1"/>
  <c r="AE1702" i="1"/>
  <c r="AD1702" i="1"/>
  <c r="AC1702" i="1"/>
  <c r="AB1702" i="1"/>
  <c r="AA1702" i="1"/>
  <c r="Z1702" i="1"/>
  <c r="Y1702" i="1"/>
  <c r="X1702" i="1"/>
  <c r="W1702" i="1"/>
  <c r="V1702" i="1"/>
  <c r="U1702" i="1"/>
  <c r="T1702" i="1"/>
  <c r="S1702" i="1"/>
  <c r="R1702" i="1"/>
  <c r="Q1702" i="1"/>
  <c r="P1702" i="1"/>
  <c r="O1702" i="1"/>
  <c r="B1702" i="1"/>
  <c r="H1702" i="1"/>
  <c r="G1702" i="1"/>
  <c r="F1702" i="1"/>
  <c r="E1702" i="1"/>
  <c r="N1702" i="1"/>
  <c r="M1702" i="1"/>
  <c r="L1702" i="1"/>
  <c r="K1702" i="1"/>
  <c r="J1702" i="1"/>
  <c r="I1702" i="1"/>
  <c r="D1702" i="1"/>
  <c r="C1702" i="1"/>
  <c r="A1702" i="1"/>
  <c r="AE1701" i="1"/>
  <c r="AD1701" i="1"/>
  <c r="AC1701" i="1"/>
  <c r="AB1701" i="1"/>
  <c r="AA1701" i="1"/>
  <c r="Z1701" i="1"/>
  <c r="Y1701" i="1"/>
  <c r="X1701" i="1"/>
  <c r="W1701" i="1"/>
  <c r="V1701" i="1"/>
  <c r="U1701" i="1"/>
  <c r="T1701" i="1"/>
  <c r="S1701" i="1"/>
  <c r="R1701" i="1"/>
  <c r="Q1701" i="1"/>
  <c r="P1701" i="1"/>
  <c r="O1701" i="1"/>
  <c r="B1701" i="1"/>
  <c r="H1701" i="1"/>
  <c r="G1701" i="1"/>
  <c r="F1701" i="1"/>
  <c r="E1701" i="1"/>
  <c r="N1701" i="1"/>
  <c r="M1701" i="1"/>
  <c r="L1701" i="1"/>
  <c r="K1701" i="1"/>
  <c r="J1701" i="1"/>
  <c r="I1701" i="1"/>
  <c r="D1701" i="1"/>
  <c r="C1701" i="1"/>
  <c r="A1701" i="1"/>
  <c r="AE1700" i="1"/>
  <c r="AD1700" i="1"/>
  <c r="AC1700" i="1"/>
  <c r="AB1700" i="1"/>
  <c r="AA1700" i="1"/>
  <c r="Z1700" i="1"/>
  <c r="Y1700" i="1"/>
  <c r="X1700" i="1"/>
  <c r="W1700" i="1"/>
  <c r="V1700" i="1"/>
  <c r="U1700" i="1"/>
  <c r="T1700" i="1"/>
  <c r="S1700" i="1"/>
  <c r="R1700" i="1"/>
  <c r="Q1700" i="1"/>
  <c r="P1700" i="1"/>
  <c r="O1700" i="1"/>
  <c r="B1700" i="1"/>
  <c r="H1700" i="1"/>
  <c r="G1700" i="1"/>
  <c r="F1700" i="1"/>
  <c r="E1700" i="1"/>
  <c r="N1700" i="1"/>
  <c r="M1700" i="1"/>
  <c r="L1700" i="1"/>
  <c r="K1700" i="1"/>
  <c r="J1700" i="1"/>
  <c r="I1700" i="1"/>
  <c r="D1700" i="1"/>
  <c r="C1700" i="1"/>
  <c r="A1700" i="1"/>
  <c r="AE1699" i="1"/>
  <c r="AD1699" i="1"/>
  <c r="AC1699" i="1"/>
  <c r="AB1699" i="1"/>
  <c r="AA1699" i="1"/>
  <c r="Z1699" i="1"/>
  <c r="Y1699" i="1"/>
  <c r="X1699" i="1"/>
  <c r="W1699" i="1"/>
  <c r="V1699" i="1"/>
  <c r="U1699" i="1"/>
  <c r="T1699" i="1"/>
  <c r="S1699" i="1"/>
  <c r="R1699" i="1"/>
  <c r="Q1699" i="1"/>
  <c r="P1699" i="1"/>
  <c r="O1699" i="1"/>
  <c r="B1699" i="1"/>
  <c r="H1699" i="1"/>
  <c r="G1699" i="1"/>
  <c r="F1699" i="1"/>
  <c r="E1699" i="1"/>
  <c r="N1699" i="1"/>
  <c r="M1699" i="1"/>
  <c r="L1699" i="1"/>
  <c r="K1699" i="1"/>
  <c r="J1699" i="1"/>
  <c r="I1699" i="1"/>
  <c r="D1699" i="1"/>
  <c r="C1699" i="1"/>
  <c r="A1699" i="1"/>
  <c r="AE1698" i="1"/>
  <c r="AD1698" i="1"/>
  <c r="AC1698" i="1"/>
  <c r="AB1698" i="1"/>
  <c r="AA1698" i="1"/>
  <c r="Z1698" i="1"/>
  <c r="Y1698" i="1"/>
  <c r="X1698" i="1"/>
  <c r="W1698" i="1"/>
  <c r="V1698" i="1"/>
  <c r="U1698" i="1"/>
  <c r="T1698" i="1"/>
  <c r="S1698" i="1"/>
  <c r="R1698" i="1"/>
  <c r="Q1698" i="1"/>
  <c r="P1698" i="1"/>
  <c r="O1698" i="1"/>
  <c r="B1698" i="1"/>
  <c r="H1698" i="1"/>
  <c r="G1698" i="1"/>
  <c r="F1698" i="1"/>
  <c r="E1698" i="1"/>
  <c r="N1698" i="1"/>
  <c r="M1698" i="1"/>
  <c r="L1698" i="1"/>
  <c r="K1698" i="1"/>
  <c r="J1698" i="1"/>
  <c r="I1698" i="1"/>
  <c r="D1698" i="1"/>
  <c r="C1698" i="1"/>
  <c r="A1698" i="1"/>
  <c r="AE1697" i="1"/>
  <c r="AD1697" i="1"/>
  <c r="AC1697" i="1"/>
  <c r="AB1697" i="1"/>
  <c r="AA1697" i="1"/>
  <c r="Z1697" i="1"/>
  <c r="Y1697" i="1"/>
  <c r="X1697" i="1"/>
  <c r="W1697" i="1"/>
  <c r="V1697" i="1"/>
  <c r="U1697" i="1"/>
  <c r="T1697" i="1"/>
  <c r="S1697" i="1"/>
  <c r="R1697" i="1"/>
  <c r="Q1697" i="1"/>
  <c r="P1697" i="1"/>
  <c r="O1697" i="1"/>
  <c r="B1697" i="1"/>
  <c r="H1697" i="1"/>
  <c r="G1697" i="1"/>
  <c r="F1697" i="1"/>
  <c r="E1697" i="1"/>
  <c r="N1697" i="1"/>
  <c r="M1697" i="1"/>
  <c r="L1697" i="1"/>
  <c r="K1697" i="1"/>
  <c r="J1697" i="1"/>
  <c r="I1697" i="1"/>
  <c r="D1697" i="1"/>
  <c r="C1697" i="1"/>
  <c r="A1697" i="1"/>
  <c r="AE1696" i="1"/>
  <c r="AD1696" i="1"/>
  <c r="AC1696" i="1"/>
  <c r="AB1696" i="1"/>
  <c r="AA1696" i="1"/>
  <c r="Z1696" i="1"/>
  <c r="Y1696" i="1"/>
  <c r="X1696" i="1"/>
  <c r="W1696" i="1"/>
  <c r="V1696" i="1"/>
  <c r="U1696" i="1"/>
  <c r="T1696" i="1"/>
  <c r="S1696" i="1"/>
  <c r="R1696" i="1"/>
  <c r="Q1696" i="1"/>
  <c r="P1696" i="1"/>
  <c r="O1696" i="1"/>
  <c r="B1696" i="1"/>
  <c r="H1696" i="1"/>
  <c r="G1696" i="1"/>
  <c r="F1696" i="1"/>
  <c r="E1696" i="1"/>
  <c r="N1696" i="1"/>
  <c r="M1696" i="1"/>
  <c r="L1696" i="1"/>
  <c r="K1696" i="1"/>
  <c r="J1696" i="1"/>
  <c r="I1696" i="1"/>
  <c r="D1696" i="1"/>
  <c r="C1696" i="1"/>
  <c r="A1696" i="1"/>
  <c r="AE1695" i="1"/>
  <c r="AD1695" i="1"/>
  <c r="AC1695" i="1"/>
  <c r="AB1695" i="1"/>
  <c r="AA1695" i="1"/>
  <c r="Z1695" i="1"/>
  <c r="Y1695" i="1"/>
  <c r="X1695" i="1"/>
  <c r="W1695" i="1"/>
  <c r="V1695" i="1"/>
  <c r="U1695" i="1"/>
  <c r="T1695" i="1"/>
  <c r="S1695" i="1"/>
  <c r="R1695" i="1"/>
  <c r="Q1695" i="1"/>
  <c r="P1695" i="1"/>
  <c r="O1695" i="1"/>
  <c r="B1695" i="1"/>
  <c r="H1695" i="1"/>
  <c r="G1695" i="1"/>
  <c r="F1695" i="1"/>
  <c r="E1695" i="1"/>
  <c r="M1695" i="1"/>
  <c r="L1695" i="1"/>
  <c r="K1695" i="1"/>
  <c r="J1695" i="1"/>
  <c r="I1695" i="1"/>
  <c r="D1695" i="1"/>
  <c r="C1695" i="1"/>
  <c r="A1695" i="1"/>
  <c r="AE1694" i="1"/>
  <c r="AD1694" i="1"/>
  <c r="AC1694" i="1"/>
  <c r="AB1694" i="1"/>
  <c r="AA1694" i="1"/>
  <c r="Z1694" i="1"/>
  <c r="Y1694" i="1"/>
  <c r="X1694" i="1"/>
  <c r="W1694" i="1"/>
  <c r="V1694" i="1"/>
  <c r="U1694" i="1"/>
  <c r="T1694" i="1"/>
  <c r="S1694" i="1"/>
  <c r="R1694" i="1"/>
  <c r="Q1694" i="1"/>
  <c r="P1694" i="1"/>
  <c r="O1694" i="1"/>
  <c r="B1694" i="1"/>
  <c r="H1694" i="1"/>
  <c r="G1694" i="1"/>
  <c r="F1694" i="1"/>
  <c r="E1694" i="1"/>
  <c r="N1694" i="1"/>
  <c r="M1694" i="1"/>
  <c r="L1694" i="1"/>
  <c r="K1694" i="1"/>
  <c r="J1694" i="1"/>
  <c r="I1694" i="1"/>
  <c r="D1694" i="1"/>
  <c r="C1694" i="1"/>
  <c r="A1694" i="1"/>
  <c r="AE1693" i="1"/>
  <c r="AD1693" i="1"/>
  <c r="AC1693" i="1"/>
  <c r="AB1693" i="1"/>
  <c r="AA1693" i="1"/>
  <c r="Z1693" i="1"/>
  <c r="Y1693" i="1"/>
  <c r="X1693" i="1"/>
  <c r="W1693" i="1"/>
  <c r="V1693" i="1"/>
  <c r="U1693" i="1"/>
  <c r="T1693" i="1"/>
  <c r="S1693" i="1"/>
  <c r="R1693" i="1"/>
  <c r="Q1693" i="1"/>
  <c r="P1693" i="1"/>
  <c r="O1693" i="1"/>
  <c r="B1693" i="1"/>
  <c r="H1693" i="1"/>
  <c r="G1693" i="1"/>
  <c r="F1693" i="1"/>
  <c r="E1693" i="1"/>
  <c r="M1693" i="1"/>
  <c r="L1693" i="1"/>
  <c r="K1693" i="1"/>
  <c r="J1693" i="1"/>
  <c r="I1693" i="1"/>
  <c r="D1693" i="1"/>
  <c r="C1693" i="1"/>
  <c r="A1693" i="1"/>
  <c r="AE1692" i="1"/>
  <c r="AD1692" i="1"/>
  <c r="AC1692" i="1"/>
  <c r="AB1692" i="1"/>
  <c r="AA1692" i="1"/>
  <c r="Z1692" i="1"/>
  <c r="Y1692" i="1"/>
  <c r="X1692" i="1"/>
  <c r="W1692" i="1"/>
  <c r="V1692" i="1"/>
  <c r="U1692" i="1"/>
  <c r="T1692" i="1"/>
  <c r="S1692" i="1"/>
  <c r="R1692" i="1"/>
  <c r="Q1692" i="1"/>
  <c r="P1692" i="1"/>
  <c r="O1692" i="1"/>
  <c r="B1692" i="1"/>
  <c r="H1692" i="1"/>
  <c r="G1692" i="1"/>
  <c r="F1692" i="1"/>
  <c r="E1692" i="1"/>
  <c r="N1692" i="1"/>
  <c r="M1692" i="1"/>
  <c r="L1692" i="1"/>
  <c r="K1692" i="1"/>
  <c r="J1692" i="1"/>
  <c r="I1692" i="1"/>
  <c r="D1692" i="1"/>
  <c r="C1692" i="1"/>
  <c r="A1692" i="1"/>
  <c r="AE1691" i="1"/>
  <c r="AD1691" i="1"/>
  <c r="AC1691" i="1"/>
  <c r="AB1691" i="1"/>
  <c r="AA1691" i="1"/>
  <c r="Z1691" i="1"/>
  <c r="Y1691" i="1"/>
  <c r="X1691" i="1"/>
  <c r="W1691" i="1"/>
  <c r="V1691" i="1"/>
  <c r="U1691" i="1"/>
  <c r="T1691" i="1"/>
  <c r="S1691" i="1"/>
  <c r="R1691" i="1"/>
  <c r="Q1691" i="1"/>
  <c r="P1691" i="1"/>
  <c r="O1691" i="1"/>
  <c r="B1691" i="1"/>
  <c r="H1691" i="1"/>
  <c r="G1691" i="1"/>
  <c r="F1691" i="1"/>
  <c r="E1691" i="1"/>
  <c r="N1691" i="1"/>
  <c r="M1691" i="1"/>
  <c r="L1691" i="1"/>
  <c r="K1691" i="1"/>
  <c r="J1691" i="1"/>
  <c r="I1691" i="1"/>
  <c r="D1691" i="1"/>
  <c r="C1691" i="1"/>
  <c r="A1691" i="1"/>
  <c r="AE1690" i="1"/>
  <c r="AD1690" i="1"/>
  <c r="AC1690" i="1"/>
  <c r="AB1690" i="1"/>
  <c r="AA1690" i="1"/>
  <c r="Z1690" i="1"/>
  <c r="Y1690" i="1"/>
  <c r="X1690" i="1"/>
  <c r="W1690" i="1"/>
  <c r="V1690" i="1"/>
  <c r="U1690" i="1"/>
  <c r="T1690" i="1"/>
  <c r="S1690" i="1"/>
  <c r="R1690" i="1"/>
  <c r="Q1690" i="1"/>
  <c r="P1690" i="1"/>
  <c r="O1690" i="1"/>
  <c r="B1690" i="1"/>
  <c r="H1690" i="1"/>
  <c r="G1690" i="1"/>
  <c r="F1690" i="1"/>
  <c r="E1690" i="1"/>
  <c r="N1690" i="1"/>
  <c r="M1690" i="1"/>
  <c r="L1690" i="1"/>
  <c r="K1690" i="1"/>
  <c r="J1690" i="1"/>
  <c r="I1690" i="1"/>
  <c r="D1690" i="1"/>
  <c r="C1690" i="1"/>
  <c r="A1690" i="1"/>
  <c r="AE1689" i="1"/>
  <c r="AD1689" i="1"/>
  <c r="AC1689" i="1"/>
  <c r="AB1689" i="1"/>
  <c r="AA1689" i="1"/>
  <c r="Z1689" i="1"/>
  <c r="Y1689" i="1"/>
  <c r="X1689" i="1"/>
  <c r="W1689" i="1"/>
  <c r="V1689" i="1"/>
  <c r="U1689" i="1"/>
  <c r="T1689" i="1"/>
  <c r="S1689" i="1"/>
  <c r="R1689" i="1"/>
  <c r="Q1689" i="1"/>
  <c r="P1689" i="1"/>
  <c r="O1689" i="1"/>
  <c r="B1689" i="1"/>
  <c r="H1689" i="1"/>
  <c r="G1689" i="1"/>
  <c r="F1689" i="1"/>
  <c r="E1689" i="1"/>
  <c r="N1689" i="1"/>
  <c r="M1689" i="1"/>
  <c r="L1689" i="1"/>
  <c r="K1689" i="1"/>
  <c r="J1689" i="1"/>
  <c r="I1689" i="1"/>
  <c r="D1689" i="1"/>
  <c r="C1689" i="1"/>
  <c r="A1689" i="1"/>
  <c r="AE1688" i="1"/>
  <c r="AD1688" i="1"/>
  <c r="AC1688" i="1"/>
  <c r="AB1688" i="1"/>
  <c r="AA1688" i="1"/>
  <c r="Z1688" i="1"/>
  <c r="Y1688" i="1"/>
  <c r="X1688" i="1"/>
  <c r="W1688" i="1"/>
  <c r="V1688" i="1"/>
  <c r="U1688" i="1"/>
  <c r="T1688" i="1"/>
  <c r="S1688" i="1"/>
  <c r="R1688" i="1"/>
  <c r="Q1688" i="1"/>
  <c r="P1688" i="1"/>
  <c r="O1688" i="1"/>
  <c r="B1688" i="1"/>
  <c r="H1688" i="1"/>
  <c r="G1688" i="1"/>
  <c r="F1688" i="1"/>
  <c r="E1688" i="1"/>
  <c r="N1688" i="1"/>
  <c r="M1688" i="1"/>
  <c r="L1688" i="1"/>
  <c r="K1688" i="1"/>
  <c r="J1688" i="1"/>
  <c r="I1688" i="1"/>
  <c r="D1688" i="1"/>
  <c r="C1688" i="1"/>
  <c r="A1688" i="1"/>
  <c r="AE1687" i="1"/>
  <c r="AD1687" i="1"/>
  <c r="AC1687" i="1"/>
  <c r="AB1687" i="1"/>
  <c r="AA1687" i="1"/>
  <c r="Z1687" i="1"/>
  <c r="Y1687" i="1"/>
  <c r="X1687" i="1"/>
  <c r="W1687" i="1"/>
  <c r="V1687" i="1"/>
  <c r="U1687" i="1"/>
  <c r="T1687" i="1"/>
  <c r="S1687" i="1"/>
  <c r="R1687" i="1"/>
  <c r="Q1687" i="1"/>
  <c r="P1687" i="1"/>
  <c r="O1687" i="1"/>
  <c r="B1687" i="1"/>
  <c r="H1687" i="1"/>
  <c r="G1687" i="1"/>
  <c r="F1687" i="1"/>
  <c r="E1687" i="1"/>
  <c r="N1687" i="1"/>
  <c r="M1687" i="1"/>
  <c r="L1687" i="1"/>
  <c r="K1687" i="1"/>
  <c r="J1687" i="1"/>
  <c r="I1687" i="1"/>
  <c r="D1687" i="1"/>
  <c r="C1687" i="1"/>
  <c r="A1687" i="1"/>
  <c r="AE1686" i="1"/>
  <c r="AD1686" i="1"/>
  <c r="AC1686" i="1"/>
  <c r="AB1686" i="1"/>
  <c r="AA1686" i="1"/>
  <c r="Z1686" i="1"/>
  <c r="Y1686" i="1"/>
  <c r="X1686" i="1"/>
  <c r="W1686" i="1"/>
  <c r="V1686" i="1"/>
  <c r="U1686" i="1"/>
  <c r="T1686" i="1"/>
  <c r="S1686" i="1"/>
  <c r="R1686" i="1"/>
  <c r="Q1686" i="1"/>
  <c r="P1686" i="1"/>
  <c r="O1686" i="1"/>
  <c r="B1686" i="1"/>
  <c r="H1686" i="1"/>
  <c r="G1686" i="1"/>
  <c r="F1686" i="1"/>
  <c r="E1686" i="1"/>
  <c r="N1686" i="1"/>
  <c r="M1686" i="1"/>
  <c r="L1686" i="1"/>
  <c r="K1686" i="1"/>
  <c r="J1686" i="1"/>
  <c r="I1686" i="1"/>
  <c r="D1686" i="1"/>
  <c r="C1686" i="1"/>
  <c r="A1686" i="1"/>
  <c r="AE1685" i="1"/>
  <c r="AD1685" i="1"/>
  <c r="AC1685" i="1"/>
  <c r="AB1685" i="1"/>
  <c r="AA1685" i="1"/>
  <c r="Z1685" i="1"/>
  <c r="Y1685" i="1"/>
  <c r="X1685" i="1"/>
  <c r="W1685" i="1"/>
  <c r="V1685" i="1"/>
  <c r="U1685" i="1"/>
  <c r="T1685" i="1"/>
  <c r="S1685" i="1"/>
  <c r="R1685" i="1"/>
  <c r="Q1685" i="1"/>
  <c r="P1685" i="1"/>
  <c r="O1685" i="1"/>
  <c r="B1685" i="1"/>
  <c r="H1685" i="1"/>
  <c r="G1685" i="1"/>
  <c r="F1685" i="1"/>
  <c r="E1685" i="1"/>
  <c r="N1685" i="1"/>
  <c r="M1685" i="1"/>
  <c r="L1685" i="1"/>
  <c r="K1685" i="1"/>
  <c r="J1685" i="1"/>
  <c r="I1685" i="1"/>
  <c r="D1685" i="1"/>
  <c r="C1685" i="1"/>
  <c r="A1685" i="1"/>
  <c r="AE1684" i="1"/>
  <c r="AD1684" i="1"/>
  <c r="AC1684" i="1"/>
  <c r="AB1684" i="1"/>
  <c r="AA1684" i="1"/>
  <c r="Z1684" i="1"/>
  <c r="Y1684" i="1"/>
  <c r="X1684" i="1"/>
  <c r="W1684" i="1"/>
  <c r="V1684" i="1"/>
  <c r="U1684" i="1"/>
  <c r="T1684" i="1"/>
  <c r="S1684" i="1"/>
  <c r="R1684" i="1"/>
  <c r="Q1684" i="1"/>
  <c r="P1684" i="1"/>
  <c r="O1684" i="1"/>
  <c r="B1684" i="1"/>
  <c r="H1684" i="1"/>
  <c r="G1684" i="1"/>
  <c r="F1684" i="1"/>
  <c r="E1684" i="1"/>
  <c r="N1684" i="1"/>
  <c r="M1684" i="1"/>
  <c r="L1684" i="1"/>
  <c r="K1684" i="1"/>
  <c r="J1684" i="1"/>
  <c r="I1684" i="1"/>
  <c r="D1684" i="1"/>
  <c r="C1684" i="1"/>
  <c r="A1684" i="1"/>
  <c r="AE1683" i="1"/>
  <c r="AD1683" i="1"/>
  <c r="AC1683" i="1"/>
  <c r="AB1683" i="1"/>
  <c r="AA1683" i="1"/>
  <c r="Z1683" i="1"/>
  <c r="Y1683" i="1"/>
  <c r="X1683" i="1"/>
  <c r="W1683" i="1"/>
  <c r="V1683" i="1"/>
  <c r="U1683" i="1"/>
  <c r="T1683" i="1"/>
  <c r="S1683" i="1"/>
  <c r="R1683" i="1"/>
  <c r="Q1683" i="1"/>
  <c r="P1683" i="1"/>
  <c r="O1683" i="1"/>
  <c r="B1683" i="1"/>
  <c r="H1683" i="1"/>
  <c r="G1683" i="1"/>
  <c r="F1683" i="1"/>
  <c r="E1683" i="1"/>
  <c r="N1683" i="1"/>
  <c r="M1683" i="1"/>
  <c r="L1683" i="1"/>
  <c r="K1683" i="1"/>
  <c r="J1683" i="1"/>
  <c r="I1683" i="1"/>
  <c r="D1683" i="1"/>
  <c r="C1683" i="1"/>
  <c r="A1683" i="1"/>
  <c r="AE1682" i="1"/>
  <c r="AD1682" i="1"/>
  <c r="AC1682" i="1"/>
  <c r="AB1682" i="1"/>
  <c r="AA1682" i="1"/>
  <c r="Z1682" i="1"/>
  <c r="Y1682" i="1"/>
  <c r="X1682" i="1"/>
  <c r="W1682" i="1"/>
  <c r="V1682" i="1"/>
  <c r="U1682" i="1"/>
  <c r="T1682" i="1"/>
  <c r="S1682" i="1"/>
  <c r="R1682" i="1"/>
  <c r="Q1682" i="1"/>
  <c r="P1682" i="1"/>
  <c r="O1682" i="1"/>
  <c r="B1682" i="1"/>
  <c r="H1682" i="1"/>
  <c r="G1682" i="1"/>
  <c r="F1682" i="1"/>
  <c r="E1682" i="1"/>
  <c r="N1682" i="1"/>
  <c r="M1682" i="1"/>
  <c r="L1682" i="1"/>
  <c r="K1682" i="1"/>
  <c r="J1682" i="1"/>
  <c r="I1682" i="1"/>
  <c r="D1682" i="1"/>
  <c r="C1682" i="1"/>
  <c r="A1682" i="1"/>
  <c r="AE1681" i="1"/>
  <c r="AD1681" i="1"/>
  <c r="AC1681" i="1"/>
  <c r="AB1681" i="1"/>
  <c r="AA1681" i="1"/>
  <c r="Z1681" i="1"/>
  <c r="Y1681" i="1"/>
  <c r="X1681" i="1"/>
  <c r="W1681" i="1"/>
  <c r="V1681" i="1"/>
  <c r="U1681" i="1"/>
  <c r="T1681" i="1"/>
  <c r="S1681" i="1"/>
  <c r="R1681" i="1"/>
  <c r="Q1681" i="1"/>
  <c r="P1681" i="1"/>
  <c r="O1681" i="1"/>
  <c r="B1681" i="1"/>
  <c r="H1681" i="1"/>
  <c r="G1681" i="1"/>
  <c r="F1681" i="1"/>
  <c r="E1681" i="1"/>
  <c r="N1681" i="1"/>
  <c r="M1681" i="1"/>
  <c r="L1681" i="1"/>
  <c r="K1681" i="1"/>
  <c r="J1681" i="1"/>
  <c r="I1681" i="1"/>
  <c r="D1681" i="1"/>
  <c r="C1681" i="1"/>
  <c r="A1681" i="1"/>
  <c r="AE1680" i="1"/>
  <c r="AD1680" i="1"/>
  <c r="AC1680" i="1"/>
  <c r="AB1680" i="1"/>
  <c r="AA1680" i="1"/>
  <c r="Z1680" i="1"/>
  <c r="Y1680" i="1"/>
  <c r="X1680" i="1"/>
  <c r="W1680" i="1"/>
  <c r="V1680" i="1"/>
  <c r="U1680" i="1"/>
  <c r="T1680" i="1"/>
  <c r="S1680" i="1"/>
  <c r="R1680" i="1"/>
  <c r="Q1680" i="1"/>
  <c r="P1680" i="1"/>
  <c r="O1680" i="1"/>
  <c r="B1680" i="1"/>
  <c r="H1680" i="1"/>
  <c r="G1680" i="1"/>
  <c r="F1680" i="1"/>
  <c r="E1680" i="1"/>
  <c r="N1680" i="1"/>
  <c r="M1680" i="1"/>
  <c r="L1680" i="1"/>
  <c r="K1680" i="1"/>
  <c r="J1680" i="1"/>
  <c r="I1680" i="1"/>
  <c r="D1680" i="1"/>
  <c r="C1680" i="1"/>
  <c r="A1680" i="1"/>
  <c r="AE1679" i="1"/>
  <c r="AD1679" i="1"/>
  <c r="AC1679" i="1"/>
  <c r="AB1679" i="1"/>
  <c r="AA1679" i="1"/>
  <c r="Z1679" i="1"/>
  <c r="Y1679" i="1"/>
  <c r="X1679" i="1"/>
  <c r="W1679" i="1"/>
  <c r="V1679" i="1"/>
  <c r="U1679" i="1"/>
  <c r="T1679" i="1"/>
  <c r="S1679" i="1"/>
  <c r="R1679" i="1"/>
  <c r="Q1679" i="1"/>
  <c r="P1679" i="1"/>
  <c r="O1679" i="1"/>
  <c r="B1679" i="1"/>
  <c r="H1679" i="1"/>
  <c r="G1679" i="1"/>
  <c r="F1679" i="1"/>
  <c r="E1679" i="1"/>
  <c r="N1679" i="1"/>
  <c r="M1679" i="1"/>
  <c r="L1679" i="1"/>
  <c r="K1679" i="1"/>
  <c r="J1679" i="1"/>
  <c r="I1679" i="1"/>
  <c r="D1679" i="1"/>
  <c r="C1679" i="1"/>
  <c r="A1679" i="1"/>
  <c r="AE1678" i="1"/>
  <c r="AD1678" i="1"/>
  <c r="AC1678" i="1"/>
  <c r="AB1678" i="1"/>
  <c r="AA1678" i="1"/>
  <c r="Z1678" i="1"/>
  <c r="Y1678" i="1"/>
  <c r="X1678" i="1"/>
  <c r="W1678" i="1"/>
  <c r="V1678" i="1"/>
  <c r="U1678" i="1"/>
  <c r="T1678" i="1"/>
  <c r="S1678" i="1"/>
  <c r="R1678" i="1"/>
  <c r="Q1678" i="1"/>
  <c r="P1678" i="1"/>
  <c r="O1678" i="1"/>
  <c r="B1678" i="1"/>
  <c r="H1678" i="1"/>
  <c r="G1678" i="1"/>
  <c r="F1678" i="1"/>
  <c r="E1678" i="1"/>
  <c r="N1678" i="1"/>
  <c r="M1678" i="1"/>
  <c r="L1678" i="1"/>
  <c r="K1678" i="1"/>
  <c r="J1678" i="1"/>
  <c r="I1678" i="1"/>
  <c r="D1678" i="1"/>
  <c r="C1678" i="1"/>
  <c r="A1678" i="1"/>
  <c r="AE1677" i="1"/>
  <c r="AD1677" i="1"/>
  <c r="AC1677" i="1"/>
  <c r="AB1677" i="1"/>
  <c r="AA1677" i="1"/>
  <c r="Z1677" i="1"/>
  <c r="Y1677" i="1"/>
  <c r="X1677" i="1"/>
  <c r="W1677" i="1"/>
  <c r="V1677" i="1"/>
  <c r="U1677" i="1"/>
  <c r="T1677" i="1"/>
  <c r="S1677" i="1"/>
  <c r="R1677" i="1"/>
  <c r="Q1677" i="1"/>
  <c r="P1677" i="1"/>
  <c r="O1677" i="1"/>
  <c r="B1677" i="1"/>
  <c r="H1677" i="1"/>
  <c r="G1677" i="1"/>
  <c r="F1677" i="1"/>
  <c r="E1677" i="1"/>
  <c r="N1677" i="1"/>
  <c r="M1677" i="1"/>
  <c r="L1677" i="1"/>
  <c r="K1677" i="1"/>
  <c r="J1677" i="1"/>
  <c r="I1677" i="1"/>
  <c r="D1677" i="1"/>
  <c r="C1677" i="1"/>
  <c r="A1677" i="1"/>
  <c r="AE1676" i="1"/>
  <c r="AD1676" i="1"/>
  <c r="AC1676" i="1"/>
  <c r="AB1676" i="1"/>
  <c r="AA1676" i="1"/>
  <c r="Z1676" i="1"/>
  <c r="Y1676" i="1"/>
  <c r="X1676" i="1"/>
  <c r="W1676" i="1"/>
  <c r="V1676" i="1"/>
  <c r="U1676" i="1"/>
  <c r="T1676" i="1"/>
  <c r="S1676" i="1"/>
  <c r="R1676" i="1"/>
  <c r="Q1676" i="1"/>
  <c r="P1676" i="1"/>
  <c r="O1676" i="1"/>
  <c r="B1676" i="1"/>
  <c r="H1676" i="1"/>
  <c r="G1676" i="1"/>
  <c r="F1676" i="1"/>
  <c r="E1676" i="1"/>
  <c r="N1676" i="1"/>
  <c r="M1676" i="1"/>
  <c r="L1676" i="1"/>
  <c r="K1676" i="1"/>
  <c r="J1676" i="1"/>
  <c r="I1676" i="1"/>
  <c r="D1676" i="1"/>
  <c r="C1676" i="1"/>
  <c r="A1676" i="1"/>
  <c r="AE1675" i="1"/>
  <c r="AD1675" i="1"/>
  <c r="AC1675" i="1"/>
  <c r="AB1675" i="1"/>
  <c r="AA1675" i="1"/>
  <c r="Z1675" i="1"/>
  <c r="Y1675" i="1"/>
  <c r="X1675" i="1"/>
  <c r="W1675" i="1"/>
  <c r="V1675" i="1"/>
  <c r="U1675" i="1"/>
  <c r="T1675" i="1"/>
  <c r="S1675" i="1"/>
  <c r="R1675" i="1"/>
  <c r="Q1675" i="1"/>
  <c r="P1675" i="1"/>
  <c r="O1675" i="1"/>
  <c r="B1675" i="1"/>
  <c r="H1675" i="1"/>
  <c r="G1675" i="1"/>
  <c r="F1675" i="1"/>
  <c r="E1675" i="1"/>
  <c r="N1675" i="1"/>
  <c r="M1675" i="1"/>
  <c r="L1675" i="1"/>
  <c r="K1675" i="1"/>
  <c r="J1675" i="1"/>
  <c r="I1675" i="1"/>
  <c r="D1675" i="1"/>
  <c r="C1675" i="1"/>
  <c r="A1675" i="1"/>
  <c r="AE1674" i="1"/>
  <c r="AD1674" i="1"/>
  <c r="AC1674" i="1"/>
  <c r="AB1674" i="1"/>
  <c r="AA1674" i="1"/>
  <c r="Z1674" i="1"/>
  <c r="Y1674" i="1"/>
  <c r="X1674" i="1"/>
  <c r="W1674" i="1"/>
  <c r="V1674" i="1"/>
  <c r="U1674" i="1"/>
  <c r="T1674" i="1"/>
  <c r="S1674" i="1"/>
  <c r="R1674" i="1"/>
  <c r="Q1674" i="1"/>
  <c r="P1674" i="1"/>
  <c r="O1674" i="1"/>
  <c r="B1674" i="1"/>
  <c r="H1674" i="1"/>
  <c r="G1674" i="1"/>
  <c r="F1674" i="1"/>
  <c r="E1674" i="1"/>
  <c r="N1674" i="1"/>
  <c r="M1674" i="1"/>
  <c r="L1674" i="1"/>
  <c r="K1674" i="1"/>
  <c r="J1674" i="1"/>
  <c r="I1674" i="1"/>
  <c r="D1674" i="1"/>
  <c r="C1674" i="1"/>
  <c r="A1674" i="1"/>
  <c r="AE1673" i="1"/>
  <c r="AD1673" i="1"/>
  <c r="AC1673" i="1"/>
  <c r="AB1673" i="1"/>
  <c r="AA1673" i="1"/>
  <c r="Z1673" i="1"/>
  <c r="Y1673" i="1"/>
  <c r="X1673" i="1"/>
  <c r="W1673" i="1"/>
  <c r="V1673" i="1"/>
  <c r="U1673" i="1"/>
  <c r="T1673" i="1"/>
  <c r="S1673" i="1"/>
  <c r="R1673" i="1"/>
  <c r="Q1673" i="1"/>
  <c r="P1673" i="1"/>
  <c r="O1673" i="1"/>
  <c r="B1673" i="1"/>
  <c r="H1673" i="1"/>
  <c r="G1673" i="1"/>
  <c r="F1673" i="1"/>
  <c r="E1673" i="1"/>
  <c r="N1673" i="1"/>
  <c r="M1673" i="1"/>
  <c r="L1673" i="1"/>
  <c r="K1673" i="1"/>
  <c r="J1673" i="1"/>
  <c r="I1673" i="1"/>
  <c r="D1673" i="1"/>
  <c r="C1673" i="1"/>
  <c r="A1673" i="1"/>
  <c r="AE1672" i="1"/>
  <c r="AD1672" i="1"/>
  <c r="AC1672" i="1"/>
  <c r="AB1672" i="1"/>
  <c r="AA1672" i="1"/>
  <c r="Z1672" i="1"/>
  <c r="Y1672" i="1"/>
  <c r="X1672" i="1"/>
  <c r="W1672" i="1"/>
  <c r="V1672" i="1"/>
  <c r="U1672" i="1"/>
  <c r="T1672" i="1"/>
  <c r="S1672" i="1"/>
  <c r="R1672" i="1"/>
  <c r="Q1672" i="1"/>
  <c r="P1672" i="1"/>
  <c r="O1672" i="1"/>
  <c r="B1672" i="1"/>
  <c r="H1672" i="1"/>
  <c r="G1672" i="1"/>
  <c r="F1672" i="1"/>
  <c r="E1672" i="1"/>
  <c r="N1672" i="1"/>
  <c r="M1672" i="1"/>
  <c r="L1672" i="1"/>
  <c r="K1672" i="1"/>
  <c r="J1672" i="1"/>
  <c r="I1672" i="1"/>
  <c r="D1672" i="1"/>
  <c r="C1672" i="1"/>
  <c r="A1672" i="1"/>
  <c r="AE1671" i="1"/>
  <c r="AD1671" i="1"/>
  <c r="AC1671" i="1"/>
  <c r="AB1671" i="1"/>
  <c r="AA1671" i="1"/>
  <c r="Z1671" i="1"/>
  <c r="Y1671" i="1"/>
  <c r="X1671" i="1"/>
  <c r="W1671" i="1"/>
  <c r="V1671" i="1"/>
  <c r="U1671" i="1"/>
  <c r="T1671" i="1"/>
  <c r="S1671" i="1"/>
  <c r="R1671" i="1"/>
  <c r="Q1671" i="1"/>
  <c r="P1671" i="1"/>
  <c r="O1671" i="1"/>
  <c r="B1671" i="1"/>
  <c r="H1671" i="1"/>
  <c r="G1671" i="1"/>
  <c r="F1671" i="1"/>
  <c r="E1671" i="1"/>
  <c r="N1671" i="1"/>
  <c r="M1671" i="1"/>
  <c r="L1671" i="1"/>
  <c r="K1671" i="1"/>
  <c r="J1671" i="1"/>
  <c r="I1671" i="1"/>
  <c r="D1671" i="1"/>
  <c r="C1671" i="1"/>
  <c r="A1671" i="1"/>
  <c r="AE1670" i="1"/>
  <c r="AD1670" i="1"/>
  <c r="AC1670" i="1"/>
  <c r="AB1670" i="1"/>
  <c r="AA1670" i="1"/>
  <c r="Z1670" i="1"/>
  <c r="Y1670" i="1"/>
  <c r="X1670" i="1"/>
  <c r="W1670" i="1"/>
  <c r="V1670" i="1"/>
  <c r="U1670" i="1"/>
  <c r="T1670" i="1"/>
  <c r="S1670" i="1"/>
  <c r="R1670" i="1"/>
  <c r="Q1670" i="1"/>
  <c r="P1670" i="1"/>
  <c r="O1670" i="1"/>
  <c r="B1670" i="1"/>
  <c r="H1670" i="1"/>
  <c r="G1670" i="1"/>
  <c r="F1670" i="1"/>
  <c r="E1670" i="1"/>
  <c r="N1670" i="1"/>
  <c r="M1670" i="1"/>
  <c r="L1670" i="1"/>
  <c r="K1670" i="1"/>
  <c r="J1670" i="1"/>
  <c r="I1670" i="1"/>
  <c r="D1670" i="1"/>
  <c r="C1670" i="1"/>
  <c r="A1670" i="1"/>
  <c r="AE1669" i="1"/>
  <c r="AD1669" i="1"/>
  <c r="AC1669" i="1"/>
  <c r="AB1669" i="1"/>
  <c r="AA1669" i="1"/>
  <c r="Z1669" i="1"/>
  <c r="Y1669" i="1"/>
  <c r="X1669" i="1"/>
  <c r="W1669" i="1"/>
  <c r="V1669" i="1"/>
  <c r="U1669" i="1"/>
  <c r="T1669" i="1"/>
  <c r="S1669" i="1"/>
  <c r="R1669" i="1"/>
  <c r="Q1669" i="1"/>
  <c r="P1669" i="1"/>
  <c r="O1669" i="1"/>
  <c r="B1669" i="1"/>
  <c r="H1669" i="1"/>
  <c r="G1669" i="1"/>
  <c r="F1669" i="1"/>
  <c r="E1669" i="1"/>
  <c r="N1669" i="1"/>
  <c r="M1669" i="1"/>
  <c r="L1669" i="1"/>
  <c r="K1669" i="1"/>
  <c r="J1669" i="1"/>
  <c r="I1669" i="1"/>
  <c r="D1669" i="1"/>
  <c r="C1669" i="1"/>
  <c r="A1669" i="1"/>
  <c r="AE1668" i="1"/>
  <c r="AD1668" i="1"/>
  <c r="AC1668" i="1"/>
  <c r="AB1668" i="1"/>
  <c r="AA1668" i="1"/>
  <c r="Z1668" i="1"/>
  <c r="Y1668" i="1"/>
  <c r="X1668" i="1"/>
  <c r="W1668" i="1"/>
  <c r="V1668" i="1"/>
  <c r="U1668" i="1"/>
  <c r="T1668" i="1"/>
  <c r="S1668" i="1"/>
  <c r="R1668" i="1"/>
  <c r="Q1668" i="1"/>
  <c r="P1668" i="1"/>
  <c r="O1668" i="1"/>
  <c r="B1668" i="1"/>
  <c r="H1668" i="1"/>
  <c r="G1668" i="1"/>
  <c r="F1668" i="1"/>
  <c r="E1668" i="1"/>
  <c r="N1668" i="1"/>
  <c r="M1668" i="1"/>
  <c r="L1668" i="1"/>
  <c r="K1668" i="1"/>
  <c r="J1668" i="1"/>
  <c r="I1668" i="1"/>
  <c r="D1668" i="1"/>
  <c r="C1668" i="1"/>
  <c r="A1668" i="1"/>
  <c r="AE1667" i="1"/>
  <c r="AD1667" i="1"/>
  <c r="AC1667" i="1"/>
  <c r="AB1667" i="1"/>
  <c r="AA1667" i="1"/>
  <c r="Z1667" i="1"/>
  <c r="Y1667" i="1"/>
  <c r="X1667" i="1"/>
  <c r="W1667" i="1"/>
  <c r="V1667" i="1"/>
  <c r="U1667" i="1"/>
  <c r="T1667" i="1"/>
  <c r="S1667" i="1"/>
  <c r="R1667" i="1"/>
  <c r="Q1667" i="1"/>
  <c r="P1667" i="1"/>
  <c r="O1667" i="1"/>
  <c r="B1667" i="1"/>
  <c r="H1667" i="1"/>
  <c r="G1667" i="1"/>
  <c r="F1667" i="1"/>
  <c r="E1667" i="1"/>
  <c r="N1667" i="1"/>
  <c r="M1667" i="1"/>
  <c r="L1667" i="1"/>
  <c r="K1667" i="1"/>
  <c r="J1667" i="1"/>
  <c r="I1667" i="1"/>
  <c r="D1667" i="1"/>
  <c r="C1667" i="1"/>
  <c r="A1667" i="1"/>
  <c r="AE1666" i="1"/>
  <c r="AD1666" i="1"/>
  <c r="AC1666" i="1"/>
  <c r="AB1666" i="1"/>
  <c r="AA1666" i="1"/>
  <c r="Z1666" i="1"/>
  <c r="Y1666" i="1"/>
  <c r="X1666" i="1"/>
  <c r="W1666" i="1"/>
  <c r="V1666" i="1"/>
  <c r="U1666" i="1"/>
  <c r="T1666" i="1"/>
  <c r="S1666" i="1"/>
  <c r="R1666" i="1"/>
  <c r="Q1666" i="1"/>
  <c r="P1666" i="1"/>
  <c r="O1666" i="1"/>
  <c r="B1666" i="1"/>
  <c r="H1666" i="1"/>
  <c r="G1666" i="1"/>
  <c r="F1666" i="1"/>
  <c r="E1666" i="1"/>
  <c r="N1666" i="1"/>
  <c r="M1666" i="1"/>
  <c r="L1666" i="1"/>
  <c r="K1666" i="1"/>
  <c r="J1666" i="1"/>
  <c r="I1666" i="1"/>
  <c r="D1666" i="1"/>
  <c r="C1666" i="1"/>
  <c r="A1666" i="1"/>
  <c r="AE1665" i="1"/>
  <c r="AD1665" i="1"/>
  <c r="AC1665" i="1"/>
  <c r="AB1665" i="1"/>
  <c r="AA1665" i="1"/>
  <c r="Z1665" i="1"/>
  <c r="Y1665" i="1"/>
  <c r="X1665" i="1"/>
  <c r="W1665" i="1"/>
  <c r="V1665" i="1"/>
  <c r="U1665" i="1"/>
  <c r="T1665" i="1"/>
  <c r="S1665" i="1"/>
  <c r="R1665" i="1"/>
  <c r="Q1665" i="1"/>
  <c r="P1665" i="1"/>
  <c r="O1665" i="1"/>
  <c r="B1665" i="1"/>
  <c r="H1665" i="1"/>
  <c r="G1665" i="1"/>
  <c r="F1665" i="1"/>
  <c r="E1665" i="1"/>
  <c r="N1665" i="1"/>
  <c r="M1665" i="1"/>
  <c r="L1665" i="1"/>
  <c r="K1665" i="1"/>
  <c r="J1665" i="1"/>
  <c r="I1665" i="1"/>
  <c r="D1665" i="1"/>
  <c r="C1665" i="1"/>
  <c r="A1665" i="1"/>
  <c r="AE1664" i="1"/>
  <c r="AD1664" i="1"/>
  <c r="AC1664" i="1"/>
  <c r="AB1664" i="1"/>
  <c r="AA1664" i="1"/>
  <c r="Z1664" i="1"/>
  <c r="Y1664" i="1"/>
  <c r="X1664" i="1"/>
  <c r="W1664" i="1"/>
  <c r="V1664" i="1"/>
  <c r="U1664" i="1"/>
  <c r="T1664" i="1"/>
  <c r="S1664" i="1"/>
  <c r="R1664" i="1"/>
  <c r="Q1664" i="1"/>
  <c r="P1664" i="1"/>
  <c r="O1664" i="1"/>
  <c r="B1664" i="1"/>
  <c r="H1664" i="1"/>
  <c r="G1664" i="1"/>
  <c r="F1664" i="1"/>
  <c r="E1664" i="1"/>
  <c r="N1664" i="1"/>
  <c r="M1664" i="1"/>
  <c r="L1664" i="1"/>
  <c r="K1664" i="1"/>
  <c r="J1664" i="1"/>
  <c r="I1664" i="1"/>
  <c r="D1664" i="1"/>
  <c r="C1664" i="1"/>
  <c r="A1664" i="1"/>
  <c r="AE1663" i="1"/>
  <c r="AD1663" i="1"/>
  <c r="AC1663" i="1"/>
  <c r="AB1663" i="1"/>
  <c r="AA1663" i="1"/>
  <c r="Z1663" i="1"/>
  <c r="Y1663" i="1"/>
  <c r="X1663" i="1"/>
  <c r="W1663" i="1"/>
  <c r="V1663" i="1"/>
  <c r="U1663" i="1"/>
  <c r="T1663" i="1"/>
  <c r="S1663" i="1"/>
  <c r="R1663" i="1"/>
  <c r="Q1663" i="1"/>
  <c r="P1663" i="1"/>
  <c r="O1663" i="1"/>
  <c r="B1663" i="1"/>
  <c r="H1663" i="1"/>
  <c r="G1663" i="1"/>
  <c r="F1663" i="1"/>
  <c r="E1663" i="1"/>
  <c r="N1663" i="1"/>
  <c r="M1663" i="1"/>
  <c r="L1663" i="1"/>
  <c r="K1663" i="1"/>
  <c r="J1663" i="1"/>
  <c r="I1663" i="1"/>
  <c r="D1663" i="1"/>
  <c r="C1663" i="1"/>
  <c r="A1663" i="1"/>
  <c r="AE1662" i="1"/>
  <c r="AD1662" i="1"/>
  <c r="AC1662" i="1"/>
  <c r="AB1662" i="1"/>
  <c r="AA1662" i="1"/>
  <c r="Z1662" i="1"/>
  <c r="Y1662" i="1"/>
  <c r="X1662" i="1"/>
  <c r="W1662" i="1"/>
  <c r="V1662" i="1"/>
  <c r="U1662" i="1"/>
  <c r="T1662" i="1"/>
  <c r="S1662" i="1"/>
  <c r="R1662" i="1"/>
  <c r="Q1662" i="1"/>
  <c r="P1662" i="1"/>
  <c r="O1662" i="1"/>
  <c r="B1662" i="1"/>
  <c r="H1662" i="1"/>
  <c r="G1662" i="1"/>
  <c r="F1662" i="1"/>
  <c r="E1662" i="1"/>
  <c r="N1662" i="1"/>
  <c r="M1662" i="1"/>
  <c r="L1662" i="1"/>
  <c r="K1662" i="1"/>
  <c r="J1662" i="1"/>
  <c r="I1662" i="1"/>
  <c r="D1662" i="1"/>
  <c r="C1662" i="1"/>
  <c r="A1662" i="1"/>
  <c r="AE1661" i="1"/>
  <c r="AD1661" i="1"/>
  <c r="AC1661" i="1"/>
  <c r="AB1661" i="1"/>
  <c r="AA1661" i="1"/>
  <c r="Z1661" i="1"/>
  <c r="Y1661" i="1"/>
  <c r="X1661" i="1"/>
  <c r="W1661" i="1"/>
  <c r="V1661" i="1"/>
  <c r="U1661" i="1"/>
  <c r="T1661" i="1"/>
  <c r="S1661" i="1"/>
  <c r="R1661" i="1"/>
  <c r="Q1661" i="1"/>
  <c r="P1661" i="1"/>
  <c r="O1661" i="1"/>
  <c r="B1661" i="1"/>
  <c r="H1661" i="1"/>
  <c r="G1661" i="1"/>
  <c r="F1661" i="1"/>
  <c r="E1661" i="1"/>
  <c r="N1661" i="1"/>
  <c r="M1661" i="1"/>
  <c r="L1661" i="1"/>
  <c r="K1661" i="1"/>
  <c r="J1661" i="1"/>
  <c r="I1661" i="1"/>
  <c r="D1661" i="1"/>
  <c r="C1661" i="1"/>
  <c r="A1661" i="1"/>
  <c r="AE1660" i="1"/>
  <c r="AD1660" i="1"/>
  <c r="AC1660" i="1"/>
  <c r="AB1660" i="1"/>
  <c r="AA1660" i="1"/>
  <c r="Z1660" i="1"/>
  <c r="Y1660" i="1"/>
  <c r="X1660" i="1"/>
  <c r="W1660" i="1"/>
  <c r="V1660" i="1"/>
  <c r="U1660" i="1"/>
  <c r="T1660" i="1"/>
  <c r="S1660" i="1"/>
  <c r="R1660" i="1"/>
  <c r="Q1660" i="1"/>
  <c r="P1660" i="1"/>
  <c r="O1660" i="1"/>
  <c r="B1660" i="1"/>
  <c r="H1660" i="1"/>
  <c r="G1660" i="1"/>
  <c r="F1660" i="1"/>
  <c r="E1660" i="1"/>
  <c r="N1660" i="1"/>
  <c r="M1660" i="1"/>
  <c r="L1660" i="1"/>
  <c r="K1660" i="1"/>
  <c r="J1660" i="1"/>
  <c r="I1660" i="1"/>
  <c r="D1660" i="1"/>
  <c r="C1660" i="1"/>
  <c r="A1660" i="1"/>
  <c r="AE1659" i="1"/>
  <c r="AD1659" i="1"/>
  <c r="AC1659" i="1"/>
  <c r="AB1659" i="1"/>
  <c r="AA1659" i="1"/>
  <c r="Z1659" i="1"/>
  <c r="Y1659" i="1"/>
  <c r="X1659" i="1"/>
  <c r="W1659" i="1"/>
  <c r="V1659" i="1"/>
  <c r="U1659" i="1"/>
  <c r="T1659" i="1"/>
  <c r="S1659" i="1"/>
  <c r="R1659" i="1"/>
  <c r="Q1659" i="1"/>
  <c r="P1659" i="1"/>
  <c r="O1659" i="1"/>
  <c r="B1659" i="1"/>
  <c r="H1659" i="1"/>
  <c r="G1659" i="1"/>
  <c r="F1659" i="1"/>
  <c r="E1659" i="1"/>
  <c r="N1659" i="1"/>
  <c r="M1659" i="1"/>
  <c r="L1659" i="1"/>
  <c r="K1659" i="1"/>
  <c r="J1659" i="1"/>
  <c r="I1659" i="1"/>
  <c r="D1659" i="1"/>
  <c r="C1659" i="1"/>
  <c r="A1659" i="1"/>
  <c r="AE1658" i="1"/>
  <c r="AD1658" i="1"/>
  <c r="AC1658" i="1"/>
  <c r="AB1658" i="1"/>
  <c r="AA1658" i="1"/>
  <c r="Z1658" i="1"/>
  <c r="Y1658" i="1"/>
  <c r="X1658" i="1"/>
  <c r="W1658" i="1"/>
  <c r="V1658" i="1"/>
  <c r="U1658" i="1"/>
  <c r="T1658" i="1"/>
  <c r="S1658" i="1"/>
  <c r="R1658" i="1"/>
  <c r="Q1658" i="1"/>
  <c r="P1658" i="1"/>
  <c r="O1658" i="1"/>
  <c r="B1658" i="1"/>
  <c r="H1658" i="1"/>
  <c r="G1658" i="1"/>
  <c r="F1658" i="1"/>
  <c r="E1658" i="1"/>
  <c r="N1658" i="1"/>
  <c r="M1658" i="1"/>
  <c r="L1658" i="1"/>
  <c r="K1658" i="1"/>
  <c r="J1658" i="1"/>
  <c r="I1658" i="1"/>
  <c r="D1658" i="1"/>
  <c r="C1658" i="1"/>
  <c r="A1658" i="1"/>
  <c r="AE1657" i="1"/>
  <c r="AD1657" i="1"/>
  <c r="AC1657" i="1"/>
  <c r="AB1657" i="1"/>
  <c r="AA1657" i="1"/>
  <c r="Z1657" i="1"/>
  <c r="Y1657" i="1"/>
  <c r="X1657" i="1"/>
  <c r="W1657" i="1"/>
  <c r="V1657" i="1"/>
  <c r="U1657" i="1"/>
  <c r="T1657" i="1"/>
  <c r="S1657" i="1"/>
  <c r="R1657" i="1"/>
  <c r="Q1657" i="1"/>
  <c r="P1657" i="1"/>
  <c r="O1657" i="1"/>
  <c r="B1657" i="1"/>
  <c r="H1657" i="1"/>
  <c r="G1657" i="1"/>
  <c r="F1657" i="1"/>
  <c r="E1657" i="1"/>
  <c r="N1657" i="1"/>
  <c r="M1657" i="1"/>
  <c r="L1657" i="1"/>
  <c r="K1657" i="1"/>
  <c r="J1657" i="1"/>
  <c r="I1657" i="1"/>
  <c r="D1657" i="1"/>
  <c r="C1657" i="1"/>
  <c r="A1657" i="1"/>
  <c r="AE1656" i="1"/>
  <c r="AD1656" i="1"/>
  <c r="AC1656" i="1"/>
  <c r="AB1656" i="1"/>
  <c r="AA1656" i="1"/>
  <c r="Z1656" i="1"/>
  <c r="Y1656" i="1"/>
  <c r="X1656" i="1"/>
  <c r="W1656" i="1"/>
  <c r="V1656" i="1"/>
  <c r="U1656" i="1"/>
  <c r="T1656" i="1"/>
  <c r="S1656" i="1"/>
  <c r="R1656" i="1"/>
  <c r="Q1656" i="1"/>
  <c r="P1656" i="1"/>
  <c r="O1656" i="1"/>
  <c r="B1656" i="1"/>
  <c r="H1656" i="1"/>
  <c r="G1656" i="1"/>
  <c r="F1656" i="1"/>
  <c r="E1656" i="1"/>
  <c r="N1656" i="1"/>
  <c r="M1656" i="1"/>
  <c r="L1656" i="1"/>
  <c r="K1656" i="1"/>
  <c r="J1656" i="1"/>
  <c r="I1656" i="1"/>
  <c r="D1656" i="1"/>
  <c r="C1656" i="1"/>
  <c r="A1656" i="1"/>
  <c r="AE1655" i="1"/>
  <c r="AD1655" i="1"/>
  <c r="AC1655" i="1"/>
  <c r="AB1655" i="1"/>
  <c r="AA1655" i="1"/>
  <c r="Z1655" i="1"/>
  <c r="Y1655" i="1"/>
  <c r="X1655" i="1"/>
  <c r="W1655" i="1"/>
  <c r="V1655" i="1"/>
  <c r="U1655" i="1"/>
  <c r="T1655" i="1"/>
  <c r="S1655" i="1"/>
  <c r="R1655" i="1"/>
  <c r="Q1655" i="1"/>
  <c r="P1655" i="1"/>
  <c r="O1655" i="1"/>
  <c r="B1655" i="1"/>
  <c r="H1655" i="1"/>
  <c r="G1655" i="1"/>
  <c r="F1655" i="1"/>
  <c r="E1655" i="1"/>
  <c r="N1655" i="1"/>
  <c r="M1655" i="1"/>
  <c r="L1655" i="1"/>
  <c r="K1655" i="1"/>
  <c r="J1655" i="1"/>
  <c r="I1655" i="1"/>
  <c r="D1655" i="1"/>
  <c r="C1655" i="1"/>
  <c r="A1655" i="1"/>
  <c r="AE1654" i="1"/>
  <c r="AD1654" i="1"/>
  <c r="AC1654" i="1"/>
  <c r="AB1654" i="1"/>
  <c r="AA1654" i="1"/>
  <c r="Z1654" i="1"/>
  <c r="Y1654" i="1"/>
  <c r="X1654" i="1"/>
  <c r="W1654" i="1"/>
  <c r="V1654" i="1"/>
  <c r="U1654" i="1"/>
  <c r="T1654" i="1"/>
  <c r="S1654" i="1"/>
  <c r="R1654" i="1"/>
  <c r="Q1654" i="1"/>
  <c r="P1654" i="1"/>
  <c r="O1654" i="1"/>
  <c r="B1654" i="1"/>
  <c r="H1654" i="1"/>
  <c r="G1654" i="1"/>
  <c r="F1654" i="1"/>
  <c r="E1654" i="1"/>
  <c r="N1654" i="1"/>
  <c r="M1654" i="1"/>
  <c r="L1654" i="1"/>
  <c r="K1654" i="1"/>
  <c r="J1654" i="1"/>
  <c r="I1654" i="1"/>
  <c r="D1654" i="1"/>
  <c r="C1654" i="1"/>
  <c r="A1654" i="1"/>
  <c r="AE1653" i="1"/>
  <c r="AD1653" i="1"/>
  <c r="AC1653" i="1"/>
  <c r="AB1653" i="1"/>
  <c r="AA1653" i="1"/>
  <c r="Z1653" i="1"/>
  <c r="Y1653" i="1"/>
  <c r="X1653" i="1"/>
  <c r="W1653" i="1"/>
  <c r="V1653" i="1"/>
  <c r="U1653" i="1"/>
  <c r="T1653" i="1"/>
  <c r="S1653" i="1"/>
  <c r="R1653" i="1"/>
  <c r="Q1653" i="1"/>
  <c r="P1653" i="1"/>
  <c r="O1653" i="1"/>
  <c r="B1653" i="1"/>
  <c r="H1653" i="1"/>
  <c r="G1653" i="1"/>
  <c r="F1653" i="1"/>
  <c r="E1653" i="1"/>
  <c r="N1653" i="1"/>
  <c r="M1653" i="1"/>
  <c r="L1653" i="1"/>
  <c r="K1653" i="1"/>
  <c r="J1653" i="1"/>
  <c r="I1653" i="1"/>
  <c r="D1653" i="1"/>
  <c r="C1653" i="1"/>
  <c r="A1653" i="1"/>
  <c r="AE1652" i="1"/>
  <c r="AD1652" i="1"/>
  <c r="AC1652" i="1"/>
  <c r="AB1652" i="1"/>
  <c r="AA1652" i="1"/>
  <c r="Z1652" i="1"/>
  <c r="Y1652" i="1"/>
  <c r="X1652" i="1"/>
  <c r="W1652" i="1"/>
  <c r="V1652" i="1"/>
  <c r="U1652" i="1"/>
  <c r="T1652" i="1"/>
  <c r="S1652" i="1"/>
  <c r="R1652" i="1"/>
  <c r="Q1652" i="1"/>
  <c r="P1652" i="1"/>
  <c r="O1652" i="1"/>
  <c r="B1652" i="1"/>
  <c r="H1652" i="1"/>
  <c r="G1652" i="1"/>
  <c r="F1652" i="1"/>
  <c r="E1652" i="1"/>
  <c r="N1652" i="1"/>
  <c r="M1652" i="1"/>
  <c r="L1652" i="1"/>
  <c r="K1652" i="1"/>
  <c r="J1652" i="1"/>
  <c r="I1652" i="1"/>
  <c r="D1652" i="1"/>
  <c r="C1652" i="1"/>
  <c r="A1652" i="1"/>
  <c r="AE1651" i="1"/>
  <c r="AD1651" i="1"/>
  <c r="AC1651" i="1"/>
  <c r="AB1651" i="1"/>
  <c r="AA1651" i="1"/>
  <c r="Z1651" i="1"/>
  <c r="Y1651" i="1"/>
  <c r="X1651" i="1"/>
  <c r="W1651" i="1"/>
  <c r="V1651" i="1"/>
  <c r="U1651" i="1"/>
  <c r="T1651" i="1"/>
  <c r="S1651" i="1"/>
  <c r="R1651" i="1"/>
  <c r="Q1651" i="1"/>
  <c r="P1651" i="1"/>
  <c r="O1651" i="1"/>
  <c r="B1651" i="1"/>
  <c r="H1651" i="1"/>
  <c r="G1651" i="1"/>
  <c r="F1651" i="1"/>
  <c r="E1651" i="1"/>
  <c r="N1651" i="1"/>
  <c r="M1651" i="1"/>
  <c r="L1651" i="1"/>
  <c r="K1651" i="1"/>
  <c r="J1651" i="1"/>
  <c r="I1651" i="1"/>
  <c r="D1651" i="1"/>
  <c r="C1651" i="1"/>
  <c r="A1651" i="1"/>
  <c r="AE1650" i="1"/>
  <c r="AD1650" i="1"/>
  <c r="AC1650" i="1"/>
  <c r="AB1650" i="1"/>
  <c r="AA1650" i="1"/>
  <c r="Z1650" i="1"/>
  <c r="Y1650" i="1"/>
  <c r="X1650" i="1"/>
  <c r="W1650" i="1"/>
  <c r="V1650" i="1"/>
  <c r="U1650" i="1"/>
  <c r="T1650" i="1"/>
  <c r="S1650" i="1"/>
  <c r="R1650" i="1"/>
  <c r="Q1650" i="1"/>
  <c r="P1650" i="1"/>
  <c r="O1650" i="1"/>
  <c r="B1650" i="1"/>
  <c r="H1650" i="1"/>
  <c r="G1650" i="1"/>
  <c r="F1650" i="1"/>
  <c r="E1650" i="1"/>
  <c r="N1650" i="1"/>
  <c r="M1650" i="1"/>
  <c r="L1650" i="1"/>
  <c r="K1650" i="1"/>
  <c r="J1650" i="1"/>
  <c r="I1650" i="1"/>
  <c r="D1650" i="1"/>
  <c r="C1650" i="1"/>
  <c r="A1650" i="1"/>
  <c r="AE1649" i="1"/>
  <c r="AD1649" i="1"/>
  <c r="AC1649" i="1"/>
  <c r="AB1649" i="1"/>
  <c r="AA1649" i="1"/>
  <c r="Z1649" i="1"/>
  <c r="Y1649" i="1"/>
  <c r="X1649" i="1"/>
  <c r="W1649" i="1"/>
  <c r="V1649" i="1"/>
  <c r="U1649" i="1"/>
  <c r="T1649" i="1"/>
  <c r="S1649" i="1"/>
  <c r="R1649" i="1"/>
  <c r="Q1649" i="1"/>
  <c r="P1649" i="1"/>
  <c r="O1649" i="1"/>
  <c r="B1649" i="1"/>
  <c r="H1649" i="1"/>
  <c r="G1649" i="1"/>
  <c r="F1649" i="1"/>
  <c r="E1649" i="1"/>
  <c r="N1649" i="1"/>
  <c r="M1649" i="1"/>
  <c r="L1649" i="1"/>
  <c r="K1649" i="1"/>
  <c r="J1649" i="1"/>
  <c r="I1649" i="1"/>
  <c r="D1649" i="1"/>
  <c r="C1649" i="1"/>
  <c r="A1649" i="1"/>
  <c r="AE1648" i="1"/>
  <c r="AD1648" i="1"/>
  <c r="AC1648" i="1"/>
  <c r="AB1648" i="1"/>
  <c r="AA1648" i="1"/>
  <c r="Z1648" i="1"/>
  <c r="Y1648" i="1"/>
  <c r="X1648" i="1"/>
  <c r="W1648" i="1"/>
  <c r="V1648" i="1"/>
  <c r="U1648" i="1"/>
  <c r="T1648" i="1"/>
  <c r="S1648" i="1"/>
  <c r="R1648" i="1"/>
  <c r="Q1648" i="1"/>
  <c r="P1648" i="1"/>
  <c r="O1648" i="1"/>
  <c r="B1648" i="1"/>
  <c r="H1648" i="1"/>
  <c r="G1648" i="1"/>
  <c r="F1648" i="1"/>
  <c r="E1648" i="1"/>
  <c r="N1648" i="1"/>
  <c r="M1648" i="1"/>
  <c r="L1648" i="1"/>
  <c r="K1648" i="1"/>
  <c r="J1648" i="1"/>
  <c r="I1648" i="1"/>
  <c r="D1648" i="1"/>
  <c r="C1648" i="1"/>
  <c r="A1648" i="1"/>
  <c r="AE1647" i="1"/>
  <c r="AD1647" i="1"/>
  <c r="AC1647" i="1"/>
  <c r="AB1647" i="1"/>
  <c r="AA1647" i="1"/>
  <c r="Z1647" i="1"/>
  <c r="Y1647" i="1"/>
  <c r="X1647" i="1"/>
  <c r="W1647" i="1"/>
  <c r="V1647" i="1"/>
  <c r="U1647" i="1"/>
  <c r="T1647" i="1"/>
  <c r="S1647" i="1"/>
  <c r="R1647" i="1"/>
  <c r="Q1647" i="1"/>
  <c r="P1647" i="1"/>
  <c r="O1647" i="1"/>
  <c r="B1647" i="1"/>
  <c r="H1647" i="1"/>
  <c r="G1647" i="1"/>
  <c r="F1647" i="1"/>
  <c r="E1647" i="1"/>
  <c r="N1647" i="1"/>
  <c r="M1647" i="1"/>
  <c r="L1647" i="1"/>
  <c r="K1647" i="1"/>
  <c r="J1647" i="1"/>
  <c r="I1647" i="1"/>
  <c r="D1647" i="1"/>
  <c r="C1647" i="1"/>
  <c r="A1647" i="1"/>
  <c r="AE1646" i="1"/>
  <c r="AD1646" i="1"/>
  <c r="AC1646" i="1"/>
  <c r="AB1646" i="1"/>
  <c r="AA1646" i="1"/>
  <c r="Z1646" i="1"/>
  <c r="Y1646" i="1"/>
  <c r="X1646" i="1"/>
  <c r="W1646" i="1"/>
  <c r="V1646" i="1"/>
  <c r="U1646" i="1"/>
  <c r="T1646" i="1"/>
  <c r="S1646" i="1"/>
  <c r="R1646" i="1"/>
  <c r="Q1646" i="1"/>
  <c r="P1646" i="1"/>
  <c r="O1646" i="1"/>
  <c r="B1646" i="1"/>
  <c r="H1646" i="1"/>
  <c r="G1646" i="1"/>
  <c r="F1646" i="1"/>
  <c r="E1646" i="1"/>
  <c r="N1646" i="1"/>
  <c r="M1646" i="1"/>
  <c r="L1646" i="1"/>
  <c r="K1646" i="1"/>
  <c r="J1646" i="1"/>
  <c r="I1646" i="1"/>
  <c r="D1646" i="1"/>
  <c r="C1646" i="1"/>
  <c r="A1646" i="1"/>
  <c r="AE1645" i="1"/>
  <c r="AD1645" i="1"/>
  <c r="AC1645" i="1"/>
  <c r="AB1645" i="1"/>
  <c r="AA1645" i="1"/>
  <c r="Z1645" i="1"/>
  <c r="Y1645" i="1"/>
  <c r="X1645" i="1"/>
  <c r="W1645" i="1"/>
  <c r="V1645" i="1"/>
  <c r="U1645" i="1"/>
  <c r="T1645" i="1"/>
  <c r="S1645" i="1"/>
  <c r="R1645" i="1"/>
  <c r="Q1645" i="1"/>
  <c r="P1645" i="1"/>
  <c r="O1645" i="1"/>
  <c r="B1645" i="1"/>
  <c r="H1645" i="1"/>
  <c r="G1645" i="1"/>
  <c r="F1645" i="1"/>
  <c r="E1645" i="1"/>
  <c r="N1645" i="1"/>
  <c r="M1645" i="1"/>
  <c r="L1645" i="1"/>
  <c r="K1645" i="1"/>
  <c r="J1645" i="1"/>
  <c r="I1645" i="1"/>
  <c r="D1645" i="1"/>
  <c r="C1645" i="1"/>
  <c r="A1645" i="1"/>
  <c r="AE1644" i="1"/>
  <c r="AD1644" i="1"/>
  <c r="AC1644" i="1"/>
  <c r="AB1644" i="1"/>
  <c r="AA1644" i="1"/>
  <c r="Z1644" i="1"/>
  <c r="Y1644" i="1"/>
  <c r="X1644" i="1"/>
  <c r="W1644" i="1"/>
  <c r="V1644" i="1"/>
  <c r="U1644" i="1"/>
  <c r="T1644" i="1"/>
  <c r="S1644" i="1"/>
  <c r="R1644" i="1"/>
  <c r="Q1644" i="1"/>
  <c r="P1644" i="1"/>
  <c r="O1644" i="1"/>
  <c r="B1644" i="1"/>
  <c r="H1644" i="1"/>
  <c r="G1644" i="1"/>
  <c r="F1644" i="1"/>
  <c r="E1644" i="1"/>
  <c r="N1644" i="1"/>
  <c r="M1644" i="1"/>
  <c r="L1644" i="1"/>
  <c r="K1644" i="1"/>
  <c r="J1644" i="1"/>
  <c r="I1644" i="1"/>
  <c r="D1644" i="1"/>
  <c r="C1644" i="1"/>
  <c r="A1644" i="1"/>
  <c r="AE1643" i="1"/>
  <c r="AD1643" i="1"/>
  <c r="AC1643" i="1"/>
  <c r="AB1643" i="1"/>
  <c r="AA1643" i="1"/>
  <c r="Z1643" i="1"/>
  <c r="Y1643" i="1"/>
  <c r="X1643" i="1"/>
  <c r="W1643" i="1"/>
  <c r="V1643" i="1"/>
  <c r="U1643" i="1"/>
  <c r="T1643" i="1"/>
  <c r="S1643" i="1"/>
  <c r="R1643" i="1"/>
  <c r="Q1643" i="1"/>
  <c r="P1643" i="1"/>
  <c r="O1643" i="1"/>
  <c r="B1643" i="1"/>
  <c r="H1643" i="1"/>
  <c r="G1643" i="1"/>
  <c r="F1643" i="1"/>
  <c r="E1643" i="1"/>
  <c r="N1643" i="1"/>
  <c r="M1643" i="1"/>
  <c r="L1643" i="1"/>
  <c r="K1643" i="1"/>
  <c r="J1643" i="1"/>
  <c r="I1643" i="1"/>
  <c r="D1643" i="1"/>
  <c r="C1643" i="1"/>
  <c r="A1643" i="1"/>
  <c r="AE1642" i="1"/>
  <c r="AD1642" i="1"/>
  <c r="AC1642" i="1"/>
  <c r="AB1642" i="1"/>
  <c r="AA1642" i="1"/>
  <c r="Z1642" i="1"/>
  <c r="Y1642" i="1"/>
  <c r="X1642" i="1"/>
  <c r="W1642" i="1"/>
  <c r="V1642" i="1"/>
  <c r="U1642" i="1"/>
  <c r="T1642" i="1"/>
  <c r="S1642" i="1"/>
  <c r="R1642" i="1"/>
  <c r="Q1642" i="1"/>
  <c r="P1642" i="1"/>
  <c r="O1642" i="1"/>
  <c r="B1642" i="1"/>
  <c r="H1642" i="1"/>
  <c r="G1642" i="1"/>
  <c r="F1642" i="1"/>
  <c r="E1642" i="1"/>
  <c r="M1642" i="1"/>
  <c r="L1642" i="1"/>
  <c r="K1642" i="1"/>
  <c r="J1642" i="1"/>
  <c r="I1642" i="1"/>
  <c r="D1642" i="1"/>
  <c r="C1642" i="1"/>
  <c r="A1642" i="1"/>
  <c r="AE1641" i="1"/>
  <c r="AD1641" i="1"/>
  <c r="AC1641" i="1"/>
  <c r="AB1641" i="1"/>
  <c r="AA1641" i="1"/>
  <c r="Z1641" i="1"/>
  <c r="Y1641" i="1"/>
  <c r="X1641" i="1"/>
  <c r="W1641" i="1"/>
  <c r="V1641" i="1"/>
  <c r="U1641" i="1"/>
  <c r="T1641" i="1"/>
  <c r="S1641" i="1"/>
  <c r="R1641" i="1"/>
  <c r="Q1641" i="1"/>
  <c r="P1641" i="1"/>
  <c r="O1641" i="1"/>
  <c r="B1641" i="1"/>
  <c r="H1641" i="1"/>
  <c r="G1641" i="1"/>
  <c r="F1641" i="1"/>
  <c r="E1641" i="1"/>
  <c r="N1641" i="1"/>
  <c r="M1641" i="1"/>
  <c r="L1641" i="1"/>
  <c r="K1641" i="1"/>
  <c r="J1641" i="1"/>
  <c r="I1641" i="1"/>
  <c r="D1641" i="1"/>
  <c r="C1641" i="1"/>
  <c r="A1641" i="1"/>
  <c r="AE1640" i="1"/>
  <c r="AD1640" i="1"/>
  <c r="AC1640" i="1"/>
  <c r="AB1640" i="1"/>
  <c r="AA1640" i="1"/>
  <c r="Z1640" i="1"/>
  <c r="Y1640" i="1"/>
  <c r="X1640" i="1"/>
  <c r="W1640" i="1"/>
  <c r="V1640" i="1"/>
  <c r="U1640" i="1"/>
  <c r="T1640" i="1"/>
  <c r="S1640" i="1"/>
  <c r="R1640" i="1"/>
  <c r="Q1640" i="1"/>
  <c r="P1640" i="1"/>
  <c r="O1640" i="1"/>
  <c r="B1640" i="1"/>
  <c r="H1640" i="1"/>
  <c r="G1640" i="1"/>
  <c r="F1640" i="1"/>
  <c r="E1640" i="1"/>
  <c r="N1640" i="1"/>
  <c r="M1640" i="1"/>
  <c r="L1640" i="1"/>
  <c r="K1640" i="1"/>
  <c r="J1640" i="1"/>
  <c r="I1640" i="1"/>
  <c r="D1640" i="1"/>
  <c r="C1640" i="1"/>
  <c r="A1640" i="1"/>
  <c r="AE1639" i="1"/>
  <c r="AD1639" i="1"/>
  <c r="AC1639" i="1"/>
  <c r="AB1639" i="1"/>
  <c r="AA1639" i="1"/>
  <c r="Z1639" i="1"/>
  <c r="Y1639" i="1"/>
  <c r="X1639" i="1"/>
  <c r="W1639" i="1"/>
  <c r="V1639" i="1"/>
  <c r="U1639" i="1"/>
  <c r="T1639" i="1"/>
  <c r="S1639" i="1"/>
  <c r="R1639" i="1"/>
  <c r="Q1639" i="1"/>
  <c r="P1639" i="1"/>
  <c r="O1639" i="1"/>
  <c r="B1639" i="1"/>
  <c r="H1639" i="1"/>
  <c r="G1639" i="1"/>
  <c r="F1639" i="1"/>
  <c r="E1639" i="1"/>
  <c r="N1639" i="1"/>
  <c r="M1639" i="1"/>
  <c r="L1639" i="1"/>
  <c r="K1639" i="1"/>
  <c r="J1639" i="1"/>
  <c r="I1639" i="1"/>
  <c r="D1639" i="1"/>
  <c r="C1639" i="1"/>
  <c r="A1639" i="1"/>
  <c r="AE1638" i="1"/>
  <c r="AD1638" i="1"/>
  <c r="AC1638" i="1"/>
  <c r="AB1638" i="1"/>
  <c r="AA1638" i="1"/>
  <c r="Z1638" i="1"/>
  <c r="Y1638" i="1"/>
  <c r="X1638" i="1"/>
  <c r="W1638" i="1"/>
  <c r="V1638" i="1"/>
  <c r="U1638" i="1"/>
  <c r="T1638" i="1"/>
  <c r="S1638" i="1"/>
  <c r="R1638" i="1"/>
  <c r="Q1638" i="1"/>
  <c r="P1638" i="1"/>
  <c r="O1638" i="1"/>
  <c r="B1638" i="1"/>
  <c r="H1638" i="1"/>
  <c r="G1638" i="1"/>
  <c r="F1638" i="1"/>
  <c r="E1638" i="1"/>
  <c r="N1638" i="1"/>
  <c r="M1638" i="1"/>
  <c r="L1638" i="1"/>
  <c r="K1638" i="1"/>
  <c r="J1638" i="1"/>
  <c r="I1638" i="1"/>
  <c r="D1638" i="1"/>
  <c r="C1638" i="1"/>
  <c r="A1638" i="1"/>
  <c r="AE1637" i="1"/>
  <c r="AD1637" i="1"/>
  <c r="AC1637" i="1"/>
  <c r="AB1637" i="1"/>
  <c r="AA1637" i="1"/>
  <c r="Z1637" i="1"/>
  <c r="Y1637" i="1"/>
  <c r="X1637" i="1"/>
  <c r="W1637" i="1"/>
  <c r="V1637" i="1"/>
  <c r="U1637" i="1"/>
  <c r="T1637" i="1"/>
  <c r="S1637" i="1"/>
  <c r="R1637" i="1"/>
  <c r="Q1637" i="1"/>
  <c r="P1637" i="1"/>
  <c r="O1637" i="1"/>
  <c r="B1637" i="1"/>
  <c r="H1637" i="1"/>
  <c r="G1637" i="1"/>
  <c r="F1637" i="1"/>
  <c r="E1637" i="1"/>
  <c r="N1637" i="1"/>
  <c r="M1637" i="1"/>
  <c r="L1637" i="1"/>
  <c r="K1637" i="1"/>
  <c r="J1637" i="1"/>
  <c r="I1637" i="1"/>
  <c r="D1637" i="1"/>
  <c r="C1637" i="1"/>
  <c r="A1637" i="1"/>
  <c r="AE1636" i="1"/>
  <c r="AD1636" i="1"/>
  <c r="AC1636" i="1"/>
  <c r="AB1636" i="1"/>
  <c r="AA1636" i="1"/>
  <c r="Z1636" i="1"/>
  <c r="Y1636" i="1"/>
  <c r="X1636" i="1"/>
  <c r="W1636" i="1"/>
  <c r="V1636" i="1"/>
  <c r="U1636" i="1"/>
  <c r="T1636" i="1"/>
  <c r="S1636" i="1"/>
  <c r="R1636" i="1"/>
  <c r="Q1636" i="1"/>
  <c r="P1636" i="1"/>
  <c r="O1636" i="1"/>
  <c r="B1636" i="1"/>
  <c r="H1636" i="1"/>
  <c r="G1636" i="1"/>
  <c r="F1636" i="1"/>
  <c r="E1636" i="1"/>
  <c r="N1636" i="1"/>
  <c r="M1636" i="1"/>
  <c r="L1636" i="1"/>
  <c r="K1636" i="1"/>
  <c r="J1636" i="1"/>
  <c r="I1636" i="1"/>
  <c r="D1636" i="1"/>
  <c r="C1636" i="1"/>
  <c r="A1636" i="1"/>
  <c r="AE1635" i="1"/>
  <c r="AD1635" i="1"/>
  <c r="AC1635" i="1"/>
  <c r="AB1635" i="1"/>
  <c r="AA1635" i="1"/>
  <c r="Z1635" i="1"/>
  <c r="Y1635" i="1"/>
  <c r="X1635" i="1"/>
  <c r="W1635" i="1"/>
  <c r="V1635" i="1"/>
  <c r="U1635" i="1"/>
  <c r="T1635" i="1"/>
  <c r="S1635" i="1"/>
  <c r="R1635" i="1"/>
  <c r="Q1635" i="1"/>
  <c r="P1635" i="1"/>
  <c r="O1635" i="1"/>
  <c r="B1635" i="1"/>
  <c r="H1635" i="1"/>
  <c r="G1635" i="1"/>
  <c r="F1635" i="1"/>
  <c r="E1635" i="1"/>
  <c r="N1635" i="1"/>
  <c r="M1635" i="1"/>
  <c r="L1635" i="1"/>
  <c r="K1635" i="1"/>
  <c r="J1635" i="1"/>
  <c r="I1635" i="1"/>
  <c r="D1635" i="1"/>
  <c r="C1635" i="1"/>
  <c r="A1635" i="1"/>
  <c r="AE1634" i="1"/>
  <c r="AD1634" i="1"/>
  <c r="AC1634" i="1"/>
  <c r="AB1634" i="1"/>
  <c r="AA1634" i="1"/>
  <c r="Z1634" i="1"/>
  <c r="Y1634" i="1"/>
  <c r="X1634" i="1"/>
  <c r="W1634" i="1"/>
  <c r="V1634" i="1"/>
  <c r="U1634" i="1"/>
  <c r="T1634" i="1"/>
  <c r="S1634" i="1"/>
  <c r="R1634" i="1"/>
  <c r="Q1634" i="1"/>
  <c r="P1634" i="1"/>
  <c r="O1634" i="1"/>
  <c r="B1634" i="1"/>
  <c r="H1634" i="1"/>
  <c r="G1634" i="1"/>
  <c r="F1634" i="1"/>
  <c r="E1634" i="1"/>
  <c r="N1634" i="1"/>
  <c r="M1634" i="1"/>
  <c r="L1634" i="1"/>
  <c r="K1634" i="1"/>
  <c r="J1634" i="1"/>
  <c r="I1634" i="1"/>
  <c r="D1634" i="1"/>
  <c r="C1634" i="1"/>
  <c r="A1634" i="1"/>
  <c r="AE1633" i="1"/>
  <c r="AD1633" i="1"/>
  <c r="AC1633" i="1"/>
  <c r="AB1633" i="1"/>
  <c r="AA1633" i="1"/>
  <c r="Z1633" i="1"/>
  <c r="Y1633" i="1"/>
  <c r="X1633" i="1"/>
  <c r="W1633" i="1"/>
  <c r="V1633" i="1"/>
  <c r="U1633" i="1"/>
  <c r="T1633" i="1"/>
  <c r="S1633" i="1"/>
  <c r="R1633" i="1"/>
  <c r="Q1633" i="1"/>
  <c r="P1633" i="1"/>
  <c r="O1633" i="1"/>
  <c r="B1633" i="1"/>
  <c r="H1633" i="1"/>
  <c r="G1633" i="1"/>
  <c r="F1633" i="1"/>
  <c r="E1633" i="1"/>
  <c r="N1633" i="1"/>
  <c r="M1633" i="1"/>
  <c r="L1633" i="1"/>
  <c r="K1633" i="1"/>
  <c r="J1633" i="1"/>
  <c r="I1633" i="1"/>
  <c r="D1633" i="1"/>
  <c r="C1633" i="1"/>
  <c r="A1633" i="1"/>
  <c r="AE1632" i="1"/>
  <c r="AD1632" i="1"/>
  <c r="AC1632" i="1"/>
  <c r="AB1632" i="1"/>
  <c r="AA1632" i="1"/>
  <c r="Z1632" i="1"/>
  <c r="Y1632" i="1"/>
  <c r="X1632" i="1"/>
  <c r="W1632" i="1"/>
  <c r="V1632" i="1"/>
  <c r="U1632" i="1"/>
  <c r="T1632" i="1"/>
  <c r="S1632" i="1"/>
  <c r="R1632" i="1"/>
  <c r="Q1632" i="1"/>
  <c r="P1632" i="1"/>
  <c r="O1632" i="1"/>
  <c r="B1632" i="1"/>
  <c r="H1632" i="1"/>
  <c r="G1632" i="1"/>
  <c r="F1632" i="1"/>
  <c r="E1632" i="1"/>
  <c r="N1632" i="1"/>
  <c r="M1632" i="1"/>
  <c r="L1632" i="1"/>
  <c r="K1632" i="1"/>
  <c r="J1632" i="1"/>
  <c r="I1632" i="1"/>
  <c r="D1632" i="1"/>
  <c r="C1632" i="1"/>
  <c r="A1632" i="1"/>
  <c r="AE1631" i="1"/>
  <c r="AD1631" i="1"/>
  <c r="AC1631" i="1"/>
  <c r="AB1631" i="1"/>
  <c r="AA1631" i="1"/>
  <c r="Z1631" i="1"/>
  <c r="Y1631" i="1"/>
  <c r="X1631" i="1"/>
  <c r="W1631" i="1"/>
  <c r="V1631" i="1"/>
  <c r="U1631" i="1"/>
  <c r="T1631" i="1"/>
  <c r="S1631" i="1"/>
  <c r="R1631" i="1"/>
  <c r="Q1631" i="1"/>
  <c r="P1631" i="1"/>
  <c r="O1631" i="1"/>
  <c r="B1631" i="1"/>
  <c r="H1631" i="1"/>
  <c r="G1631" i="1"/>
  <c r="F1631" i="1"/>
  <c r="E1631" i="1"/>
  <c r="N1631" i="1"/>
  <c r="M1631" i="1"/>
  <c r="L1631" i="1"/>
  <c r="K1631" i="1"/>
  <c r="J1631" i="1"/>
  <c r="I1631" i="1"/>
  <c r="D1631" i="1"/>
  <c r="C1631" i="1"/>
  <c r="A1631" i="1"/>
  <c r="AE1630" i="1"/>
  <c r="AD1630" i="1"/>
  <c r="AC1630" i="1"/>
  <c r="AB1630" i="1"/>
  <c r="AA1630" i="1"/>
  <c r="Z1630" i="1"/>
  <c r="Y1630" i="1"/>
  <c r="X1630" i="1"/>
  <c r="W1630" i="1"/>
  <c r="V1630" i="1"/>
  <c r="U1630" i="1"/>
  <c r="T1630" i="1"/>
  <c r="S1630" i="1"/>
  <c r="R1630" i="1"/>
  <c r="Q1630" i="1"/>
  <c r="P1630" i="1"/>
  <c r="O1630" i="1"/>
  <c r="B1630" i="1"/>
  <c r="H1630" i="1"/>
  <c r="G1630" i="1"/>
  <c r="F1630" i="1"/>
  <c r="E1630" i="1"/>
  <c r="N1630" i="1"/>
  <c r="M1630" i="1"/>
  <c r="L1630" i="1"/>
  <c r="K1630" i="1"/>
  <c r="J1630" i="1"/>
  <c r="I1630" i="1"/>
  <c r="D1630" i="1"/>
  <c r="C1630" i="1"/>
  <c r="A1630" i="1"/>
  <c r="AE1629" i="1"/>
  <c r="AD1629" i="1"/>
  <c r="AC1629" i="1"/>
  <c r="AB1629" i="1"/>
  <c r="AA1629" i="1"/>
  <c r="Z1629" i="1"/>
  <c r="Y1629" i="1"/>
  <c r="X1629" i="1"/>
  <c r="W1629" i="1"/>
  <c r="V1629" i="1"/>
  <c r="U1629" i="1"/>
  <c r="T1629" i="1"/>
  <c r="S1629" i="1"/>
  <c r="R1629" i="1"/>
  <c r="Q1629" i="1"/>
  <c r="P1629" i="1"/>
  <c r="O1629" i="1"/>
  <c r="B1629" i="1"/>
  <c r="H1629" i="1"/>
  <c r="G1629" i="1"/>
  <c r="F1629" i="1"/>
  <c r="E1629" i="1"/>
  <c r="N1629" i="1"/>
  <c r="M1629" i="1"/>
  <c r="L1629" i="1"/>
  <c r="K1629" i="1"/>
  <c r="J1629" i="1"/>
  <c r="I1629" i="1"/>
  <c r="D1629" i="1"/>
  <c r="C1629" i="1"/>
  <c r="A1629" i="1"/>
  <c r="AE1628" i="1"/>
  <c r="AD1628" i="1"/>
  <c r="AC1628" i="1"/>
  <c r="AB1628" i="1"/>
  <c r="AA1628" i="1"/>
  <c r="Z1628" i="1"/>
  <c r="Y1628" i="1"/>
  <c r="X1628" i="1"/>
  <c r="W1628" i="1"/>
  <c r="V1628" i="1"/>
  <c r="U1628" i="1"/>
  <c r="T1628" i="1"/>
  <c r="S1628" i="1"/>
  <c r="R1628" i="1"/>
  <c r="Q1628" i="1"/>
  <c r="P1628" i="1"/>
  <c r="O1628" i="1"/>
  <c r="B1628" i="1"/>
  <c r="H1628" i="1"/>
  <c r="G1628" i="1"/>
  <c r="F1628" i="1"/>
  <c r="E1628" i="1"/>
  <c r="N1628" i="1"/>
  <c r="M1628" i="1"/>
  <c r="L1628" i="1"/>
  <c r="K1628" i="1"/>
  <c r="J1628" i="1"/>
  <c r="I1628" i="1"/>
  <c r="D1628" i="1"/>
  <c r="C1628" i="1"/>
  <c r="A1628" i="1"/>
  <c r="AE1627" i="1"/>
  <c r="AD1627" i="1"/>
  <c r="AC1627" i="1"/>
  <c r="AB1627" i="1"/>
  <c r="AA1627" i="1"/>
  <c r="Z1627" i="1"/>
  <c r="Y1627" i="1"/>
  <c r="X1627" i="1"/>
  <c r="W1627" i="1"/>
  <c r="V1627" i="1"/>
  <c r="U1627" i="1"/>
  <c r="T1627" i="1"/>
  <c r="S1627" i="1"/>
  <c r="R1627" i="1"/>
  <c r="Q1627" i="1"/>
  <c r="P1627" i="1"/>
  <c r="O1627" i="1"/>
  <c r="B1627" i="1"/>
  <c r="H1627" i="1"/>
  <c r="G1627" i="1"/>
  <c r="F1627" i="1"/>
  <c r="E1627" i="1"/>
  <c r="N1627" i="1"/>
  <c r="M1627" i="1"/>
  <c r="L1627" i="1"/>
  <c r="K1627" i="1"/>
  <c r="J1627" i="1"/>
  <c r="I1627" i="1"/>
  <c r="D1627" i="1"/>
  <c r="C1627" i="1"/>
  <c r="A1627" i="1"/>
  <c r="AE1626" i="1"/>
  <c r="AD1626" i="1"/>
  <c r="AC1626" i="1"/>
  <c r="AB1626" i="1"/>
  <c r="AA1626" i="1"/>
  <c r="Z1626" i="1"/>
  <c r="Y1626" i="1"/>
  <c r="X1626" i="1"/>
  <c r="W1626" i="1"/>
  <c r="V1626" i="1"/>
  <c r="U1626" i="1"/>
  <c r="T1626" i="1"/>
  <c r="S1626" i="1"/>
  <c r="R1626" i="1"/>
  <c r="Q1626" i="1"/>
  <c r="P1626" i="1"/>
  <c r="O1626" i="1"/>
  <c r="B1626" i="1"/>
  <c r="H1626" i="1"/>
  <c r="G1626" i="1"/>
  <c r="F1626" i="1"/>
  <c r="E1626" i="1"/>
  <c r="N1626" i="1"/>
  <c r="M1626" i="1"/>
  <c r="L1626" i="1"/>
  <c r="K1626" i="1"/>
  <c r="J1626" i="1"/>
  <c r="I1626" i="1"/>
  <c r="D1626" i="1"/>
  <c r="C1626" i="1"/>
  <c r="A1626" i="1"/>
  <c r="AE1625" i="1"/>
  <c r="AD1625" i="1"/>
  <c r="AC1625" i="1"/>
  <c r="AB1625" i="1"/>
  <c r="AA1625" i="1"/>
  <c r="Z1625" i="1"/>
  <c r="Y1625" i="1"/>
  <c r="X1625" i="1"/>
  <c r="W1625" i="1"/>
  <c r="V1625" i="1"/>
  <c r="U1625" i="1"/>
  <c r="T1625" i="1"/>
  <c r="S1625" i="1"/>
  <c r="R1625" i="1"/>
  <c r="Q1625" i="1"/>
  <c r="P1625" i="1"/>
  <c r="O1625" i="1"/>
  <c r="B1625" i="1"/>
  <c r="H1625" i="1"/>
  <c r="G1625" i="1"/>
  <c r="F1625" i="1"/>
  <c r="E1625" i="1"/>
  <c r="N1625" i="1"/>
  <c r="M1625" i="1"/>
  <c r="L1625" i="1"/>
  <c r="K1625" i="1"/>
  <c r="J1625" i="1"/>
  <c r="I1625" i="1"/>
  <c r="D1625" i="1"/>
  <c r="C1625" i="1"/>
  <c r="A1625" i="1"/>
  <c r="AE1624" i="1"/>
  <c r="AD1624" i="1"/>
  <c r="AC1624" i="1"/>
  <c r="AB1624" i="1"/>
  <c r="AA1624" i="1"/>
  <c r="Z1624" i="1"/>
  <c r="Y1624" i="1"/>
  <c r="X1624" i="1"/>
  <c r="W1624" i="1"/>
  <c r="V1624" i="1"/>
  <c r="U1624" i="1"/>
  <c r="T1624" i="1"/>
  <c r="S1624" i="1"/>
  <c r="R1624" i="1"/>
  <c r="Q1624" i="1"/>
  <c r="P1624" i="1"/>
  <c r="O1624" i="1"/>
  <c r="B1624" i="1"/>
  <c r="H1624" i="1"/>
  <c r="G1624" i="1"/>
  <c r="F1624" i="1"/>
  <c r="E1624" i="1"/>
  <c r="N1624" i="1"/>
  <c r="M1624" i="1"/>
  <c r="L1624" i="1"/>
  <c r="K1624" i="1"/>
  <c r="J1624" i="1"/>
  <c r="I1624" i="1"/>
  <c r="D1624" i="1"/>
  <c r="C1624" i="1"/>
  <c r="A1624" i="1"/>
  <c r="AE1623" i="1"/>
  <c r="AD1623" i="1"/>
  <c r="AC1623" i="1"/>
  <c r="AB1623" i="1"/>
  <c r="AA1623" i="1"/>
  <c r="Z1623" i="1"/>
  <c r="Y1623" i="1"/>
  <c r="X1623" i="1"/>
  <c r="W1623" i="1"/>
  <c r="V1623" i="1"/>
  <c r="U1623" i="1"/>
  <c r="T1623" i="1"/>
  <c r="S1623" i="1"/>
  <c r="R1623" i="1"/>
  <c r="Q1623" i="1"/>
  <c r="P1623" i="1"/>
  <c r="O1623" i="1"/>
  <c r="B1623" i="1"/>
  <c r="H1623" i="1"/>
  <c r="G1623" i="1"/>
  <c r="F1623" i="1"/>
  <c r="E1623" i="1"/>
  <c r="N1623" i="1"/>
  <c r="M1623" i="1"/>
  <c r="L1623" i="1"/>
  <c r="K1623" i="1"/>
  <c r="J1623" i="1"/>
  <c r="I1623" i="1"/>
  <c r="D1623" i="1"/>
  <c r="C1623" i="1"/>
  <c r="A1623" i="1"/>
  <c r="AE1622" i="1"/>
  <c r="AD1622" i="1"/>
  <c r="AC1622" i="1"/>
  <c r="AB1622" i="1"/>
  <c r="AA1622" i="1"/>
  <c r="Z1622" i="1"/>
  <c r="Y1622" i="1"/>
  <c r="X1622" i="1"/>
  <c r="W1622" i="1"/>
  <c r="V1622" i="1"/>
  <c r="U1622" i="1"/>
  <c r="T1622" i="1"/>
  <c r="S1622" i="1"/>
  <c r="R1622" i="1"/>
  <c r="Q1622" i="1"/>
  <c r="P1622" i="1"/>
  <c r="O1622" i="1"/>
  <c r="B1622" i="1"/>
  <c r="H1622" i="1"/>
  <c r="G1622" i="1"/>
  <c r="F1622" i="1"/>
  <c r="E1622" i="1"/>
  <c r="N1622" i="1"/>
  <c r="M1622" i="1"/>
  <c r="L1622" i="1"/>
  <c r="K1622" i="1"/>
  <c r="J1622" i="1"/>
  <c r="I1622" i="1"/>
  <c r="D1622" i="1"/>
  <c r="C1622" i="1"/>
  <c r="A1622" i="1"/>
  <c r="AE1621" i="1"/>
  <c r="AD1621" i="1"/>
  <c r="AC1621" i="1"/>
  <c r="AB1621" i="1"/>
  <c r="AA1621" i="1"/>
  <c r="Z1621" i="1"/>
  <c r="Y1621" i="1"/>
  <c r="X1621" i="1"/>
  <c r="W1621" i="1"/>
  <c r="V1621" i="1"/>
  <c r="U1621" i="1"/>
  <c r="T1621" i="1"/>
  <c r="S1621" i="1"/>
  <c r="R1621" i="1"/>
  <c r="Q1621" i="1"/>
  <c r="P1621" i="1"/>
  <c r="O1621" i="1"/>
  <c r="B1621" i="1"/>
  <c r="H1621" i="1"/>
  <c r="G1621" i="1"/>
  <c r="F1621" i="1"/>
  <c r="E1621" i="1"/>
  <c r="N1621" i="1"/>
  <c r="M1621" i="1"/>
  <c r="L1621" i="1"/>
  <c r="K1621" i="1"/>
  <c r="J1621" i="1"/>
  <c r="I1621" i="1"/>
  <c r="D1621" i="1"/>
  <c r="C1621" i="1"/>
  <c r="A1621" i="1"/>
  <c r="AE1620" i="1"/>
  <c r="AD1620" i="1"/>
  <c r="AC1620" i="1"/>
  <c r="AB1620" i="1"/>
  <c r="AA1620" i="1"/>
  <c r="Z1620" i="1"/>
  <c r="Y1620" i="1"/>
  <c r="X1620" i="1"/>
  <c r="W1620" i="1"/>
  <c r="V1620" i="1"/>
  <c r="U1620" i="1"/>
  <c r="T1620" i="1"/>
  <c r="S1620" i="1"/>
  <c r="R1620" i="1"/>
  <c r="Q1620" i="1"/>
  <c r="P1620" i="1"/>
  <c r="O1620" i="1"/>
  <c r="B1620" i="1"/>
  <c r="H1620" i="1"/>
  <c r="G1620" i="1"/>
  <c r="F1620" i="1"/>
  <c r="E1620" i="1"/>
  <c r="N1620" i="1"/>
  <c r="M1620" i="1"/>
  <c r="L1620" i="1"/>
  <c r="K1620" i="1"/>
  <c r="J1620" i="1"/>
  <c r="I1620" i="1"/>
  <c r="D1620" i="1"/>
  <c r="C1620" i="1"/>
  <c r="A1620" i="1"/>
  <c r="AE1619" i="1"/>
  <c r="AD1619" i="1"/>
  <c r="AC1619" i="1"/>
  <c r="AB1619" i="1"/>
  <c r="AA1619" i="1"/>
  <c r="Z1619" i="1"/>
  <c r="Y1619" i="1"/>
  <c r="X1619" i="1"/>
  <c r="W1619" i="1"/>
  <c r="V1619" i="1"/>
  <c r="U1619" i="1"/>
  <c r="T1619" i="1"/>
  <c r="S1619" i="1"/>
  <c r="R1619" i="1"/>
  <c r="Q1619" i="1"/>
  <c r="P1619" i="1"/>
  <c r="O1619" i="1"/>
  <c r="B1619" i="1"/>
  <c r="H1619" i="1"/>
  <c r="G1619" i="1"/>
  <c r="F1619" i="1"/>
  <c r="E1619" i="1"/>
  <c r="N1619" i="1"/>
  <c r="M1619" i="1"/>
  <c r="L1619" i="1"/>
  <c r="K1619" i="1"/>
  <c r="J1619" i="1"/>
  <c r="I1619" i="1"/>
  <c r="D1619" i="1"/>
  <c r="C1619" i="1"/>
  <c r="A1619" i="1"/>
  <c r="AE1618" i="1"/>
  <c r="AD1618" i="1"/>
  <c r="AC1618" i="1"/>
  <c r="AB1618" i="1"/>
  <c r="AA1618" i="1"/>
  <c r="Z1618" i="1"/>
  <c r="Y1618" i="1"/>
  <c r="X1618" i="1"/>
  <c r="W1618" i="1"/>
  <c r="V1618" i="1"/>
  <c r="U1618" i="1"/>
  <c r="T1618" i="1"/>
  <c r="S1618" i="1"/>
  <c r="R1618" i="1"/>
  <c r="Q1618" i="1"/>
  <c r="P1618" i="1"/>
  <c r="O1618" i="1"/>
  <c r="B1618" i="1"/>
  <c r="H1618" i="1"/>
  <c r="G1618" i="1"/>
  <c r="F1618" i="1"/>
  <c r="E1618" i="1"/>
  <c r="N1618" i="1"/>
  <c r="M1618" i="1"/>
  <c r="L1618" i="1"/>
  <c r="K1618" i="1"/>
  <c r="J1618" i="1"/>
  <c r="I1618" i="1"/>
  <c r="D1618" i="1"/>
  <c r="C1618" i="1"/>
  <c r="A1618" i="1"/>
  <c r="AE1617" i="1"/>
  <c r="AD1617" i="1"/>
  <c r="AC1617" i="1"/>
  <c r="AB1617" i="1"/>
  <c r="AA1617" i="1"/>
  <c r="Z1617" i="1"/>
  <c r="Y1617" i="1"/>
  <c r="X1617" i="1"/>
  <c r="W1617" i="1"/>
  <c r="V1617" i="1"/>
  <c r="U1617" i="1"/>
  <c r="T1617" i="1"/>
  <c r="S1617" i="1"/>
  <c r="R1617" i="1"/>
  <c r="Q1617" i="1"/>
  <c r="P1617" i="1"/>
  <c r="O1617" i="1"/>
  <c r="B1617" i="1"/>
  <c r="H1617" i="1"/>
  <c r="G1617" i="1"/>
  <c r="F1617" i="1"/>
  <c r="E1617" i="1"/>
  <c r="N1617" i="1"/>
  <c r="M1617" i="1"/>
  <c r="L1617" i="1"/>
  <c r="K1617" i="1"/>
  <c r="J1617" i="1"/>
  <c r="I1617" i="1"/>
  <c r="D1617" i="1"/>
  <c r="C1617" i="1"/>
  <c r="A1617" i="1"/>
  <c r="AE1616" i="1"/>
  <c r="AD1616" i="1"/>
  <c r="AC1616" i="1"/>
  <c r="AB1616" i="1"/>
  <c r="AA1616" i="1"/>
  <c r="Z1616" i="1"/>
  <c r="Y1616" i="1"/>
  <c r="X1616" i="1"/>
  <c r="W1616" i="1"/>
  <c r="V1616" i="1"/>
  <c r="U1616" i="1"/>
  <c r="T1616" i="1"/>
  <c r="S1616" i="1"/>
  <c r="R1616" i="1"/>
  <c r="Q1616" i="1"/>
  <c r="P1616" i="1"/>
  <c r="O1616" i="1"/>
  <c r="B1616" i="1"/>
  <c r="H1616" i="1"/>
  <c r="G1616" i="1"/>
  <c r="F1616" i="1"/>
  <c r="E1616" i="1"/>
  <c r="N1616" i="1"/>
  <c r="M1616" i="1"/>
  <c r="L1616" i="1"/>
  <c r="K1616" i="1"/>
  <c r="J1616" i="1"/>
  <c r="I1616" i="1"/>
  <c r="D1616" i="1"/>
  <c r="C1616" i="1"/>
  <c r="A1616" i="1"/>
  <c r="AE1615" i="1"/>
  <c r="AD1615" i="1"/>
  <c r="AC1615" i="1"/>
  <c r="AB1615" i="1"/>
  <c r="AA1615" i="1"/>
  <c r="Z1615" i="1"/>
  <c r="Y1615" i="1"/>
  <c r="X1615" i="1"/>
  <c r="W1615" i="1"/>
  <c r="V1615" i="1"/>
  <c r="U1615" i="1"/>
  <c r="T1615" i="1"/>
  <c r="S1615" i="1"/>
  <c r="R1615" i="1"/>
  <c r="Q1615" i="1"/>
  <c r="P1615" i="1"/>
  <c r="O1615" i="1"/>
  <c r="B1615" i="1"/>
  <c r="H1615" i="1"/>
  <c r="G1615" i="1"/>
  <c r="F1615" i="1"/>
  <c r="E1615" i="1"/>
  <c r="N1615" i="1"/>
  <c r="M1615" i="1"/>
  <c r="L1615" i="1"/>
  <c r="K1615" i="1"/>
  <c r="J1615" i="1"/>
  <c r="I1615" i="1"/>
  <c r="D1615" i="1"/>
  <c r="C1615" i="1"/>
  <c r="A1615" i="1"/>
  <c r="AE1614" i="1"/>
  <c r="AD1614" i="1"/>
  <c r="AC1614" i="1"/>
  <c r="AB1614" i="1"/>
  <c r="AA1614" i="1"/>
  <c r="Z1614" i="1"/>
  <c r="Y1614" i="1"/>
  <c r="X1614" i="1"/>
  <c r="W1614" i="1"/>
  <c r="V1614" i="1"/>
  <c r="U1614" i="1"/>
  <c r="T1614" i="1"/>
  <c r="S1614" i="1"/>
  <c r="R1614" i="1"/>
  <c r="Q1614" i="1"/>
  <c r="P1614" i="1"/>
  <c r="O1614" i="1"/>
  <c r="B1614" i="1"/>
  <c r="H1614" i="1"/>
  <c r="G1614" i="1"/>
  <c r="F1614" i="1"/>
  <c r="E1614" i="1"/>
  <c r="N1614" i="1"/>
  <c r="M1614" i="1"/>
  <c r="L1614" i="1"/>
  <c r="K1614" i="1"/>
  <c r="J1614" i="1"/>
  <c r="I1614" i="1"/>
  <c r="D1614" i="1"/>
  <c r="C1614" i="1"/>
  <c r="A1614" i="1"/>
  <c r="AE1613" i="1"/>
  <c r="AD1613" i="1"/>
  <c r="AC1613" i="1"/>
  <c r="AB1613" i="1"/>
  <c r="AA1613" i="1"/>
  <c r="Z1613" i="1"/>
  <c r="Y1613" i="1"/>
  <c r="X1613" i="1"/>
  <c r="W1613" i="1"/>
  <c r="V1613" i="1"/>
  <c r="U1613" i="1"/>
  <c r="T1613" i="1"/>
  <c r="S1613" i="1"/>
  <c r="R1613" i="1"/>
  <c r="Q1613" i="1"/>
  <c r="P1613" i="1"/>
  <c r="O1613" i="1"/>
  <c r="B1613" i="1"/>
  <c r="H1613" i="1"/>
  <c r="G1613" i="1"/>
  <c r="F1613" i="1"/>
  <c r="E1613" i="1"/>
  <c r="N1613" i="1"/>
  <c r="M1613" i="1"/>
  <c r="L1613" i="1"/>
  <c r="K1613" i="1"/>
  <c r="J1613" i="1"/>
  <c r="I1613" i="1"/>
  <c r="D1613" i="1"/>
  <c r="C1613" i="1"/>
  <c r="A1613" i="1"/>
  <c r="AE1612" i="1"/>
  <c r="AD1612" i="1"/>
  <c r="AC1612" i="1"/>
  <c r="AB1612" i="1"/>
  <c r="AA1612" i="1"/>
  <c r="Z1612" i="1"/>
  <c r="Y1612" i="1"/>
  <c r="X1612" i="1"/>
  <c r="W1612" i="1"/>
  <c r="V1612" i="1"/>
  <c r="U1612" i="1"/>
  <c r="T1612" i="1"/>
  <c r="S1612" i="1"/>
  <c r="R1612" i="1"/>
  <c r="Q1612" i="1"/>
  <c r="P1612" i="1"/>
  <c r="O1612" i="1"/>
  <c r="B1612" i="1"/>
  <c r="H1612" i="1"/>
  <c r="G1612" i="1"/>
  <c r="F1612" i="1"/>
  <c r="E1612" i="1"/>
  <c r="N1612" i="1"/>
  <c r="M1612" i="1"/>
  <c r="L1612" i="1"/>
  <c r="K1612" i="1"/>
  <c r="J1612" i="1"/>
  <c r="I1612" i="1"/>
  <c r="D1612" i="1"/>
  <c r="C1612" i="1"/>
  <c r="A1612" i="1"/>
  <c r="AE1611" i="1"/>
  <c r="AD1611" i="1"/>
  <c r="AC1611" i="1"/>
  <c r="AB1611" i="1"/>
  <c r="AA1611" i="1"/>
  <c r="Z1611" i="1"/>
  <c r="Y1611" i="1"/>
  <c r="X1611" i="1"/>
  <c r="W1611" i="1"/>
  <c r="V1611" i="1"/>
  <c r="U1611" i="1"/>
  <c r="T1611" i="1"/>
  <c r="S1611" i="1"/>
  <c r="R1611" i="1"/>
  <c r="Q1611" i="1"/>
  <c r="P1611" i="1"/>
  <c r="O1611" i="1"/>
  <c r="B1611" i="1"/>
  <c r="H1611" i="1"/>
  <c r="G1611" i="1"/>
  <c r="F1611" i="1"/>
  <c r="E1611" i="1"/>
  <c r="N1611" i="1"/>
  <c r="M1611" i="1"/>
  <c r="L1611" i="1"/>
  <c r="K1611" i="1"/>
  <c r="J1611" i="1"/>
  <c r="I1611" i="1"/>
  <c r="D1611" i="1"/>
  <c r="C1611" i="1"/>
  <c r="A1611" i="1"/>
  <c r="AE1610" i="1"/>
  <c r="AD1610" i="1"/>
  <c r="AC1610" i="1"/>
  <c r="AB1610" i="1"/>
  <c r="AA1610" i="1"/>
  <c r="Z1610" i="1"/>
  <c r="Y1610" i="1"/>
  <c r="X1610" i="1"/>
  <c r="W1610" i="1"/>
  <c r="V1610" i="1"/>
  <c r="U1610" i="1"/>
  <c r="T1610" i="1"/>
  <c r="S1610" i="1"/>
  <c r="R1610" i="1"/>
  <c r="Q1610" i="1"/>
  <c r="P1610" i="1"/>
  <c r="O1610" i="1"/>
  <c r="B1610" i="1"/>
  <c r="H1610" i="1"/>
  <c r="G1610" i="1"/>
  <c r="F1610" i="1"/>
  <c r="E1610" i="1"/>
  <c r="N1610" i="1"/>
  <c r="M1610" i="1"/>
  <c r="L1610" i="1"/>
  <c r="K1610" i="1"/>
  <c r="J1610" i="1"/>
  <c r="I1610" i="1"/>
  <c r="D1610" i="1"/>
  <c r="C1610" i="1"/>
  <c r="A1610" i="1"/>
  <c r="AE1609" i="1"/>
  <c r="AD1609" i="1"/>
  <c r="AC1609" i="1"/>
  <c r="AB1609" i="1"/>
  <c r="AA1609" i="1"/>
  <c r="Z1609" i="1"/>
  <c r="Y1609" i="1"/>
  <c r="X1609" i="1"/>
  <c r="W1609" i="1"/>
  <c r="V1609" i="1"/>
  <c r="U1609" i="1"/>
  <c r="T1609" i="1"/>
  <c r="S1609" i="1"/>
  <c r="R1609" i="1"/>
  <c r="Q1609" i="1"/>
  <c r="P1609" i="1"/>
  <c r="O1609" i="1"/>
  <c r="B1609" i="1"/>
  <c r="H1609" i="1"/>
  <c r="G1609" i="1"/>
  <c r="F1609" i="1"/>
  <c r="E1609" i="1"/>
  <c r="N1609" i="1"/>
  <c r="M1609" i="1"/>
  <c r="L1609" i="1"/>
  <c r="K1609" i="1"/>
  <c r="J1609" i="1"/>
  <c r="I1609" i="1"/>
  <c r="D1609" i="1"/>
  <c r="C1609" i="1"/>
  <c r="A1609" i="1"/>
  <c r="AE1608" i="1"/>
  <c r="AD1608" i="1"/>
  <c r="AC1608" i="1"/>
  <c r="AB1608" i="1"/>
  <c r="AA1608" i="1"/>
  <c r="Z1608" i="1"/>
  <c r="Y1608" i="1"/>
  <c r="X1608" i="1"/>
  <c r="W1608" i="1"/>
  <c r="V1608" i="1"/>
  <c r="U1608" i="1"/>
  <c r="T1608" i="1"/>
  <c r="S1608" i="1"/>
  <c r="R1608" i="1"/>
  <c r="Q1608" i="1"/>
  <c r="P1608" i="1"/>
  <c r="O1608" i="1"/>
  <c r="B1608" i="1"/>
  <c r="H1608" i="1"/>
  <c r="G1608" i="1"/>
  <c r="F1608" i="1"/>
  <c r="E1608" i="1"/>
  <c r="N1608" i="1"/>
  <c r="M1608" i="1"/>
  <c r="L1608" i="1"/>
  <c r="K1608" i="1"/>
  <c r="J1608" i="1"/>
  <c r="I1608" i="1"/>
  <c r="D1608" i="1"/>
  <c r="C1608" i="1"/>
  <c r="A1608" i="1"/>
  <c r="AE1607" i="1"/>
  <c r="AD1607" i="1"/>
  <c r="AC1607" i="1"/>
  <c r="AB1607" i="1"/>
  <c r="AA1607" i="1"/>
  <c r="Z1607" i="1"/>
  <c r="Y1607" i="1"/>
  <c r="X1607" i="1"/>
  <c r="W1607" i="1"/>
  <c r="V1607" i="1"/>
  <c r="U1607" i="1"/>
  <c r="T1607" i="1"/>
  <c r="S1607" i="1"/>
  <c r="R1607" i="1"/>
  <c r="Q1607" i="1"/>
  <c r="P1607" i="1"/>
  <c r="O1607" i="1"/>
  <c r="B1607" i="1"/>
  <c r="H1607" i="1"/>
  <c r="G1607" i="1"/>
  <c r="F1607" i="1"/>
  <c r="E1607" i="1"/>
  <c r="N1607" i="1"/>
  <c r="M1607" i="1"/>
  <c r="L1607" i="1"/>
  <c r="K1607" i="1"/>
  <c r="J1607" i="1"/>
  <c r="I1607" i="1"/>
  <c r="D1607" i="1"/>
  <c r="C1607" i="1"/>
  <c r="A1607" i="1"/>
  <c r="AE1606" i="1"/>
  <c r="AD1606" i="1"/>
  <c r="AC1606" i="1"/>
  <c r="AB1606" i="1"/>
  <c r="AA1606" i="1"/>
  <c r="Z1606" i="1"/>
  <c r="Y1606" i="1"/>
  <c r="X1606" i="1"/>
  <c r="W1606" i="1"/>
  <c r="V1606" i="1"/>
  <c r="U1606" i="1"/>
  <c r="T1606" i="1"/>
  <c r="S1606" i="1"/>
  <c r="R1606" i="1"/>
  <c r="Q1606" i="1"/>
  <c r="P1606" i="1"/>
  <c r="O1606" i="1"/>
  <c r="B1606" i="1"/>
  <c r="H1606" i="1"/>
  <c r="G1606" i="1"/>
  <c r="F1606" i="1"/>
  <c r="E1606" i="1"/>
  <c r="N1606" i="1"/>
  <c r="M1606" i="1"/>
  <c r="L1606" i="1"/>
  <c r="K1606" i="1"/>
  <c r="J1606" i="1"/>
  <c r="I1606" i="1"/>
  <c r="D1606" i="1"/>
  <c r="C1606" i="1"/>
  <c r="A1606" i="1"/>
  <c r="AE1605" i="1"/>
  <c r="AD1605" i="1"/>
  <c r="AC1605" i="1"/>
  <c r="AB1605" i="1"/>
  <c r="AA1605" i="1"/>
  <c r="Z1605" i="1"/>
  <c r="Y1605" i="1"/>
  <c r="X1605" i="1"/>
  <c r="W1605" i="1"/>
  <c r="V1605" i="1"/>
  <c r="U1605" i="1"/>
  <c r="T1605" i="1"/>
  <c r="S1605" i="1"/>
  <c r="R1605" i="1"/>
  <c r="Q1605" i="1"/>
  <c r="P1605" i="1"/>
  <c r="O1605" i="1"/>
  <c r="B1605" i="1"/>
  <c r="H1605" i="1"/>
  <c r="G1605" i="1"/>
  <c r="F1605" i="1"/>
  <c r="E1605" i="1"/>
  <c r="N1605" i="1"/>
  <c r="M1605" i="1"/>
  <c r="L1605" i="1"/>
  <c r="K1605" i="1"/>
  <c r="J1605" i="1"/>
  <c r="I1605" i="1"/>
  <c r="D1605" i="1"/>
  <c r="C1605" i="1"/>
  <c r="A1605" i="1"/>
  <c r="AE1604" i="1"/>
  <c r="AD1604" i="1"/>
  <c r="AC1604" i="1"/>
  <c r="AB1604" i="1"/>
  <c r="AA1604" i="1"/>
  <c r="Z1604" i="1"/>
  <c r="Y1604" i="1"/>
  <c r="X1604" i="1"/>
  <c r="W1604" i="1"/>
  <c r="V1604" i="1"/>
  <c r="U1604" i="1"/>
  <c r="T1604" i="1"/>
  <c r="S1604" i="1"/>
  <c r="R1604" i="1"/>
  <c r="Q1604" i="1"/>
  <c r="P1604" i="1"/>
  <c r="O1604" i="1"/>
  <c r="B1604" i="1"/>
  <c r="H1604" i="1"/>
  <c r="G1604" i="1"/>
  <c r="F1604" i="1"/>
  <c r="E1604" i="1"/>
  <c r="N1604" i="1"/>
  <c r="M1604" i="1"/>
  <c r="L1604" i="1"/>
  <c r="K1604" i="1"/>
  <c r="J1604" i="1"/>
  <c r="I1604" i="1"/>
  <c r="D1604" i="1"/>
  <c r="C1604" i="1"/>
  <c r="A1604" i="1"/>
  <c r="AE1603" i="1"/>
  <c r="AD1603" i="1"/>
  <c r="AC1603" i="1"/>
  <c r="AB1603" i="1"/>
  <c r="AA1603" i="1"/>
  <c r="Z1603" i="1"/>
  <c r="Y1603" i="1"/>
  <c r="X1603" i="1"/>
  <c r="W1603" i="1"/>
  <c r="V1603" i="1"/>
  <c r="U1603" i="1"/>
  <c r="T1603" i="1"/>
  <c r="S1603" i="1"/>
  <c r="R1603" i="1"/>
  <c r="Q1603" i="1"/>
  <c r="P1603" i="1"/>
  <c r="O1603" i="1"/>
  <c r="B1603" i="1"/>
  <c r="H1603" i="1"/>
  <c r="G1603" i="1"/>
  <c r="F1603" i="1"/>
  <c r="E1603" i="1"/>
  <c r="N1603" i="1"/>
  <c r="M1603" i="1"/>
  <c r="L1603" i="1"/>
  <c r="K1603" i="1"/>
  <c r="J1603" i="1"/>
  <c r="I1603" i="1"/>
  <c r="D1603" i="1"/>
  <c r="C1603" i="1"/>
  <c r="A1603" i="1"/>
  <c r="AE1602" i="1"/>
  <c r="AD1602" i="1"/>
  <c r="AC1602" i="1"/>
  <c r="AB1602" i="1"/>
  <c r="AA1602" i="1"/>
  <c r="Z1602" i="1"/>
  <c r="Y1602" i="1"/>
  <c r="X1602" i="1"/>
  <c r="W1602" i="1"/>
  <c r="V1602" i="1"/>
  <c r="U1602" i="1"/>
  <c r="T1602" i="1"/>
  <c r="S1602" i="1"/>
  <c r="R1602" i="1"/>
  <c r="Q1602" i="1"/>
  <c r="P1602" i="1"/>
  <c r="O1602" i="1"/>
  <c r="B1602" i="1"/>
  <c r="H1602" i="1"/>
  <c r="G1602" i="1"/>
  <c r="F1602" i="1"/>
  <c r="E1602" i="1"/>
  <c r="N1602" i="1"/>
  <c r="M1602" i="1"/>
  <c r="L1602" i="1"/>
  <c r="K1602" i="1"/>
  <c r="J1602" i="1"/>
  <c r="I1602" i="1"/>
  <c r="D1602" i="1"/>
  <c r="C1602" i="1"/>
  <c r="A1602" i="1"/>
  <c r="AE1601" i="1"/>
  <c r="AD1601" i="1"/>
  <c r="AC1601" i="1"/>
  <c r="AB1601" i="1"/>
  <c r="AA1601" i="1"/>
  <c r="Z1601" i="1"/>
  <c r="Y1601" i="1"/>
  <c r="X1601" i="1"/>
  <c r="W1601" i="1"/>
  <c r="V1601" i="1"/>
  <c r="U1601" i="1"/>
  <c r="T1601" i="1"/>
  <c r="S1601" i="1"/>
  <c r="R1601" i="1"/>
  <c r="Q1601" i="1"/>
  <c r="P1601" i="1"/>
  <c r="O1601" i="1"/>
  <c r="B1601" i="1"/>
  <c r="H1601" i="1"/>
  <c r="G1601" i="1"/>
  <c r="F1601" i="1"/>
  <c r="E1601" i="1"/>
  <c r="N1601" i="1"/>
  <c r="M1601" i="1"/>
  <c r="L1601" i="1"/>
  <c r="K1601" i="1"/>
  <c r="J1601" i="1"/>
  <c r="I1601" i="1"/>
  <c r="D1601" i="1"/>
  <c r="C1601" i="1"/>
  <c r="A1601" i="1"/>
  <c r="AE1600" i="1"/>
  <c r="AD1600" i="1"/>
  <c r="AC1600" i="1"/>
  <c r="AB1600" i="1"/>
  <c r="AA1600" i="1"/>
  <c r="Z1600" i="1"/>
  <c r="Y1600" i="1"/>
  <c r="X1600" i="1"/>
  <c r="W1600" i="1"/>
  <c r="V1600" i="1"/>
  <c r="U1600" i="1"/>
  <c r="T1600" i="1"/>
  <c r="S1600" i="1"/>
  <c r="R1600" i="1"/>
  <c r="Q1600" i="1"/>
  <c r="P1600" i="1"/>
  <c r="O1600" i="1"/>
  <c r="B1600" i="1"/>
  <c r="H1600" i="1"/>
  <c r="G1600" i="1"/>
  <c r="F1600" i="1"/>
  <c r="E1600" i="1"/>
  <c r="N1600" i="1"/>
  <c r="M1600" i="1"/>
  <c r="L1600" i="1"/>
  <c r="K1600" i="1"/>
  <c r="J1600" i="1"/>
  <c r="I1600" i="1"/>
  <c r="D1600" i="1"/>
  <c r="C1600" i="1"/>
  <c r="A1600" i="1"/>
  <c r="AE1599" i="1"/>
  <c r="AD1599" i="1"/>
  <c r="AC1599" i="1"/>
  <c r="AB1599" i="1"/>
  <c r="AA1599" i="1"/>
  <c r="Z1599" i="1"/>
  <c r="Y1599" i="1"/>
  <c r="X1599" i="1"/>
  <c r="W1599" i="1"/>
  <c r="V1599" i="1"/>
  <c r="U1599" i="1"/>
  <c r="T1599" i="1"/>
  <c r="S1599" i="1"/>
  <c r="R1599" i="1"/>
  <c r="Q1599" i="1"/>
  <c r="P1599" i="1"/>
  <c r="O1599" i="1"/>
  <c r="B1599" i="1"/>
  <c r="H1599" i="1"/>
  <c r="G1599" i="1"/>
  <c r="F1599" i="1"/>
  <c r="E1599" i="1"/>
  <c r="N1599" i="1"/>
  <c r="M1599" i="1"/>
  <c r="L1599" i="1"/>
  <c r="K1599" i="1"/>
  <c r="J1599" i="1"/>
  <c r="I1599" i="1"/>
  <c r="D1599" i="1"/>
  <c r="C1599" i="1"/>
  <c r="A1599" i="1"/>
  <c r="AE1598" i="1"/>
  <c r="AD1598" i="1"/>
  <c r="AC1598" i="1"/>
  <c r="AB1598" i="1"/>
  <c r="AA1598" i="1"/>
  <c r="Z1598" i="1"/>
  <c r="Y1598" i="1"/>
  <c r="X1598" i="1"/>
  <c r="W1598" i="1"/>
  <c r="V1598" i="1"/>
  <c r="U1598" i="1"/>
  <c r="T1598" i="1"/>
  <c r="S1598" i="1"/>
  <c r="R1598" i="1"/>
  <c r="Q1598" i="1"/>
  <c r="P1598" i="1"/>
  <c r="O1598" i="1"/>
  <c r="B1598" i="1"/>
  <c r="H1598" i="1"/>
  <c r="G1598" i="1"/>
  <c r="F1598" i="1"/>
  <c r="E1598" i="1"/>
  <c r="N1598" i="1"/>
  <c r="M1598" i="1"/>
  <c r="L1598" i="1"/>
  <c r="K1598" i="1"/>
  <c r="J1598" i="1"/>
  <c r="I1598" i="1"/>
  <c r="D1598" i="1"/>
  <c r="C1598" i="1"/>
  <c r="A1598" i="1"/>
  <c r="AE1597" i="1"/>
  <c r="AD1597" i="1"/>
  <c r="AC1597" i="1"/>
  <c r="AB1597" i="1"/>
  <c r="AA1597" i="1"/>
  <c r="Z1597" i="1"/>
  <c r="Y1597" i="1"/>
  <c r="X1597" i="1"/>
  <c r="W1597" i="1"/>
  <c r="V1597" i="1"/>
  <c r="U1597" i="1"/>
  <c r="T1597" i="1"/>
  <c r="S1597" i="1"/>
  <c r="R1597" i="1"/>
  <c r="Q1597" i="1"/>
  <c r="P1597" i="1"/>
  <c r="O1597" i="1"/>
  <c r="B1597" i="1"/>
  <c r="H1597" i="1"/>
  <c r="G1597" i="1"/>
  <c r="F1597" i="1"/>
  <c r="E1597" i="1"/>
  <c r="N1597" i="1"/>
  <c r="M1597" i="1"/>
  <c r="L1597" i="1"/>
  <c r="K1597" i="1"/>
  <c r="J1597" i="1"/>
  <c r="I1597" i="1"/>
  <c r="D1597" i="1"/>
  <c r="C1597" i="1"/>
  <c r="A1597" i="1"/>
  <c r="AE1596" i="1"/>
  <c r="AD1596" i="1"/>
  <c r="AC1596" i="1"/>
  <c r="AB1596" i="1"/>
  <c r="AA1596" i="1"/>
  <c r="Z1596" i="1"/>
  <c r="Y1596" i="1"/>
  <c r="X1596" i="1"/>
  <c r="W1596" i="1"/>
  <c r="V1596" i="1"/>
  <c r="U1596" i="1"/>
  <c r="T1596" i="1"/>
  <c r="S1596" i="1"/>
  <c r="R1596" i="1"/>
  <c r="Q1596" i="1"/>
  <c r="P1596" i="1"/>
  <c r="O1596" i="1"/>
  <c r="B1596" i="1"/>
  <c r="H1596" i="1"/>
  <c r="G1596" i="1"/>
  <c r="F1596" i="1"/>
  <c r="E1596" i="1"/>
  <c r="N1596" i="1"/>
  <c r="M1596" i="1"/>
  <c r="L1596" i="1"/>
  <c r="K1596" i="1"/>
  <c r="J1596" i="1"/>
  <c r="I1596" i="1"/>
  <c r="D1596" i="1"/>
  <c r="C1596" i="1"/>
  <c r="A1596" i="1"/>
  <c r="AE1595" i="1"/>
  <c r="AD1595" i="1"/>
  <c r="AC1595" i="1"/>
  <c r="AB1595" i="1"/>
  <c r="AA1595" i="1"/>
  <c r="Z1595" i="1"/>
  <c r="Y1595" i="1"/>
  <c r="X1595" i="1"/>
  <c r="W1595" i="1"/>
  <c r="V1595" i="1"/>
  <c r="U1595" i="1"/>
  <c r="T1595" i="1"/>
  <c r="S1595" i="1"/>
  <c r="R1595" i="1"/>
  <c r="Q1595" i="1"/>
  <c r="P1595" i="1"/>
  <c r="O1595" i="1"/>
  <c r="B1595" i="1"/>
  <c r="H1595" i="1"/>
  <c r="G1595" i="1"/>
  <c r="F1595" i="1"/>
  <c r="E1595" i="1"/>
  <c r="N1595" i="1"/>
  <c r="M1595" i="1"/>
  <c r="L1595" i="1"/>
  <c r="K1595" i="1"/>
  <c r="J1595" i="1"/>
  <c r="I1595" i="1"/>
  <c r="D1595" i="1"/>
  <c r="C1595" i="1"/>
  <c r="A1595" i="1"/>
  <c r="AE1594" i="1"/>
  <c r="AD1594" i="1"/>
  <c r="AC1594" i="1"/>
  <c r="AB1594" i="1"/>
  <c r="AA1594" i="1"/>
  <c r="Z1594" i="1"/>
  <c r="Y1594" i="1"/>
  <c r="X1594" i="1"/>
  <c r="W1594" i="1"/>
  <c r="V1594" i="1"/>
  <c r="U1594" i="1"/>
  <c r="T1594" i="1"/>
  <c r="S1594" i="1"/>
  <c r="R1594" i="1"/>
  <c r="Q1594" i="1"/>
  <c r="P1594" i="1"/>
  <c r="O1594" i="1"/>
  <c r="B1594" i="1"/>
  <c r="H1594" i="1"/>
  <c r="G1594" i="1"/>
  <c r="F1594" i="1"/>
  <c r="E1594" i="1"/>
  <c r="N1594" i="1"/>
  <c r="M1594" i="1"/>
  <c r="L1594" i="1"/>
  <c r="K1594" i="1"/>
  <c r="J1594" i="1"/>
  <c r="I1594" i="1"/>
  <c r="D1594" i="1"/>
  <c r="C1594" i="1"/>
  <c r="A1594" i="1"/>
  <c r="AE1593" i="1"/>
  <c r="AD1593" i="1"/>
  <c r="AC1593" i="1"/>
  <c r="AB1593" i="1"/>
  <c r="AA1593" i="1"/>
  <c r="Z1593" i="1"/>
  <c r="Y1593" i="1"/>
  <c r="X1593" i="1"/>
  <c r="W1593" i="1"/>
  <c r="V1593" i="1"/>
  <c r="U1593" i="1"/>
  <c r="T1593" i="1"/>
  <c r="S1593" i="1"/>
  <c r="R1593" i="1"/>
  <c r="Q1593" i="1"/>
  <c r="P1593" i="1"/>
  <c r="O1593" i="1"/>
  <c r="B1593" i="1"/>
  <c r="H1593" i="1"/>
  <c r="G1593" i="1"/>
  <c r="F1593" i="1"/>
  <c r="E1593" i="1"/>
  <c r="N1593" i="1"/>
  <c r="M1593" i="1"/>
  <c r="L1593" i="1"/>
  <c r="K1593" i="1"/>
  <c r="J1593" i="1"/>
  <c r="I1593" i="1"/>
  <c r="D1593" i="1"/>
  <c r="C1593" i="1"/>
  <c r="A1593" i="1"/>
  <c r="AE1592" i="1"/>
  <c r="AD1592" i="1"/>
  <c r="AC1592" i="1"/>
  <c r="AB1592" i="1"/>
  <c r="AA1592" i="1"/>
  <c r="Z1592" i="1"/>
  <c r="Y1592" i="1"/>
  <c r="X1592" i="1"/>
  <c r="W1592" i="1"/>
  <c r="V1592" i="1"/>
  <c r="U1592" i="1"/>
  <c r="T1592" i="1"/>
  <c r="S1592" i="1"/>
  <c r="R1592" i="1"/>
  <c r="Q1592" i="1"/>
  <c r="P1592" i="1"/>
  <c r="O1592" i="1"/>
  <c r="B1592" i="1"/>
  <c r="H1592" i="1"/>
  <c r="G1592" i="1"/>
  <c r="F1592" i="1"/>
  <c r="E1592" i="1"/>
  <c r="N1592" i="1"/>
  <c r="M1592" i="1"/>
  <c r="L1592" i="1"/>
  <c r="K1592" i="1"/>
  <c r="J1592" i="1"/>
  <c r="I1592" i="1"/>
  <c r="D1592" i="1"/>
  <c r="C1592" i="1"/>
  <c r="A1592" i="1"/>
  <c r="AE1591" i="1"/>
  <c r="AD1591" i="1"/>
  <c r="AC1591" i="1"/>
  <c r="AB1591" i="1"/>
  <c r="AA1591" i="1"/>
  <c r="Z1591" i="1"/>
  <c r="Y1591" i="1"/>
  <c r="X1591" i="1"/>
  <c r="W1591" i="1"/>
  <c r="V1591" i="1"/>
  <c r="U1591" i="1"/>
  <c r="T1591" i="1"/>
  <c r="S1591" i="1"/>
  <c r="R1591" i="1"/>
  <c r="Q1591" i="1"/>
  <c r="P1591" i="1"/>
  <c r="O1591" i="1"/>
  <c r="B1591" i="1"/>
  <c r="H1591" i="1"/>
  <c r="G1591" i="1"/>
  <c r="F1591" i="1"/>
  <c r="E1591" i="1"/>
  <c r="M1591" i="1"/>
  <c r="L1591" i="1"/>
  <c r="K1591" i="1"/>
  <c r="J1591" i="1"/>
  <c r="I1591" i="1"/>
  <c r="D1591" i="1"/>
  <c r="C1591" i="1"/>
  <c r="A1591" i="1"/>
  <c r="AE1590" i="1"/>
  <c r="AD1590" i="1"/>
  <c r="AC1590" i="1"/>
  <c r="AB1590" i="1"/>
  <c r="AA1590" i="1"/>
  <c r="Z1590" i="1"/>
  <c r="Y1590" i="1"/>
  <c r="X1590" i="1"/>
  <c r="W1590" i="1"/>
  <c r="V1590" i="1"/>
  <c r="U1590" i="1"/>
  <c r="T1590" i="1"/>
  <c r="S1590" i="1"/>
  <c r="R1590" i="1"/>
  <c r="Q1590" i="1"/>
  <c r="P1590" i="1"/>
  <c r="O1590" i="1"/>
  <c r="B1590" i="1"/>
  <c r="H1590" i="1"/>
  <c r="G1590" i="1"/>
  <c r="F1590" i="1"/>
  <c r="E1590" i="1"/>
  <c r="M1590" i="1"/>
  <c r="L1590" i="1"/>
  <c r="K1590" i="1"/>
  <c r="J1590" i="1"/>
  <c r="I1590" i="1"/>
  <c r="D1590" i="1"/>
  <c r="C1590" i="1"/>
  <c r="A1590" i="1"/>
  <c r="AE1589" i="1"/>
  <c r="AD1589" i="1"/>
  <c r="AC1589" i="1"/>
  <c r="AB1589" i="1"/>
  <c r="AA1589" i="1"/>
  <c r="Z1589" i="1"/>
  <c r="Y1589" i="1"/>
  <c r="X1589" i="1"/>
  <c r="W1589" i="1"/>
  <c r="V1589" i="1"/>
  <c r="U1589" i="1"/>
  <c r="T1589" i="1"/>
  <c r="S1589" i="1"/>
  <c r="R1589" i="1"/>
  <c r="Q1589" i="1"/>
  <c r="P1589" i="1"/>
  <c r="O1589" i="1"/>
  <c r="B1589" i="1"/>
  <c r="H1589" i="1"/>
  <c r="G1589" i="1"/>
  <c r="F1589" i="1"/>
  <c r="E1589" i="1"/>
  <c r="N1589" i="1"/>
  <c r="M1589" i="1"/>
  <c r="L1589" i="1"/>
  <c r="K1589" i="1"/>
  <c r="J1589" i="1"/>
  <c r="I1589" i="1"/>
  <c r="D1589" i="1"/>
  <c r="C1589" i="1"/>
  <c r="A1589" i="1"/>
  <c r="AE1588" i="1"/>
  <c r="AD1588" i="1"/>
  <c r="AC1588" i="1"/>
  <c r="AB1588" i="1"/>
  <c r="AA1588" i="1"/>
  <c r="Z1588" i="1"/>
  <c r="Y1588" i="1"/>
  <c r="X1588" i="1"/>
  <c r="W1588" i="1"/>
  <c r="V1588" i="1"/>
  <c r="U1588" i="1"/>
  <c r="T1588" i="1"/>
  <c r="S1588" i="1"/>
  <c r="R1588" i="1"/>
  <c r="Q1588" i="1"/>
  <c r="P1588" i="1"/>
  <c r="O1588" i="1"/>
  <c r="B1588" i="1"/>
  <c r="H1588" i="1"/>
  <c r="G1588" i="1"/>
  <c r="F1588" i="1"/>
  <c r="E1588" i="1"/>
  <c r="N1588" i="1"/>
  <c r="M1588" i="1"/>
  <c r="L1588" i="1"/>
  <c r="K1588" i="1"/>
  <c r="J1588" i="1"/>
  <c r="I1588" i="1"/>
  <c r="D1588" i="1"/>
  <c r="C1588" i="1"/>
  <c r="A1588" i="1"/>
  <c r="AE1587" i="1"/>
  <c r="AD1587" i="1"/>
  <c r="AC1587" i="1"/>
  <c r="AB1587" i="1"/>
  <c r="AA1587" i="1"/>
  <c r="Z1587" i="1"/>
  <c r="Y1587" i="1"/>
  <c r="X1587" i="1"/>
  <c r="W1587" i="1"/>
  <c r="V1587" i="1"/>
  <c r="U1587" i="1"/>
  <c r="T1587" i="1"/>
  <c r="S1587" i="1"/>
  <c r="R1587" i="1"/>
  <c r="Q1587" i="1"/>
  <c r="P1587" i="1"/>
  <c r="O1587" i="1"/>
  <c r="B1587" i="1"/>
  <c r="H1587" i="1"/>
  <c r="G1587" i="1"/>
  <c r="F1587" i="1"/>
  <c r="E1587" i="1"/>
  <c r="N1587" i="1"/>
  <c r="M1587" i="1"/>
  <c r="L1587" i="1"/>
  <c r="K1587" i="1"/>
  <c r="J1587" i="1"/>
  <c r="I1587" i="1"/>
  <c r="D1587" i="1"/>
  <c r="C1587" i="1"/>
  <c r="A1587" i="1"/>
  <c r="AE1586" i="1"/>
  <c r="AD1586" i="1"/>
  <c r="AC1586" i="1"/>
  <c r="AB1586" i="1"/>
  <c r="AA1586" i="1"/>
  <c r="Z1586" i="1"/>
  <c r="Y1586" i="1"/>
  <c r="X1586" i="1"/>
  <c r="W1586" i="1"/>
  <c r="V1586" i="1"/>
  <c r="U1586" i="1"/>
  <c r="T1586" i="1"/>
  <c r="S1586" i="1"/>
  <c r="R1586" i="1"/>
  <c r="Q1586" i="1"/>
  <c r="P1586" i="1"/>
  <c r="O1586" i="1"/>
  <c r="B1586" i="1"/>
  <c r="H1586" i="1"/>
  <c r="G1586" i="1"/>
  <c r="F1586" i="1"/>
  <c r="E1586" i="1"/>
  <c r="N1586" i="1"/>
  <c r="M1586" i="1"/>
  <c r="L1586" i="1"/>
  <c r="K1586" i="1"/>
  <c r="J1586" i="1"/>
  <c r="I1586" i="1"/>
  <c r="D1586" i="1"/>
  <c r="C1586" i="1"/>
  <c r="A1586" i="1"/>
  <c r="AE1585" i="1"/>
  <c r="AD1585" i="1"/>
  <c r="AC1585" i="1"/>
  <c r="AB1585" i="1"/>
  <c r="AA1585" i="1"/>
  <c r="Z1585" i="1"/>
  <c r="Y1585" i="1"/>
  <c r="X1585" i="1"/>
  <c r="W1585" i="1"/>
  <c r="V1585" i="1"/>
  <c r="U1585" i="1"/>
  <c r="T1585" i="1"/>
  <c r="S1585" i="1"/>
  <c r="R1585" i="1"/>
  <c r="Q1585" i="1"/>
  <c r="P1585" i="1"/>
  <c r="O1585" i="1"/>
  <c r="B1585" i="1"/>
  <c r="H1585" i="1"/>
  <c r="G1585" i="1"/>
  <c r="F1585" i="1"/>
  <c r="E1585" i="1"/>
  <c r="N1585" i="1"/>
  <c r="M1585" i="1"/>
  <c r="L1585" i="1"/>
  <c r="K1585" i="1"/>
  <c r="J1585" i="1"/>
  <c r="I1585" i="1"/>
  <c r="D1585" i="1"/>
  <c r="C1585" i="1"/>
  <c r="A1585" i="1"/>
  <c r="AE1584" i="1"/>
  <c r="AD1584" i="1"/>
  <c r="AC1584" i="1"/>
  <c r="AB1584" i="1"/>
  <c r="AA1584" i="1"/>
  <c r="Z1584" i="1"/>
  <c r="Y1584" i="1"/>
  <c r="X1584" i="1"/>
  <c r="W1584" i="1"/>
  <c r="V1584" i="1"/>
  <c r="U1584" i="1"/>
  <c r="T1584" i="1"/>
  <c r="S1584" i="1"/>
  <c r="R1584" i="1"/>
  <c r="Q1584" i="1"/>
  <c r="P1584" i="1"/>
  <c r="O1584" i="1"/>
  <c r="B1584" i="1"/>
  <c r="H1584" i="1"/>
  <c r="G1584" i="1"/>
  <c r="F1584" i="1"/>
  <c r="E1584" i="1"/>
  <c r="N1584" i="1"/>
  <c r="M1584" i="1"/>
  <c r="L1584" i="1"/>
  <c r="K1584" i="1"/>
  <c r="J1584" i="1"/>
  <c r="I1584" i="1"/>
  <c r="D1584" i="1"/>
  <c r="C1584" i="1"/>
  <c r="A1584" i="1"/>
  <c r="AE1583" i="1"/>
  <c r="AD1583" i="1"/>
  <c r="AC1583" i="1"/>
  <c r="AB1583" i="1"/>
  <c r="AA1583" i="1"/>
  <c r="Z1583" i="1"/>
  <c r="Y1583" i="1"/>
  <c r="X1583" i="1"/>
  <c r="W1583" i="1"/>
  <c r="V1583" i="1"/>
  <c r="U1583" i="1"/>
  <c r="T1583" i="1"/>
  <c r="S1583" i="1"/>
  <c r="R1583" i="1"/>
  <c r="Q1583" i="1"/>
  <c r="P1583" i="1"/>
  <c r="O1583" i="1"/>
  <c r="B1583" i="1"/>
  <c r="H1583" i="1"/>
  <c r="G1583" i="1"/>
  <c r="F1583" i="1"/>
  <c r="E1583" i="1"/>
  <c r="N1583" i="1"/>
  <c r="M1583" i="1"/>
  <c r="L1583" i="1"/>
  <c r="K1583" i="1"/>
  <c r="J1583" i="1"/>
  <c r="I1583" i="1"/>
  <c r="D1583" i="1"/>
  <c r="C1583" i="1"/>
  <c r="A1583" i="1"/>
  <c r="AE1582" i="1"/>
  <c r="AD1582" i="1"/>
  <c r="AC1582" i="1"/>
  <c r="AB1582" i="1"/>
  <c r="AA1582" i="1"/>
  <c r="Z1582" i="1"/>
  <c r="Y1582" i="1"/>
  <c r="X1582" i="1"/>
  <c r="W1582" i="1"/>
  <c r="V1582" i="1"/>
  <c r="U1582" i="1"/>
  <c r="T1582" i="1"/>
  <c r="S1582" i="1"/>
  <c r="R1582" i="1"/>
  <c r="Q1582" i="1"/>
  <c r="P1582" i="1"/>
  <c r="O1582" i="1"/>
  <c r="B1582" i="1"/>
  <c r="H1582" i="1"/>
  <c r="G1582" i="1"/>
  <c r="F1582" i="1"/>
  <c r="E1582" i="1"/>
  <c r="N1582" i="1"/>
  <c r="M1582" i="1"/>
  <c r="L1582" i="1"/>
  <c r="K1582" i="1"/>
  <c r="J1582" i="1"/>
  <c r="I1582" i="1"/>
  <c r="D1582" i="1"/>
  <c r="C1582" i="1"/>
  <c r="A1582" i="1"/>
  <c r="AE1581" i="1"/>
  <c r="AD1581" i="1"/>
  <c r="AC1581" i="1"/>
  <c r="AB1581" i="1"/>
  <c r="AA1581" i="1"/>
  <c r="Z1581" i="1"/>
  <c r="Y1581" i="1"/>
  <c r="X1581" i="1"/>
  <c r="W1581" i="1"/>
  <c r="V1581" i="1"/>
  <c r="U1581" i="1"/>
  <c r="T1581" i="1"/>
  <c r="S1581" i="1"/>
  <c r="R1581" i="1"/>
  <c r="Q1581" i="1"/>
  <c r="P1581" i="1"/>
  <c r="O1581" i="1"/>
  <c r="B1581" i="1"/>
  <c r="H1581" i="1"/>
  <c r="G1581" i="1"/>
  <c r="F1581" i="1"/>
  <c r="E1581" i="1"/>
  <c r="N1581" i="1"/>
  <c r="M1581" i="1"/>
  <c r="L1581" i="1"/>
  <c r="K1581" i="1"/>
  <c r="J1581" i="1"/>
  <c r="I1581" i="1"/>
  <c r="D1581" i="1"/>
  <c r="C1581" i="1"/>
  <c r="A1581" i="1"/>
  <c r="AE1580" i="1"/>
  <c r="AD1580" i="1"/>
  <c r="AC1580" i="1"/>
  <c r="AB1580" i="1"/>
  <c r="AA1580" i="1"/>
  <c r="Z1580" i="1"/>
  <c r="Y1580" i="1"/>
  <c r="X1580" i="1"/>
  <c r="W1580" i="1"/>
  <c r="V1580" i="1"/>
  <c r="U1580" i="1"/>
  <c r="T1580" i="1"/>
  <c r="S1580" i="1"/>
  <c r="R1580" i="1"/>
  <c r="Q1580" i="1"/>
  <c r="P1580" i="1"/>
  <c r="O1580" i="1"/>
  <c r="B1580" i="1"/>
  <c r="H1580" i="1"/>
  <c r="G1580" i="1"/>
  <c r="F1580" i="1"/>
  <c r="E1580" i="1"/>
  <c r="N1580" i="1"/>
  <c r="M1580" i="1"/>
  <c r="L1580" i="1"/>
  <c r="K1580" i="1"/>
  <c r="J1580" i="1"/>
  <c r="I1580" i="1"/>
  <c r="D1580" i="1"/>
  <c r="C1580" i="1"/>
  <c r="A1580" i="1"/>
  <c r="AE1579" i="1"/>
  <c r="AD1579" i="1"/>
  <c r="AC1579" i="1"/>
  <c r="AB1579" i="1"/>
  <c r="AA1579" i="1"/>
  <c r="Z1579" i="1"/>
  <c r="Y1579" i="1"/>
  <c r="X1579" i="1"/>
  <c r="W1579" i="1"/>
  <c r="V1579" i="1"/>
  <c r="U1579" i="1"/>
  <c r="T1579" i="1"/>
  <c r="S1579" i="1"/>
  <c r="R1579" i="1"/>
  <c r="Q1579" i="1"/>
  <c r="P1579" i="1"/>
  <c r="O1579" i="1"/>
  <c r="B1579" i="1"/>
  <c r="H1579" i="1"/>
  <c r="G1579" i="1"/>
  <c r="F1579" i="1"/>
  <c r="E1579" i="1"/>
  <c r="N1579" i="1"/>
  <c r="M1579" i="1"/>
  <c r="L1579" i="1"/>
  <c r="K1579" i="1"/>
  <c r="J1579" i="1"/>
  <c r="I1579" i="1"/>
  <c r="D1579" i="1"/>
  <c r="C1579" i="1"/>
  <c r="A1579" i="1"/>
  <c r="AE1578" i="1"/>
  <c r="AD1578" i="1"/>
  <c r="AC1578" i="1"/>
  <c r="AB1578" i="1"/>
  <c r="AA1578" i="1"/>
  <c r="Z1578" i="1"/>
  <c r="Y1578" i="1"/>
  <c r="X1578" i="1"/>
  <c r="W1578" i="1"/>
  <c r="V1578" i="1"/>
  <c r="U1578" i="1"/>
  <c r="T1578" i="1"/>
  <c r="S1578" i="1"/>
  <c r="R1578" i="1"/>
  <c r="Q1578" i="1"/>
  <c r="P1578" i="1"/>
  <c r="O1578" i="1"/>
  <c r="B1578" i="1"/>
  <c r="H1578" i="1"/>
  <c r="G1578" i="1"/>
  <c r="F1578" i="1"/>
  <c r="E1578" i="1"/>
  <c r="N1578" i="1"/>
  <c r="M1578" i="1"/>
  <c r="L1578" i="1"/>
  <c r="K1578" i="1"/>
  <c r="J1578" i="1"/>
  <c r="I1578" i="1"/>
  <c r="D1578" i="1"/>
  <c r="C1578" i="1"/>
  <c r="A1578" i="1"/>
  <c r="AE1577" i="1"/>
  <c r="AD1577" i="1"/>
  <c r="AC1577" i="1"/>
  <c r="AB1577" i="1"/>
  <c r="AA1577" i="1"/>
  <c r="Z1577" i="1"/>
  <c r="Y1577" i="1"/>
  <c r="X1577" i="1"/>
  <c r="W1577" i="1"/>
  <c r="V1577" i="1"/>
  <c r="U1577" i="1"/>
  <c r="T1577" i="1"/>
  <c r="S1577" i="1"/>
  <c r="R1577" i="1"/>
  <c r="Q1577" i="1"/>
  <c r="P1577" i="1"/>
  <c r="O1577" i="1"/>
  <c r="B1577" i="1"/>
  <c r="H1577" i="1"/>
  <c r="G1577" i="1"/>
  <c r="F1577" i="1"/>
  <c r="E1577" i="1"/>
  <c r="N1577" i="1"/>
  <c r="M1577" i="1"/>
  <c r="L1577" i="1"/>
  <c r="K1577" i="1"/>
  <c r="J1577" i="1"/>
  <c r="I1577" i="1"/>
  <c r="D1577" i="1"/>
  <c r="C1577" i="1"/>
  <c r="A1577" i="1"/>
  <c r="AE1576" i="1"/>
  <c r="AD1576" i="1"/>
  <c r="AC1576" i="1"/>
  <c r="AB1576" i="1"/>
  <c r="AA1576" i="1"/>
  <c r="Z1576" i="1"/>
  <c r="Y1576" i="1"/>
  <c r="X1576" i="1"/>
  <c r="W1576" i="1"/>
  <c r="V1576" i="1"/>
  <c r="U1576" i="1"/>
  <c r="T1576" i="1"/>
  <c r="S1576" i="1"/>
  <c r="R1576" i="1"/>
  <c r="Q1576" i="1"/>
  <c r="P1576" i="1"/>
  <c r="O1576" i="1"/>
  <c r="B1576" i="1"/>
  <c r="H1576" i="1"/>
  <c r="G1576" i="1"/>
  <c r="F1576" i="1"/>
  <c r="E1576" i="1"/>
  <c r="N1576" i="1"/>
  <c r="M1576" i="1"/>
  <c r="L1576" i="1"/>
  <c r="K1576" i="1"/>
  <c r="J1576" i="1"/>
  <c r="I1576" i="1"/>
  <c r="D1576" i="1"/>
  <c r="C1576" i="1"/>
  <c r="A1576" i="1"/>
  <c r="AE1575" i="1"/>
  <c r="AD1575" i="1"/>
  <c r="AC1575" i="1"/>
  <c r="AB1575" i="1"/>
  <c r="AA1575" i="1"/>
  <c r="Z1575" i="1"/>
  <c r="Y1575" i="1"/>
  <c r="X1575" i="1"/>
  <c r="W1575" i="1"/>
  <c r="V1575" i="1"/>
  <c r="U1575" i="1"/>
  <c r="T1575" i="1"/>
  <c r="S1575" i="1"/>
  <c r="R1575" i="1"/>
  <c r="Q1575" i="1"/>
  <c r="P1575" i="1"/>
  <c r="O1575" i="1"/>
  <c r="B1575" i="1"/>
  <c r="H1575" i="1"/>
  <c r="G1575" i="1"/>
  <c r="F1575" i="1"/>
  <c r="E1575" i="1"/>
  <c r="N1575" i="1"/>
  <c r="M1575" i="1"/>
  <c r="L1575" i="1"/>
  <c r="K1575" i="1"/>
  <c r="J1575" i="1"/>
  <c r="I1575" i="1"/>
  <c r="D1575" i="1"/>
  <c r="C1575" i="1"/>
  <c r="A1575" i="1"/>
  <c r="AE1574" i="1"/>
  <c r="AD1574" i="1"/>
  <c r="AC1574" i="1"/>
  <c r="AB1574" i="1"/>
  <c r="AA1574" i="1"/>
  <c r="Z1574" i="1"/>
  <c r="Y1574" i="1"/>
  <c r="X1574" i="1"/>
  <c r="W1574" i="1"/>
  <c r="V1574" i="1"/>
  <c r="U1574" i="1"/>
  <c r="T1574" i="1"/>
  <c r="S1574" i="1"/>
  <c r="R1574" i="1"/>
  <c r="Q1574" i="1"/>
  <c r="P1574" i="1"/>
  <c r="O1574" i="1"/>
  <c r="B1574" i="1"/>
  <c r="H1574" i="1"/>
  <c r="G1574" i="1"/>
  <c r="F1574" i="1"/>
  <c r="E1574" i="1"/>
  <c r="N1574" i="1"/>
  <c r="M1574" i="1"/>
  <c r="L1574" i="1"/>
  <c r="K1574" i="1"/>
  <c r="J1574" i="1"/>
  <c r="I1574" i="1"/>
  <c r="D1574" i="1"/>
  <c r="C1574" i="1"/>
  <c r="A1574" i="1"/>
  <c r="AE1573" i="1"/>
  <c r="AD1573" i="1"/>
  <c r="AC1573" i="1"/>
  <c r="AB1573" i="1"/>
  <c r="AA1573" i="1"/>
  <c r="Z1573" i="1"/>
  <c r="Y1573" i="1"/>
  <c r="X1573" i="1"/>
  <c r="W1573" i="1"/>
  <c r="V1573" i="1"/>
  <c r="U1573" i="1"/>
  <c r="T1573" i="1"/>
  <c r="S1573" i="1"/>
  <c r="R1573" i="1"/>
  <c r="Q1573" i="1"/>
  <c r="P1573" i="1"/>
  <c r="O1573" i="1"/>
  <c r="B1573" i="1"/>
  <c r="H1573" i="1"/>
  <c r="G1573" i="1"/>
  <c r="F1573" i="1"/>
  <c r="E1573" i="1"/>
  <c r="N1573" i="1"/>
  <c r="M1573" i="1"/>
  <c r="L1573" i="1"/>
  <c r="K1573" i="1"/>
  <c r="J1573" i="1"/>
  <c r="I1573" i="1"/>
  <c r="D1573" i="1"/>
  <c r="C1573" i="1"/>
  <c r="A1573" i="1"/>
  <c r="AE1572" i="1"/>
  <c r="AD1572" i="1"/>
  <c r="AC1572" i="1"/>
  <c r="AB1572" i="1"/>
  <c r="AA1572" i="1"/>
  <c r="Z1572" i="1"/>
  <c r="Y1572" i="1"/>
  <c r="X1572" i="1"/>
  <c r="W1572" i="1"/>
  <c r="V1572" i="1"/>
  <c r="U1572" i="1"/>
  <c r="T1572" i="1"/>
  <c r="S1572" i="1"/>
  <c r="R1572" i="1"/>
  <c r="Q1572" i="1"/>
  <c r="P1572" i="1"/>
  <c r="O1572" i="1"/>
  <c r="B1572" i="1"/>
  <c r="H1572" i="1"/>
  <c r="G1572" i="1"/>
  <c r="F1572" i="1"/>
  <c r="E1572" i="1"/>
  <c r="N1572" i="1"/>
  <c r="M1572" i="1"/>
  <c r="L1572" i="1"/>
  <c r="K1572" i="1"/>
  <c r="J1572" i="1"/>
  <c r="I1572" i="1"/>
  <c r="D1572" i="1"/>
  <c r="C1572" i="1"/>
  <c r="A1572" i="1"/>
  <c r="AE1571" i="1"/>
  <c r="AD1571" i="1"/>
  <c r="AC1571" i="1"/>
  <c r="AB1571" i="1"/>
  <c r="AA1571" i="1"/>
  <c r="Z1571" i="1"/>
  <c r="Y1571" i="1"/>
  <c r="X1571" i="1"/>
  <c r="W1571" i="1"/>
  <c r="V1571" i="1"/>
  <c r="U1571" i="1"/>
  <c r="T1571" i="1"/>
  <c r="S1571" i="1"/>
  <c r="R1571" i="1"/>
  <c r="Q1571" i="1"/>
  <c r="P1571" i="1"/>
  <c r="O1571" i="1"/>
  <c r="B1571" i="1"/>
  <c r="H1571" i="1"/>
  <c r="G1571" i="1"/>
  <c r="F1571" i="1"/>
  <c r="E1571" i="1"/>
  <c r="N1571" i="1"/>
  <c r="M1571" i="1"/>
  <c r="L1571" i="1"/>
  <c r="K1571" i="1"/>
  <c r="J1571" i="1"/>
  <c r="I1571" i="1"/>
  <c r="D1571" i="1"/>
  <c r="C1571" i="1"/>
  <c r="A1571" i="1"/>
  <c r="AE1570" i="1"/>
  <c r="AD1570" i="1"/>
  <c r="AC1570" i="1"/>
  <c r="AB1570" i="1"/>
  <c r="AA1570" i="1"/>
  <c r="Z1570" i="1"/>
  <c r="Y1570" i="1"/>
  <c r="X1570" i="1"/>
  <c r="W1570" i="1"/>
  <c r="V1570" i="1"/>
  <c r="U1570" i="1"/>
  <c r="T1570" i="1"/>
  <c r="S1570" i="1"/>
  <c r="R1570" i="1"/>
  <c r="Q1570" i="1"/>
  <c r="P1570" i="1"/>
  <c r="O1570" i="1"/>
  <c r="B1570" i="1"/>
  <c r="H1570" i="1"/>
  <c r="G1570" i="1"/>
  <c r="F1570" i="1"/>
  <c r="E1570" i="1"/>
  <c r="N1570" i="1"/>
  <c r="M1570" i="1"/>
  <c r="L1570" i="1"/>
  <c r="K1570" i="1"/>
  <c r="J1570" i="1"/>
  <c r="I1570" i="1"/>
  <c r="D1570" i="1"/>
  <c r="C1570" i="1"/>
  <c r="A1570" i="1"/>
  <c r="AE1569" i="1"/>
  <c r="AD1569" i="1"/>
  <c r="AC1569" i="1"/>
  <c r="AB1569" i="1"/>
  <c r="AA1569" i="1"/>
  <c r="Z1569" i="1"/>
  <c r="Y1569" i="1"/>
  <c r="X1569" i="1"/>
  <c r="W1569" i="1"/>
  <c r="V1569" i="1"/>
  <c r="U1569" i="1"/>
  <c r="T1569" i="1"/>
  <c r="S1569" i="1"/>
  <c r="R1569" i="1"/>
  <c r="Q1569" i="1"/>
  <c r="P1569" i="1"/>
  <c r="O1569" i="1"/>
  <c r="B1569" i="1"/>
  <c r="H1569" i="1"/>
  <c r="G1569" i="1"/>
  <c r="F1569" i="1"/>
  <c r="E1569" i="1"/>
  <c r="N1569" i="1"/>
  <c r="M1569" i="1"/>
  <c r="L1569" i="1"/>
  <c r="K1569" i="1"/>
  <c r="J1569" i="1"/>
  <c r="I1569" i="1"/>
  <c r="D1569" i="1"/>
  <c r="C1569" i="1"/>
  <c r="A1569" i="1"/>
  <c r="AE1568" i="1"/>
  <c r="AD1568" i="1"/>
  <c r="AC1568" i="1"/>
  <c r="AB1568" i="1"/>
  <c r="AA1568" i="1"/>
  <c r="Z1568" i="1"/>
  <c r="Y1568" i="1"/>
  <c r="X1568" i="1"/>
  <c r="W1568" i="1"/>
  <c r="V1568" i="1"/>
  <c r="U1568" i="1"/>
  <c r="T1568" i="1"/>
  <c r="S1568" i="1"/>
  <c r="R1568" i="1"/>
  <c r="Q1568" i="1"/>
  <c r="P1568" i="1"/>
  <c r="O1568" i="1"/>
  <c r="B1568" i="1"/>
  <c r="H1568" i="1"/>
  <c r="G1568" i="1"/>
  <c r="F1568" i="1"/>
  <c r="E1568" i="1"/>
  <c r="N1568" i="1"/>
  <c r="M1568" i="1"/>
  <c r="L1568" i="1"/>
  <c r="K1568" i="1"/>
  <c r="J1568" i="1"/>
  <c r="I1568" i="1"/>
  <c r="D1568" i="1"/>
  <c r="C1568" i="1"/>
  <c r="A1568" i="1"/>
  <c r="AE1567" i="1"/>
  <c r="AD1567" i="1"/>
  <c r="AC1567" i="1"/>
  <c r="AB1567" i="1"/>
  <c r="AA1567" i="1"/>
  <c r="Z1567" i="1"/>
  <c r="Y1567" i="1"/>
  <c r="X1567" i="1"/>
  <c r="W1567" i="1"/>
  <c r="V1567" i="1"/>
  <c r="U1567" i="1"/>
  <c r="T1567" i="1"/>
  <c r="S1567" i="1"/>
  <c r="R1567" i="1"/>
  <c r="Q1567" i="1"/>
  <c r="P1567" i="1"/>
  <c r="O1567" i="1"/>
  <c r="B1567" i="1"/>
  <c r="H1567" i="1"/>
  <c r="G1567" i="1"/>
  <c r="F1567" i="1"/>
  <c r="E1567" i="1"/>
  <c r="N1567" i="1"/>
  <c r="M1567" i="1"/>
  <c r="L1567" i="1"/>
  <c r="K1567" i="1"/>
  <c r="J1567" i="1"/>
  <c r="I1567" i="1"/>
  <c r="D1567" i="1"/>
  <c r="C1567" i="1"/>
  <c r="A1567" i="1"/>
  <c r="AE1566" i="1"/>
  <c r="AD1566" i="1"/>
  <c r="AC1566" i="1"/>
  <c r="AB1566" i="1"/>
  <c r="AA1566" i="1"/>
  <c r="Z1566" i="1"/>
  <c r="Y1566" i="1"/>
  <c r="X1566" i="1"/>
  <c r="W1566" i="1"/>
  <c r="V1566" i="1"/>
  <c r="U1566" i="1"/>
  <c r="T1566" i="1"/>
  <c r="S1566" i="1"/>
  <c r="R1566" i="1"/>
  <c r="Q1566" i="1"/>
  <c r="P1566" i="1"/>
  <c r="O1566" i="1"/>
  <c r="B1566" i="1"/>
  <c r="H1566" i="1"/>
  <c r="G1566" i="1"/>
  <c r="F1566" i="1"/>
  <c r="E1566" i="1"/>
  <c r="N1566" i="1"/>
  <c r="M1566" i="1"/>
  <c r="L1566" i="1"/>
  <c r="K1566" i="1"/>
  <c r="J1566" i="1"/>
  <c r="I1566" i="1"/>
  <c r="D1566" i="1"/>
  <c r="C1566" i="1"/>
  <c r="A1566" i="1"/>
  <c r="AE1565" i="1"/>
  <c r="AD1565" i="1"/>
  <c r="AC1565" i="1"/>
  <c r="AB1565" i="1"/>
  <c r="AA1565" i="1"/>
  <c r="Z1565" i="1"/>
  <c r="Y1565" i="1"/>
  <c r="X1565" i="1"/>
  <c r="W1565" i="1"/>
  <c r="V1565" i="1"/>
  <c r="U1565" i="1"/>
  <c r="T1565" i="1"/>
  <c r="S1565" i="1"/>
  <c r="R1565" i="1"/>
  <c r="Q1565" i="1"/>
  <c r="P1565" i="1"/>
  <c r="O1565" i="1"/>
  <c r="B1565" i="1"/>
  <c r="H1565" i="1"/>
  <c r="G1565" i="1"/>
  <c r="F1565" i="1"/>
  <c r="E1565" i="1"/>
  <c r="N1565" i="1"/>
  <c r="M1565" i="1"/>
  <c r="L1565" i="1"/>
  <c r="K1565" i="1"/>
  <c r="J1565" i="1"/>
  <c r="I1565" i="1"/>
  <c r="D1565" i="1"/>
  <c r="C1565" i="1"/>
  <c r="A1565" i="1"/>
  <c r="AE1564" i="1"/>
  <c r="AD1564" i="1"/>
  <c r="AC1564" i="1"/>
  <c r="AB1564" i="1"/>
  <c r="AA1564" i="1"/>
  <c r="Z1564" i="1"/>
  <c r="Y1564" i="1"/>
  <c r="X1564" i="1"/>
  <c r="W1564" i="1"/>
  <c r="V1564" i="1"/>
  <c r="U1564" i="1"/>
  <c r="T1564" i="1"/>
  <c r="S1564" i="1"/>
  <c r="R1564" i="1"/>
  <c r="Q1564" i="1"/>
  <c r="P1564" i="1"/>
  <c r="O1564" i="1"/>
  <c r="B1564" i="1"/>
  <c r="H1564" i="1"/>
  <c r="G1564" i="1"/>
  <c r="F1564" i="1"/>
  <c r="E1564" i="1"/>
  <c r="N1564" i="1"/>
  <c r="M1564" i="1"/>
  <c r="L1564" i="1"/>
  <c r="K1564" i="1"/>
  <c r="J1564" i="1"/>
  <c r="I1564" i="1"/>
  <c r="D1564" i="1"/>
  <c r="C1564" i="1"/>
  <c r="A1564" i="1"/>
  <c r="AE1563" i="1"/>
  <c r="AD1563" i="1"/>
  <c r="AC1563" i="1"/>
  <c r="AB1563" i="1"/>
  <c r="AA1563" i="1"/>
  <c r="Z1563" i="1"/>
  <c r="Y1563" i="1"/>
  <c r="X1563" i="1"/>
  <c r="W1563" i="1"/>
  <c r="V1563" i="1"/>
  <c r="U1563" i="1"/>
  <c r="T1563" i="1"/>
  <c r="S1563" i="1"/>
  <c r="R1563" i="1"/>
  <c r="Q1563" i="1"/>
  <c r="P1563" i="1"/>
  <c r="O1563" i="1"/>
  <c r="B1563" i="1"/>
  <c r="H1563" i="1"/>
  <c r="G1563" i="1"/>
  <c r="F1563" i="1"/>
  <c r="E1563" i="1"/>
  <c r="N1563" i="1"/>
  <c r="M1563" i="1"/>
  <c r="L1563" i="1"/>
  <c r="K1563" i="1"/>
  <c r="J1563" i="1"/>
  <c r="I1563" i="1"/>
  <c r="D1563" i="1"/>
  <c r="C1563" i="1"/>
  <c r="A1563" i="1"/>
  <c r="AE1562" i="1"/>
  <c r="AD1562" i="1"/>
  <c r="AC1562" i="1"/>
  <c r="AB1562" i="1"/>
  <c r="AA1562" i="1"/>
  <c r="Z1562" i="1"/>
  <c r="Y1562" i="1"/>
  <c r="X1562" i="1"/>
  <c r="W1562" i="1"/>
  <c r="V1562" i="1"/>
  <c r="U1562" i="1"/>
  <c r="T1562" i="1"/>
  <c r="S1562" i="1"/>
  <c r="R1562" i="1"/>
  <c r="Q1562" i="1"/>
  <c r="P1562" i="1"/>
  <c r="O1562" i="1"/>
  <c r="B1562" i="1"/>
  <c r="H1562" i="1"/>
  <c r="G1562" i="1"/>
  <c r="F1562" i="1"/>
  <c r="E1562" i="1"/>
  <c r="N1562" i="1"/>
  <c r="M1562" i="1"/>
  <c r="L1562" i="1"/>
  <c r="K1562" i="1"/>
  <c r="J1562" i="1"/>
  <c r="I1562" i="1"/>
  <c r="D1562" i="1"/>
  <c r="C1562" i="1"/>
  <c r="A1562" i="1"/>
  <c r="AE1561" i="1"/>
  <c r="AD1561" i="1"/>
  <c r="AC1561" i="1"/>
  <c r="AB1561" i="1"/>
  <c r="AA1561" i="1"/>
  <c r="Z1561" i="1"/>
  <c r="Y1561" i="1"/>
  <c r="X1561" i="1"/>
  <c r="W1561" i="1"/>
  <c r="V1561" i="1"/>
  <c r="U1561" i="1"/>
  <c r="T1561" i="1"/>
  <c r="S1561" i="1"/>
  <c r="R1561" i="1"/>
  <c r="Q1561" i="1"/>
  <c r="P1561" i="1"/>
  <c r="O1561" i="1"/>
  <c r="B1561" i="1"/>
  <c r="H1561" i="1"/>
  <c r="G1561" i="1"/>
  <c r="F1561" i="1"/>
  <c r="E1561" i="1"/>
  <c r="N1561" i="1"/>
  <c r="M1561" i="1"/>
  <c r="L1561" i="1"/>
  <c r="K1561" i="1"/>
  <c r="J1561" i="1"/>
  <c r="I1561" i="1"/>
  <c r="D1561" i="1"/>
  <c r="C1561" i="1"/>
  <c r="A1561" i="1"/>
  <c r="AE1560" i="1"/>
  <c r="AD1560" i="1"/>
  <c r="AC1560" i="1"/>
  <c r="AB1560" i="1"/>
  <c r="AA1560" i="1"/>
  <c r="Z1560" i="1"/>
  <c r="Y1560" i="1"/>
  <c r="X1560" i="1"/>
  <c r="W1560" i="1"/>
  <c r="V1560" i="1"/>
  <c r="U1560" i="1"/>
  <c r="T1560" i="1"/>
  <c r="S1560" i="1"/>
  <c r="R1560" i="1"/>
  <c r="Q1560" i="1"/>
  <c r="P1560" i="1"/>
  <c r="O1560" i="1"/>
  <c r="B1560" i="1"/>
  <c r="H1560" i="1"/>
  <c r="G1560" i="1"/>
  <c r="F1560" i="1"/>
  <c r="E1560" i="1"/>
  <c r="N1560" i="1"/>
  <c r="M1560" i="1"/>
  <c r="L1560" i="1"/>
  <c r="K1560" i="1"/>
  <c r="J1560" i="1"/>
  <c r="I1560" i="1"/>
  <c r="D1560" i="1"/>
  <c r="C1560" i="1"/>
  <c r="A1560" i="1"/>
  <c r="AE1559" i="1"/>
  <c r="AD1559" i="1"/>
  <c r="AC1559" i="1"/>
  <c r="AB1559" i="1"/>
  <c r="AA1559" i="1"/>
  <c r="Z1559" i="1"/>
  <c r="Y1559" i="1"/>
  <c r="X1559" i="1"/>
  <c r="W1559" i="1"/>
  <c r="V1559" i="1"/>
  <c r="U1559" i="1"/>
  <c r="T1559" i="1"/>
  <c r="S1559" i="1"/>
  <c r="R1559" i="1"/>
  <c r="Q1559" i="1"/>
  <c r="P1559" i="1"/>
  <c r="O1559" i="1"/>
  <c r="B1559" i="1"/>
  <c r="H1559" i="1"/>
  <c r="G1559" i="1"/>
  <c r="F1559" i="1"/>
  <c r="E1559" i="1"/>
  <c r="N1559" i="1"/>
  <c r="M1559" i="1"/>
  <c r="L1559" i="1"/>
  <c r="K1559" i="1"/>
  <c r="J1559" i="1"/>
  <c r="I1559" i="1"/>
  <c r="D1559" i="1"/>
  <c r="C1559" i="1"/>
  <c r="A1559" i="1"/>
  <c r="AE1558" i="1"/>
  <c r="AD1558" i="1"/>
  <c r="AC1558" i="1"/>
  <c r="AB1558" i="1"/>
  <c r="AA1558" i="1"/>
  <c r="Z1558" i="1"/>
  <c r="Y1558" i="1"/>
  <c r="X1558" i="1"/>
  <c r="W1558" i="1"/>
  <c r="V1558" i="1"/>
  <c r="U1558" i="1"/>
  <c r="T1558" i="1"/>
  <c r="S1558" i="1"/>
  <c r="R1558" i="1"/>
  <c r="Q1558" i="1"/>
  <c r="P1558" i="1"/>
  <c r="O1558" i="1"/>
  <c r="B1558" i="1"/>
  <c r="H1558" i="1"/>
  <c r="G1558" i="1"/>
  <c r="F1558" i="1"/>
  <c r="E1558" i="1"/>
  <c r="N1558" i="1"/>
  <c r="M1558" i="1"/>
  <c r="L1558" i="1"/>
  <c r="K1558" i="1"/>
  <c r="J1558" i="1"/>
  <c r="I1558" i="1"/>
  <c r="D1558" i="1"/>
  <c r="C1558" i="1"/>
  <c r="A1558" i="1"/>
  <c r="AE1557" i="1"/>
  <c r="AD1557" i="1"/>
  <c r="AC1557" i="1"/>
  <c r="AB1557" i="1"/>
  <c r="AA1557" i="1"/>
  <c r="Z1557" i="1"/>
  <c r="Y1557" i="1"/>
  <c r="X1557" i="1"/>
  <c r="W1557" i="1"/>
  <c r="V1557" i="1"/>
  <c r="U1557" i="1"/>
  <c r="T1557" i="1"/>
  <c r="S1557" i="1"/>
  <c r="R1557" i="1"/>
  <c r="Q1557" i="1"/>
  <c r="P1557" i="1"/>
  <c r="O1557" i="1"/>
  <c r="B1557" i="1"/>
  <c r="H1557" i="1"/>
  <c r="G1557" i="1"/>
  <c r="F1557" i="1"/>
  <c r="E1557" i="1"/>
  <c r="N1557" i="1"/>
  <c r="M1557" i="1"/>
  <c r="L1557" i="1"/>
  <c r="K1557" i="1"/>
  <c r="J1557" i="1"/>
  <c r="I1557" i="1"/>
  <c r="D1557" i="1"/>
  <c r="C1557" i="1"/>
  <c r="A1557" i="1"/>
  <c r="AE1556" i="1"/>
  <c r="AD1556" i="1"/>
  <c r="AC1556" i="1"/>
  <c r="AB1556" i="1"/>
  <c r="AA1556" i="1"/>
  <c r="Z1556" i="1"/>
  <c r="Y1556" i="1"/>
  <c r="X1556" i="1"/>
  <c r="W1556" i="1"/>
  <c r="V1556" i="1"/>
  <c r="U1556" i="1"/>
  <c r="T1556" i="1"/>
  <c r="S1556" i="1"/>
  <c r="R1556" i="1"/>
  <c r="Q1556" i="1"/>
  <c r="P1556" i="1"/>
  <c r="O1556" i="1"/>
  <c r="B1556" i="1"/>
  <c r="H1556" i="1"/>
  <c r="G1556" i="1"/>
  <c r="F1556" i="1"/>
  <c r="E1556" i="1"/>
  <c r="M1556" i="1"/>
  <c r="L1556" i="1"/>
  <c r="K1556" i="1"/>
  <c r="J1556" i="1"/>
  <c r="I1556" i="1"/>
  <c r="D1556" i="1"/>
  <c r="C1556" i="1"/>
  <c r="A1556" i="1"/>
  <c r="AE1555" i="1"/>
  <c r="AD1555" i="1"/>
  <c r="AC1555" i="1"/>
  <c r="AB1555" i="1"/>
  <c r="AA1555" i="1"/>
  <c r="Z1555" i="1"/>
  <c r="Y1555" i="1"/>
  <c r="X1555" i="1"/>
  <c r="W1555" i="1"/>
  <c r="V1555" i="1"/>
  <c r="U1555" i="1"/>
  <c r="T1555" i="1"/>
  <c r="S1555" i="1"/>
  <c r="R1555" i="1"/>
  <c r="Q1555" i="1"/>
  <c r="P1555" i="1"/>
  <c r="O1555" i="1"/>
  <c r="B1555" i="1"/>
  <c r="H1555" i="1"/>
  <c r="G1555" i="1"/>
  <c r="F1555" i="1"/>
  <c r="E1555" i="1"/>
  <c r="N1555" i="1"/>
  <c r="M1555" i="1"/>
  <c r="L1555" i="1"/>
  <c r="K1555" i="1"/>
  <c r="J1555" i="1"/>
  <c r="I1555" i="1"/>
  <c r="D1555" i="1"/>
  <c r="C1555" i="1"/>
  <c r="A1555" i="1"/>
  <c r="AE1554" i="1"/>
  <c r="AD1554" i="1"/>
  <c r="AC1554" i="1"/>
  <c r="AB1554" i="1"/>
  <c r="AA1554" i="1"/>
  <c r="Z1554" i="1"/>
  <c r="Y1554" i="1"/>
  <c r="X1554" i="1"/>
  <c r="W1554" i="1"/>
  <c r="V1554" i="1"/>
  <c r="U1554" i="1"/>
  <c r="T1554" i="1"/>
  <c r="S1554" i="1"/>
  <c r="R1554" i="1"/>
  <c r="Q1554" i="1"/>
  <c r="P1554" i="1"/>
  <c r="O1554" i="1"/>
  <c r="B1554" i="1"/>
  <c r="H1554" i="1"/>
  <c r="G1554" i="1"/>
  <c r="F1554" i="1"/>
  <c r="E1554" i="1"/>
  <c r="N1554" i="1"/>
  <c r="M1554" i="1"/>
  <c r="L1554" i="1"/>
  <c r="K1554" i="1"/>
  <c r="J1554" i="1"/>
  <c r="I1554" i="1"/>
  <c r="D1554" i="1"/>
  <c r="C1554" i="1"/>
  <c r="A1554" i="1"/>
  <c r="AE1553" i="1"/>
  <c r="AD1553" i="1"/>
  <c r="AC1553" i="1"/>
  <c r="AB1553" i="1"/>
  <c r="AA1553" i="1"/>
  <c r="Z1553" i="1"/>
  <c r="Y1553" i="1"/>
  <c r="X1553" i="1"/>
  <c r="W1553" i="1"/>
  <c r="V1553" i="1"/>
  <c r="U1553" i="1"/>
  <c r="T1553" i="1"/>
  <c r="S1553" i="1"/>
  <c r="R1553" i="1"/>
  <c r="Q1553" i="1"/>
  <c r="P1553" i="1"/>
  <c r="O1553" i="1"/>
  <c r="B1553" i="1"/>
  <c r="H1553" i="1"/>
  <c r="G1553" i="1"/>
  <c r="F1553" i="1"/>
  <c r="E1553" i="1"/>
  <c r="N1553" i="1"/>
  <c r="M1553" i="1"/>
  <c r="L1553" i="1"/>
  <c r="K1553" i="1"/>
  <c r="J1553" i="1"/>
  <c r="I1553" i="1"/>
  <c r="D1553" i="1"/>
  <c r="C1553" i="1"/>
  <c r="A1553" i="1"/>
  <c r="AE1552" i="1"/>
  <c r="AD1552" i="1"/>
  <c r="AC1552" i="1"/>
  <c r="AB1552" i="1"/>
  <c r="AA1552" i="1"/>
  <c r="Z1552" i="1"/>
  <c r="Y1552" i="1"/>
  <c r="X1552" i="1"/>
  <c r="W1552" i="1"/>
  <c r="V1552" i="1"/>
  <c r="U1552" i="1"/>
  <c r="T1552" i="1"/>
  <c r="S1552" i="1"/>
  <c r="R1552" i="1"/>
  <c r="Q1552" i="1"/>
  <c r="P1552" i="1"/>
  <c r="O1552" i="1"/>
  <c r="B1552" i="1"/>
  <c r="H1552" i="1"/>
  <c r="G1552" i="1"/>
  <c r="F1552" i="1"/>
  <c r="E1552" i="1"/>
  <c r="N1552" i="1"/>
  <c r="M1552" i="1"/>
  <c r="L1552" i="1"/>
  <c r="K1552" i="1"/>
  <c r="J1552" i="1"/>
  <c r="I1552" i="1"/>
  <c r="D1552" i="1"/>
  <c r="C1552" i="1"/>
  <c r="A1552" i="1"/>
  <c r="AE1551" i="1"/>
  <c r="AD1551" i="1"/>
  <c r="AC1551" i="1"/>
  <c r="AB1551" i="1"/>
  <c r="AA1551" i="1"/>
  <c r="Z1551" i="1"/>
  <c r="Y1551" i="1"/>
  <c r="X1551" i="1"/>
  <c r="W1551" i="1"/>
  <c r="V1551" i="1"/>
  <c r="U1551" i="1"/>
  <c r="T1551" i="1"/>
  <c r="S1551" i="1"/>
  <c r="R1551" i="1"/>
  <c r="Q1551" i="1"/>
  <c r="P1551" i="1"/>
  <c r="O1551" i="1"/>
  <c r="B1551" i="1"/>
  <c r="H1551" i="1"/>
  <c r="G1551" i="1"/>
  <c r="F1551" i="1"/>
  <c r="E1551" i="1"/>
  <c r="N1551" i="1"/>
  <c r="M1551" i="1"/>
  <c r="L1551" i="1"/>
  <c r="K1551" i="1"/>
  <c r="J1551" i="1"/>
  <c r="I1551" i="1"/>
  <c r="D1551" i="1"/>
  <c r="C1551" i="1"/>
  <c r="A1551" i="1"/>
  <c r="AE1550" i="1"/>
  <c r="AD1550" i="1"/>
  <c r="AC1550" i="1"/>
  <c r="AB1550" i="1"/>
  <c r="AA1550" i="1"/>
  <c r="Z1550" i="1"/>
  <c r="Y1550" i="1"/>
  <c r="X1550" i="1"/>
  <c r="W1550" i="1"/>
  <c r="V1550" i="1"/>
  <c r="U1550" i="1"/>
  <c r="T1550" i="1"/>
  <c r="S1550" i="1"/>
  <c r="R1550" i="1"/>
  <c r="Q1550" i="1"/>
  <c r="P1550" i="1"/>
  <c r="O1550" i="1"/>
  <c r="B1550" i="1"/>
  <c r="H1550" i="1"/>
  <c r="G1550" i="1"/>
  <c r="F1550" i="1"/>
  <c r="E1550" i="1"/>
  <c r="N1550" i="1"/>
  <c r="M1550" i="1"/>
  <c r="L1550" i="1"/>
  <c r="K1550" i="1"/>
  <c r="J1550" i="1"/>
  <c r="I1550" i="1"/>
  <c r="D1550" i="1"/>
  <c r="C1550" i="1"/>
  <c r="A1550" i="1"/>
  <c r="AE1549" i="1"/>
  <c r="AD1549" i="1"/>
  <c r="AC1549" i="1"/>
  <c r="AB1549" i="1"/>
  <c r="AA1549" i="1"/>
  <c r="Z1549" i="1"/>
  <c r="Y1549" i="1"/>
  <c r="X1549" i="1"/>
  <c r="W1549" i="1"/>
  <c r="V1549" i="1"/>
  <c r="U1549" i="1"/>
  <c r="T1549" i="1"/>
  <c r="S1549" i="1"/>
  <c r="R1549" i="1"/>
  <c r="Q1549" i="1"/>
  <c r="P1549" i="1"/>
  <c r="O1549" i="1"/>
  <c r="B1549" i="1"/>
  <c r="H1549" i="1"/>
  <c r="G1549" i="1"/>
  <c r="F1549" i="1"/>
  <c r="E1549" i="1"/>
  <c r="N1549" i="1"/>
  <c r="M1549" i="1"/>
  <c r="L1549" i="1"/>
  <c r="K1549" i="1"/>
  <c r="J1549" i="1"/>
  <c r="I1549" i="1"/>
  <c r="D1549" i="1"/>
  <c r="C1549" i="1"/>
  <c r="A1549" i="1"/>
  <c r="AE1548" i="1"/>
  <c r="AD1548" i="1"/>
  <c r="AC1548" i="1"/>
  <c r="AB1548" i="1"/>
  <c r="AA1548" i="1"/>
  <c r="Z1548" i="1"/>
  <c r="Y1548" i="1"/>
  <c r="X1548" i="1"/>
  <c r="W1548" i="1"/>
  <c r="V1548" i="1"/>
  <c r="U1548" i="1"/>
  <c r="T1548" i="1"/>
  <c r="S1548" i="1"/>
  <c r="R1548" i="1"/>
  <c r="Q1548" i="1"/>
  <c r="P1548" i="1"/>
  <c r="O1548" i="1"/>
  <c r="B1548" i="1"/>
  <c r="H1548" i="1"/>
  <c r="G1548" i="1"/>
  <c r="F1548" i="1"/>
  <c r="E1548" i="1"/>
  <c r="N1548" i="1"/>
  <c r="M1548" i="1"/>
  <c r="L1548" i="1"/>
  <c r="K1548" i="1"/>
  <c r="J1548" i="1"/>
  <c r="I1548" i="1"/>
  <c r="D1548" i="1"/>
  <c r="C1548" i="1"/>
  <c r="A1548" i="1"/>
  <c r="AE1547" i="1"/>
  <c r="AD1547" i="1"/>
  <c r="AC1547" i="1"/>
  <c r="AB1547" i="1"/>
  <c r="AA1547" i="1"/>
  <c r="Z1547" i="1"/>
  <c r="Y1547" i="1"/>
  <c r="X1547" i="1"/>
  <c r="W1547" i="1"/>
  <c r="V1547" i="1"/>
  <c r="U1547" i="1"/>
  <c r="T1547" i="1"/>
  <c r="S1547" i="1"/>
  <c r="R1547" i="1"/>
  <c r="Q1547" i="1"/>
  <c r="P1547" i="1"/>
  <c r="O1547" i="1"/>
  <c r="B1547" i="1"/>
  <c r="H1547" i="1"/>
  <c r="G1547" i="1"/>
  <c r="F1547" i="1"/>
  <c r="E1547" i="1"/>
  <c r="N1547" i="1"/>
  <c r="M1547" i="1"/>
  <c r="L1547" i="1"/>
  <c r="K1547" i="1"/>
  <c r="J1547" i="1"/>
  <c r="I1547" i="1"/>
  <c r="D1547" i="1"/>
  <c r="C1547" i="1"/>
  <c r="A1547" i="1"/>
  <c r="AE1546" i="1"/>
  <c r="AD1546" i="1"/>
  <c r="AC1546" i="1"/>
  <c r="AB1546" i="1"/>
  <c r="AA1546" i="1"/>
  <c r="Z1546" i="1"/>
  <c r="Y1546" i="1"/>
  <c r="X1546" i="1"/>
  <c r="W1546" i="1"/>
  <c r="V1546" i="1"/>
  <c r="U1546" i="1"/>
  <c r="T1546" i="1"/>
  <c r="S1546" i="1"/>
  <c r="R1546" i="1"/>
  <c r="Q1546" i="1"/>
  <c r="P1546" i="1"/>
  <c r="O1546" i="1"/>
  <c r="B1546" i="1"/>
  <c r="H1546" i="1"/>
  <c r="G1546" i="1"/>
  <c r="F1546" i="1"/>
  <c r="E1546" i="1"/>
  <c r="N1546" i="1"/>
  <c r="M1546" i="1"/>
  <c r="L1546" i="1"/>
  <c r="K1546" i="1"/>
  <c r="J1546" i="1"/>
  <c r="I1546" i="1"/>
  <c r="D1546" i="1"/>
  <c r="C1546" i="1"/>
  <c r="A1546" i="1"/>
  <c r="AE1545" i="1"/>
  <c r="AD1545" i="1"/>
  <c r="AC1545" i="1"/>
  <c r="AB1545" i="1"/>
  <c r="AA1545" i="1"/>
  <c r="Z1545" i="1"/>
  <c r="Y1545" i="1"/>
  <c r="X1545" i="1"/>
  <c r="W1545" i="1"/>
  <c r="V1545" i="1"/>
  <c r="U1545" i="1"/>
  <c r="T1545" i="1"/>
  <c r="S1545" i="1"/>
  <c r="R1545" i="1"/>
  <c r="Q1545" i="1"/>
  <c r="P1545" i="1"/>
  <c r="O1545" i="1"/>
  <c r="B1545" i="1"/>
  <c r="H1545" i="1"/>
  <c r="G1545" i="1"/>
  <c r="F1545" i="1"/>
  <c r="E1545" i="1"/>
  <c r="N1545" i="1"/>
  <c r="M1545" i="1"/>
  <c r="L1545" i="1"/>
  <c r="K1545" i="1"/>
  <c r="J1545" i="1"/>
  <c r="I1545" i="1"/>
  <c r="D1545" i="1"/>
  <c r="C1545" i="1"/>
  <c r="A1545" i="1"/>
  <c r="AE1544" i="1"/>
  <c r="AD1544" i="1"/>
  <c r="AC1544" i="1"/>
  <c r="AB1544" i="1"/>
  <c r="AA1544" i="1"/>
  <c r="Z1544" i="1"/>
  <c r="Y1544" i="1"/>
  <c r="X1544" i="1"/>
  <c r="W1544" i="1"/>
  <c r="V1544" i="1"/>
  <c r="U1544" i="1"/>
  <c r="T1544" i="1"/>
  <c r="S1544" i="1"/>
  <c r="R1544" i="1"/>
  <c r="Q1544" i="1"/>
  <c r="P1544" i="1"/>
  <c r="O1544" i="1"/>
  <c r="B1544" i="1"/>
  <c r="H1544" i="1"/>
  <c r="G1544" i="1"/>
  <c r="F1544" i="1"/>
  <c r="E1544" i="1"/>
  <c r="N1544" i="1"/>
  <c r="M1544" i="1"/>
  <c r="L1544" i="1"/>
  <c r="K1544" i="1"/>
  <c r="J1544" i="1"/>
  <c r="I1544" i="1"/>
  <c r="D1544" i="1"/>
  <c r="C1544" i="1"/>
  <c r="A1544" i="1"/>
  <c r="AE1543" i="1"/>
  <c r="AD1543" i="1"/>
  <c r="AC1543" i="1"/>
  <c r="AB1543" i="1"/>
  <c r="AA1543" i="1"/>
  <c r="Z1543" i="1"/>
  <c r="Y1543" i="1"/>
  <c r="X1543" i="1"/>
  <c r="W1543" i="1"/>
  <c r="V1543" i="1"/>
  <c r="U1543" i="1"/>
  <c r="T1543" i="1"/>
  <c r="S1543" i="1"/>
  <c r="R1543" i="1"/>
  <c r="Q1543" i="1"/>
  <c r="P1543" i="1"/>
  <c r="O1543" i="1"/>
  <c r="B1543" i="1"/>
  <c r="H1543" i="1"/>
  <c r="G1543" i="1"/>
  <c r="F1543" i="1"/>
  <c r="E1543" i="1"/>
  <c r="N1543" i="1"/>
  <c r="M1543" i="1"/>
  <c r="L1543" i="1"/>
  <c r="K1543" i="1"/>
  <c r="J1543" i="1"/>
  <c r="I1543" i="1"/>
  <c r="D1543" i="1"/>
  <c r="C1543" i="1"/>
  <c r="A1543" i="1"/>
  <c r="AE1542" i="1"/>
  <c r="AD1542" i="1"/>
  <c r="AC1542" i="1"/>
  <c r="AB1542" i="1"/>
  <c r="AA1542" i="1"/>
  <c r="Z1542" i="1"/>
  <c r="Y1542" i="1"/>
  <c r="X1542" i="1"/>
  <c r="W1542" i="1"/>
  <c r="V1542" i="1"/>
  <c r="U1542" i="1"/>
  <c r="T1542" i="1"/>
  <c r="S1542" i="1"/>
  <c r="R1542" i="1"/>
  <c r="Q1542" i="1"/>
  <c r="P1542" i="1"/>
  <c r="O1542" i="1"/>
  <c r="B1542" i="1"/>
  <c r="H1542" i="1"/>
  <c r="G1542" i="1"/>
  <c r="F1542" i="1"/>
  <c r="E1542" i="1"/>
  <c r="N1542" i="1"/>
  <c r="M1542" i="1"/>
  <c r="L1542" i="1"/>
  <c r="K1542" i="1"/>
  <c r="J1542" i="1"/>
  <c r="I1542" i="1"/>
  <c r="D1542" i="1"/>
  <c r="C1542" i="1"/>
  <c r="A1542" i="1"/>
  <c r="AE1541" i="1"/>
  <c r="AD1541" i="1"/>
  <c r="AC1541" i="1"/>
  <c r="AB1541" i="1"/>
  <c r="AA1541" i="1"/>
  <c r="Z1541" i="1"/>
  <c r="Y1541" i="1"/>
  <c r="X1541" i="1"/>
  <c r="W1541" i="1"/>
  <c r="V1541" i="1"/>
  <c r="U1541" i="1"/>
  <c r="T1541" i="1"/>
  <c r="S1541" i="1"/>
  <c r="R1541" i="1"/>
  <c r="Q1541" i="1"/>
  <c r="P1541" i="1"/>
  <c r="O1541" i="1"/>
  <c r="B1541" i="1"/>
  <c r="H1541" i="1"/>
  <c r="G1541" i="1"/>
  <c r="F1541" i="1"/>
  <c r="E1541" i="1"/>
  <c r="N1541" i="1"/>
  <c r="M1541" i="1"/>
  <c r="L1541" i="1"/>
  <c r="K1541" i="1"/>
  <c r="J1541" i="1"/>
  <c r="I1541" i="1"/>
  <c r="D1541" i="1"/>
  <c r="C1541" i="1"/>
  <c r="A1541" i="1"/>
  <c r="AE1540" i="1"/>
  <c r="AD1540" i="1"/>
  <c r="AC1540" i="1"/>
  <c r="AB1540" i="1"/>
  <c r="AA1540" i="1"/>
  <c r="Z1540" i="1"/>
  <c r="Y1540" i="1"/>
  <c r="X1540" i="1"/>
  <c r="W1540" i="1"/>
  <c r="V1540" i="1"/>
  <c r="U1540" i="1"/>
  <c r="T1540" i="1"/>
  <c r="S1540" i="1"/>
  <c r="R1540" i="1"/>
  <c r="Q1540" i="1"/>
  <c r="P1540" i="1"/>
  <c r="O1540" i="1"/>
  <c r="B1540" i="1"/>
  <c r="H1540" i="1"/>
  <c r="G1540" i="1"/>
  <c r="F1540" i="1"/>
  <c r="E1540" i="1"/>
  <c r="N1540" i="1"/>
  <c r="M1540" i="1"/>
  <c r="L1540" i="1"/>
  <c r="K1540" i="1"/>
  <c r="J1540" i="1"/>
  <c r="I1540" i="1"/>
  <c r="D1540" i="1"/>
  <c r="C1540" i="1"/>
  <c r="A1540" i="1"/>
  <c r="AE1539" i="1"/>
  <c r="AD1539" i="1"/>
  <c r="AC1539" i="1"/>
  <c r="AB1539" i="1"/>
  <c r="AA1539" i="1"/>
  <c r="Z1539" i="1"/>
  <c r="Y1539" i="1"/>
  <c r="X1539" i="1"/>
  <c r="W1539" i="1"/>
  <c r="V1539" i="1"/>
  <c r="U1539" i="1"/>
  <c r="T1539" i="1"/>
  <c r="S1539" i="1"/>
  <c r="R1539" i="1"/>
  <c r="Q1539" i="1"/>
  <c r="P1539" i="1"/>
  <c r="O1539" i="1"/>
  <c r="B1539" i="1"/>
  <c r="H1539" i="1"/>
  <c r="G1539" i="1"/>
  <c r="F1539" i="1"/>
  <c r="E1539" i="1"/>
  <c r="N1539" i="1"/>
  <c r="M1539" i="1"/>
  <c r="L1539" i="1"/>
  <c r="K1539" i="1"/>
  <c r="J1539" i="1"/>
  <c r="I1539" i="1"/>
  <c r="D1539" i="1"/>
  <c r="C1539" i="1"/>
  <c r="A1539" i="1"/>
  <c r="AE1538" i="1"/>
  <c r="AD1538" i="1"/>
  <c r="AC1538" i="1"/>
  <c r="AB1538" i="1"/>
  <c r="AA1538" i="1"/>
  <c r="Z1538" i="1"/>
  <c r="Y1538" i="1"/>
  <c r="X1538" i="1"/>
  <c r="W1538" i="1"/>
  <c r="V1538" i="1"/>
  <c r="U1538" i="1"/>
  <c r="T1538" i="1"/>
  <c r="S1538" i="1"/>
  <c r="R1538" i="1"/>
  <c r="Q1538" i="1"/>
  <c r="P1538" i="1"/>
  <c r="O1538" i="1"/>
  <c r="B1538" i="1"/>
  <c r="H1538" i="1"/>
  <c r="G1538" i="1"/>
  <c r="F1538" i="1"/>
  <c r="E1538" i="1"/>
  <c r="N1538" i="1"/>
  <c r="M1538" i="1"/>
  <c r="L1538" i="1"/>
  <c r="K1538" i="1"/>
  <c r="J1538" i="1"/>
  <c r="I1538" i="1"/>
  <c r="D1538" i="1"/>
  <c r="C1538" i="1"/>
  <c r="A1538" i="1"/>
  <c r="AE1537" i="1"/>
  <c r="AD1537" i="1"/>
  <c r="AC1537" i="1"/>
  <c r="AB1537" i="1"/>
  <c r="AA1537" i="1"/>
  <c r="Z1537" i="1"/>
  <c r="Y1537" i="1"/>
  <c r="X1537" i="1"/>
  <c r="W1537" i="1"/>
  <c r="V1537" i="1"/>
  <c r="U1537" i="1"/>
  <c r="T1537" i="1"/>
  <c r="S1537" i="1"/>
  <c r="R1537" i="1"/>
  <c r="Q1537" i="1"/>
  <c r="P1537" i="1"/>
  <c r="O1537" i="1"/>
  <c r="B1537" i="1"/>
  <c r="H1537" i="1"/>
  <c r="G1537" i="1"/>
  <c r="F1537" i="1"/>
  <c r="E1537" i="1"/>
  <c r="N1537" i="1"/>
  <c r="M1537" i="1"/>
  <c r="L1537" i="1"/>
  <c r="K1537" i="1"/>
  <c r="J1537" i="1"/>
  <c r="I1537" i="1"/>
  <c r="D1537" i="1"/>
  <c r="C1537" i="1"/>
  <c r="A1537" i="1"/>
  <c r="AE1536" i="1"/>
  <c r="AD1536" i="1"/>
  <c r="AC1536" i="1"/>
  <c r="AB1536" i="1"/>
  <c r="AA1536" i="1"/>
  <c r="Z1536" i="1"/>
  <c r="Y1536" i="1"/>
  <c r="X1536" i="1"/>
  <c r="W1536" i="1"/>
  <c r="V1536" i="1"/>
  <c r="U1536" i="1"/>
  <c r="T1536" i="1"/>
  <c r="S1536" i="1"/>
  <c r="R1536" i="1"/>
  <c r="Q1536" i="1"/>
  <c r="P1536" i="1"/>
  <c r="O1536" i="1"/>
  <c r="B1536" i="1"/>
  <c r="H1536" i="1"/>
  <c r="G1536" i="1"/>
  <c r="F1536" i="1"/>
  <c r="E1536" i="1"/>
  <c r="N1536" i="1"/>
  <c r="M1536" i="1"/>
  <c r="L1536" i="1"/>
  <c r="K1536" i="1"/>
  <c r="J1536" i="1"/>
  <c r="I1536" i="1"/>
  <c r="D1536" i="1"/>
  <c r="C1536" i="1"/>
  <c r="A1536" i="1"/>
  <c r="AE1535" i="1"/>
  <c r="AD1535" i="1"/>
  <c r="AC1535" i="1"/>
  <c r="AB1535" i="1"/>
  <c r="AA1535" i="1"/>
  <c r="Z1535" i="1"/>
  <c r="Y1535" i="1"/>
  <c r="X1535" i="1"/>
  <c r="W1535" i="1"/>
  <c r="V1535" i="1"/>
  <c r="U1535" i="1"/>
  <c r="T1535" i="1"/>
  <c r="S1535" i="1"/>
  <c r="R1535" i="1"/>
  <c r="Q1535" i="1"/>
  <c r="P1535" i="1"/>
  <c r="O1535" i="1"/>
  <c r="B1535" i="1"/>
  <c r="H1535" i="1"/>
  <c r="G1535" i="1"/>
  <c r="F1535" i="1"/>
  <c r="E1535" i="1"/>
  <c r="N1535" i="1"/>
  <c r="M1535" i="1"/>
  <c r="L1535" i="1"/>
  <c r="K1535" i="1"/>
  <c r="J1535" i="1"/>
  <c r="I1535" i="1"/>
  <c r="D1535" i="1"/>
  <c r="C1535" i="1"/>
  <c r="A1535" i="1"/>
  <c r="AE1534" i="1"/>
  <c r="AD1534" i="1"/>
  <c r="AC1534" i="1"/>
  <c r="AB1534" i="1"/>
  <c r="AA1534" i="1"/>
  <c r="Z1534" i="1"/>
  <c r="Y1534" i="1"/>
  <c r="X1534" i="1"/>
  <c r="W1534" i="1"/>
  <c r="V1534" i="1"/>
  <c r="U1534" i="1"/>
  <c r="T1534" i="1"/>
  <c r="S1534" i="1"/>
  <c r="R1534" i="1"/>
  <c r="Q1534" i="1"/>
  <c r="P1534" i="1"/>
  <c r="O1534" i="1"/>
  <c r="B1534" i="1"/>
  <c r="H1534" i="1"/>
  <c r="G1534" i="1"/>
  <c r="F1534" i="1"/>
  <c r="E1534" i="1"/>
  <c r="N1534" i="1"/>
  <c r="M1534" i="1"/>
  <c r="L1534" i="1"/>
  <c r="K1534" i="1"/>
  <c r="J1534" i="1"/>
  <c r="I1534" i="1"/>
  <c r="D1534" i="1"/>
  <c r="C1534" i="1"/>
  <c r="A1534" i="1"/>
  <c r="AE1533" i="1"/>
  <c r="AD1533" i="1"/>
  <c r="AC1533" i="1"/>
  <c r="AB1533" i="1"/>
  <c r="AA1533" i="1"/>
  <c r="Z1533" i="1"/>
  <c r="Y1533" i="1"/>
  <c r="X1533" i="1"/>
  <c r="W1533" i="1"/>
  <c r="V1533" i="1"/>
  <c r="U1533" i="1"/>
  <c r="T1533" i="1"/>
  <c r="S1533" i="1"/>
  <c r="R1533" i="1"/>
  <c r="Q1533" i="1"/>
  <c r="P1533" i="1"/>
  <c r="O1533" i="1"/>
  <c r="B1533" i="1"/>
  <c r="H1533" i="1"/>
  <c r="G1533" i="1"/>
  <c r="F1533" i="1"/>
  <c r="E1533" i="1"/>
  <c r="N1533" i="1"/>
  <c r="M1533" i="1"/>
  <c r="L1533" i="1"/>
  <c r="K1533" i="1"/>
  <c r="J1533" i="1"/>
  <c r="I1533" i="1"/>
  <c r="D1533" i="1"/>
  <c r="C1533" i="1"/>
  <c r="A1533" i="1"/>
  <c r="AE1532" i="1"/>
  <c r="AD1532" i="1"/>
  <c r="AC1532" i="1"/>
  <c r="AB1532" i="1"/>
  <c r="AA1532" i="1"/>
  <c r="Z1532" i="1"/>
  <c r="Y1532" i="1"/>
  <c r="X1532" i="1"/>
  <c r="W1532" i="1"/>
  <c r="V1532" i="1"/>
  <c r="U1532" i="1"/>
  <c r="T1532" i="1"/>
  <c r="S1532" i="1"/>
  <c r="R1532" i="1"/>
  <c r="Q1532" i="1"/>
  <c r="P1532" i="1"/>
  <c r="O1532" i="1"/>
  <c r="B1532" i="1"/>
  <c r="H1532" i="1"/>
  <c r="G1532" i="1"/>
  <c r="F1532" i="1"/>
  <c r="E1532" i="1"/>
  <c r="N1532" i="1"/>
  <c r="M1532" i="1"/>
  <c r="L1532" i="1"/>
  <c r="K1532" i="1"/>
  <c r="J1532" i="1"/>
  <c r="I1532" i="1"/>
  <c r="D1532" i="1"/>
  <c r="C1532" i="1"/>
  <c r="A1532" i="1"/>
  <c r="AE1531" i="1"/>
  <c r="AD1531" i="1"/>
  <c r="AC1531" i="1"/>
  <c r="AB1531" i="1"/>
  <c r="AA1531" i="1"/>
  <c r="Z1531" i="1"/>
  <c r="Y1531" i="1"/>
  <c r="X1531" i="1"/>
  <c r="W1531" i="1"/>
  <c r="V1531" i="1"/>
  <c r="U1531" i="1"/>
  <c r="T1531" i="1"/>
  <c r="S1531" i="1"/>
  <c r="R1531" i="1"/>
  <c r="Q1531" i="1"/>
  <c r="P1531" i="1"/>
  <c r="O1531" i="1"/>
  <c r="B1531" i="1"/>
  <c r="H1531" i="1"/>
  <c r="G1531" i="1"/>
  <c r="F1531" i="1"/>
  <c r="E1531" i="1"/>
  <c r="N1531" i="1"/>
  <c r="M1531" i="1"/>
  <c r="L1531" i="1"/>
  <c r="K1531" i="1"/>
  <c r="J1531" i="1"/>
  <c r="I1531" i="1"/>
  <c r="D1531" i="1"/>
  <c r="C1531" i="1"/>
  <c r="A1531" i="1"/>
  <c r="AE1530" i="1"/>
  <c r="AD1530" i="1"/>
  <c r="AC1530" i="1"/>
  <c r="AB1530" i="1"/>
  <c r="AA1530" i="1"/>
  <c r="Z1530" i="1"/>
  <c r="Y1530" i="1"/>
  <c r="X1530" i="1"/>
  <c r="W1530" i="1"/>
  <c r="V1530" i="1"/>
  <c r="U1530" i="1"/>
  <c r="T1530" i="1"/>
  <c r="S1530" i="1"/>
  <c r="R1530" i="1"/>
  <c r="Q1530" i="1"/>
  <c r="P1530" i="1"/>
  <c r="O1530" i="1"/>
  <c r="B1530" i="1"/>
  <c r="H1530" i="1"/>
  <c r="G1530" i="1"/>
  <c r="F1530" i="1"/>
  <c r="E1530" i="1"/>
  <c r="N1530" i="1"/>
  <c r="M1530" i="1"/>
  <c r="L1530" i="1"/>
  <c r="K1530" i="1"/>
  <c r="J1530" i="1"/>
  <c r="I1530" i="1"/>
  <c r="D1530" i="1"/>
  <c r="C1530" i="1"/>
  <c r="A1530" i="1"/>
  <c r="AE1529" i="1"/>
  <c r="AD1529" i="1"/>
  <c r="AC1529" i="1"/>
  <c r="AB1529" i="1"/>
  <c r="AA1529" i="1"/>
  <c r="Z1529" i="1"/>
  <c r="Y1529" i="1"/>
  <c r="X1529" i="1"/>
  <c r="W1529" i="1"/>
  <c r="V1529" i="1"/>
  <c r="U1529" i="1"/>
  <c r="T1529" i="1"/>
  <c r="S1529" i="1"/>
  <c r="R1529" i="1"/>
  <c r="Q1529" i="1"/>
  <c r="P1529" i="1"/>
  <c r="O1529" i="1"/>
  <c r="B1529" i="1"/>
  <c r="H1529" i="1"/>
  <c r="G1529" i="1"/>
  <c r="F1529" i="1"/>
  <c r="E1529" i="1"/>
  <c r="N1529" i="1"/>
  <c r="M1529" i="1"/>
  <c r="L1529" i="1"/>
  <c r="K1529" i="1"/>
  <c r="J1529" i="1"/>
  <c r="I1529" i="1"/>
  <c r="D1529" i="1"/>
  <c r="C1529" i="1"/>
  <c r="A1529" i="1"/>
  <c r="AE1528" i="1"/>
  <c r="AD1528" i="1"/>
  <c r="AC1528" i="1"/>
  <c r="AB1528" i="1"/>
  <c r="AA1528" i="1"/>
  <c r="Z1528" i="1"/>
  <c r="Y1528" i="1"/>
  <c r="X1528" i="1"/>
  <c r="W1528" i="1"/>
  <c r="V1528" i="1"/>
  <c r="U1528" i="1"/>
  <c r="T1528" i="1"/>
  <c r="S1528" i="1"/>
  <c r="R1528" i="1"/>
  <c r="Q1528" i="1"/>
  <c r="P1528" i="1"/>
  <c r="O1528" i="1"/>
  <c r="B1528" i="1"/>
  <c r="H1528" i="1"/>
  <c r="G1528" i="1"/>
  <c r="F1528" i="1"/>
  <c r="E1528" i="1"/>
  <c r="N1528" i="1"/>
  <c r="M1528" i="1"/>
  <c r="L1528" i="1"/>
  <c r="K1528" i="1"/>
  <c r="J1528" i="1"/>
  <c r="I1528" i="1"/>
  <c r="D1528" i="1"/>
  <c r="C1528" i="1"/>
  <c r="A1528" i="1"/>
  <c r="AE1527" i="1"/>
  <c r="AD1527" i="1"/>
  <c r="AC1527" i="1"/>
  <c r="AB1527" i="1"/>
  <c r="AA1527" i="1"/>
  <c r="Z1527" i="1"/>
  <c r="Y1527" i="1"/>
  <c r="X1527" i="1"/>
  <c r="W1527" i="1"/>
  <c r="V1527" i="1"/>
  <c r="U1527" i="1"/>
  <c r="T1527" i="1"/>
  <c r="S1527" i="1"/>
  <c r="R1527" i="1"/>
  <c r="Q1527" i="1"/>
  <c r="P1527" i="1"/>
  <c r="O1527" i="1"/>
  <c r="B1527" i="1"/>
  <c r="H1527" i="1"/>
  <c r="G1527" i="1"/>
  <c r="F1527" i="1"/>
  <c r="E1527" i="1"/>
  <c r="N1527" i="1"/>
  <c r="M1527" i="1"/>
  <c r="L1527" i="1"/>
  <c r="K1527" i="1"/>
  <c r="J1527" i="1"/>
  <c r="I1527" i="1"/>
  <c r="D1527" i="1"/>
  <c r="C1527" i="1"/>
  <c r="A1527" i="1"/>
  <c r="AE1526" i="1"/>
  <c r="AD1526" i="1"/>
  <c r="AC1526" i="1"/>
  <c r="AB1526" i="1"/>
  <c r="AA1526" i="1"/>
  <c r="Z1526" i="1"/>
  <c r="Y1526" i="1"/>
  <c r="X1526" i="1"/>
  <c r="W1526" i="1"/>
  <c r="V1526" i="1"/>
  <c r="U1526" i="1"/>
  <c r="T1526" i="1"/>
  <c r="S1526" i="1"/>
  <c r="R1526" i="1"/>
  <c r="Q1526" i="1"/>
  <c r="P1526" i="1"/>
  <c r="O1526" i="1"/>
  <c r="B1526" i="1"/>
  <c r="H1526" i="1"/>
  <c r="G1526" i="1"/>
  <c r="F1526" i="1"/>
  <c r="E1526" i="1"/>
  <c r="N1526" i="1"/>
  <c r="M1526" i="1"/>
  <c r="L1526" i="1"/>
  <c r="K1526" i="1"/>
  <c r="J1526" i="1"/>
  <c r="I1526" i="1"/>
  <c r="D1526" i="1"/>
  <c r="C1526" i="1"/>
  <c r="A1526" i="1"/>
  <c r="AE1525" i="1"/>
  <c r="AD1525" i="1"/>
  <c r="AC1525" i="1"/>
  <c r="AB1525" i="1"/>
  <c r="AA1525" i="1"/>
  <c r="Z1525" i="1"/>
  <c r="Y1525" i="1"/>
  <c r="X1525" i="1"/>
  <c r="W1525" i="1"/>
  <c r="V1525" i="1"/>
  <c r="U1525" i="1"/>
  <c r="T1525" i="1"/>
  <c r="S1525" i="1"/>
  <c r="R1525" i="1"/>
  <c r="Q1525" i="1"/>
  <c r="P1525" i="1"/>
  <c r="O1525" i="1"/>
  <c r="B1525" i="1"/>
  <c r="H1525" i="1"/>
  <c r="G1525" i="1"/>
  <c r="F1525" i="1"/>
  <c r="E1525" i="1"/>
  <c r="N1525" i="1"/>
  <c r="M1525" i="1"/>
  <c r="L1525" i="1"/>
  <c r="K1525" i="1"/>
  <c r="J1525" i="1"/>
  <c r="I1525" i="1"/>
  <c r="D1525" i="1"/>
  <c r="C1525" i="1"/>
  <c r="A1525" i="1"/>
  <c r="AE1524" i="1"/>
  <c r="AD1524" i="1"/>
  <c r="AC1524" i="1"/>
  <c r="AB1524" i="1"/>
  <c r="AA1524" i="1"/>
  <c r="Z1524" i="1"/>
  <c r="Y1524" i="1"/>
  <c r="X1524" i="1"/>
  <c r="W1524" i="1"/>
  <c r="V1524" i="1"/>
  <c r="U1524" i="1"/>
  <c r="T1524" i="1"/>
  <c r="S1524" i="1"/>
  <c r="R1524" i="1"/>
  <c r="Q1524" i="1"/>
  <c r="P1524" i="1"/>
  <c r="O1524" i="1"/>
  <c r="B1524" i="1"/>
  <c r="H1524" i="1"/>
  <c r="G1524" i="1"/>
  <c r="F1524" i="1"/>
  <c r="E1524" i="1"/>
  <c r="N1524" i="1"/>
  <c r="M1524" i="1"/>
  <c r="L1524" i="1"/>
  <c r="K1524" i="1"/>
  <c r="J1524" i="1"/>
  <c r="I1524" i="1"/>
  <c r="D1524" i="1"/>
  <c r="C1524" i="1"/>
  <c r="A1524" i="1"/>
  <c r="AE1523" i="1"/>
  <c r="AD1523" i="1"/>
  <c r="AC1523" i="1"/>
  <c r="AB1523" i="1"/>
  <c r="AA1523" i="1"/>
  <c r="Z1523" i="1"/>
  <c r="Y1523" i="1"/>
  <c r="X1523" i="1"/>
  <c r="W1523" i="1"/>
  <c r="V1523" i="1"/>
  <c r="U1523" i="1"/>
  <c r="T1523" i="1"/>
  <c r="S1523" i="1"/>
  <c r="R1523" i="1"/>
  <c r="Q1523" i="1"/>
  <c r="P1523" i="1"/>
  <c r="O1523" i="1"/>
  <c r="B1523" i="1"/>
  <c r="H1523" i="1"/>
  <c r="G1523" i="1"/>
  <c r="F1523" i="1"/>
  <c r="E1523" i="1"/>
  <c r="N1523" i="1"/>
  <c r="M1523" i="1"/>
  <c r="L1523" i="1"/>
  <c r="K1523" i="1"/>
  <c r="J1523" i="1"/>
  <c r="I1523" i="1"/>
  <c r="D1523" i="1"/>
  <c r="C1523" i="1"/>
  <c r="A1523" i="1"/>
  <c r="AE1522" i="1"/>
  <c r="AD1522" i="1"/>
  <c r="AC1522" i="1"/>
  <c r="AB1522" i="1"/>
  <c r="AA1522" i="1"/>
  <c r="Z1522" i="1"/>
  <c r="Y1522" i="1"/>
  <c r="X1522" i="1"/>
  <c r="W1522" i="1"/>
  <c r="V1522" i="1"/>
  <c r="U1522" i="1"/>
  <c r="T1522" i="1"/>
  <c r="S1522" i="1"/>
  <c r="R1522" i="1"/>
  <c r="Q1522" i="1"/>
  <c r="P1522" i="1"/>
  <c r="O1522" i="1"/>
  <c r="B1522" i="1"/>
  <c r="H1522" i="1"/>
  <c r="G1522" i="1"/>
  <c r="F1522" i="1"/>
  <c r="E1522" i="1"/>
  <c r="N1522" i="1"/>
  <c r="M1522" i="1"/>
  <c r="L1522" i="1"/>
  <c r="K1522" i="1"/>
  <c r="J1522" i="1"/>
  <c r="I1522" i="1"/>
  <c r="D1522" i="1"/>
  <c r="C1522" i="1"/>
  <c r="A1522" i="1"/>
  <c r="AE1521" i="1"/>
  <c r="AD1521" i="1"/>
  <c r="AC1521" i="1"/>
  <c r="AB1521" i="1"/>
  <c r="AA1521" i="1"/>
  <c r="Z1521" i="1"/>
  <c r="Y1521" i="1"/>
  <c r="X1521" i="1"/>
  <c r="W1521" i="1"/>
  <c r="V1521" i="1"/>
  <c r="U1521" i="1"/>
  <c r="T1521" i="1"/>
  <c r="S1521" i="1"/>
  <c r="R1521" i="1"/>
  <c r="Q1521" i="1"/>
  <c r="P1521" i="1"/>
  <c r="O1521" i="1"/>
  <c r="B1521" i="1"/>
  <c r="H1521" i="1"/>
  <c r="G1521" i="1"/>
  <c r="F1521" i="1"/>
  <c r="E1521" i="1"/>
  <c r="N1521" i="1"/>
  <c r="M1521" i="1"/>
  <c r="L1521" i="1"/>
  <c r="K1521" i="1"/>
  <c r="J1521" i="1"/>
  <c r="I1521" i="1"/>
  <c r="D1521" i="1"/>
  <c r="C1521" i="1"/>
  <c r="A1521" i="1"/>
  <c r="AE1520" i="1"/>
  <c r="AD1520" i="1"/>
  <c r="AC1520" i="1"/>
  <c r="AB1520" i="1"/>
  <c r="AA1520" i="1"/>
  <c r="Z1520" i="1"/>
  <c r="Y1520" i="1"/>
  <c r="X1520" i="1"/>
  <c r="W1520" i="1"/>
  <c r="V1520" i="1"/>
  <c r="U1520" i="1"/>
  <c r="T1520" i="1"/>
  <c r="S1520" i="1"/>
  <c r="R1520" i="1"/>
  <c r="Q1520" i="1"/>
  <c r="P1520" i="1"/>
  <c r="O1520" i="1"/>
  <c r="B1520" i="1"/>
  <c r="H1520" i="1"/>
  <c r="G1520" i="1"/>
  <c r="F1520" i="1"/>
  <c r="E1520" i="1"/>
  <c r="N1520" i="1"/>
  <c r="M1520" i="1"/>
  <c r="L1520" i="1"/>
  <c r="K1520" i="1"/>
  <c r="J1520" i="1"/>
  <c r="I1520" i="1"/>
  <c r="D1520" i="1"/>
  <c r="C1520" i="1"/>
  <c r="A1520" i="1"/>
  <c r="AE1519" i="1"/>
  <c r="AD1519" i="1"/>
  <c r="AC1519" i="1"/>
  <c r="AB1519" i="1"/>
  <c r="AA1519" i="1"/>
  <c r="Z1519" i="1"/>
  <c r="Y1519" i="1"/>
  <c r="X1519" i="1"/>
  <c r="W1519" i="1"/>
  <c r="V1519" i="1"/>
  <c r="U1519" i="1"/>
  <c r="T1519" i="1"/>
  <c r="S1519" i="1"/>
  <c r="R1519" i="1"/>
  <c r="Q1519" i="1"/>
  <c r="P1519" i="1"/>
  <c r="O1519" i="1"/>
  <c r="B1519" i="1"/>
  <c r="H1519" i="1"/>
  <c r="G1519" i="1"/>
  <c r="F1519" i="1"/>
  <c r="E1519" i="1"/>
  <c r="N1519" i="1"/>
  <c r="M1519" i="1"/>
  <c r="L1519" i="1"/>
  <c r="K1519" i="1"/>
  <c r="J1519" i="1"/>
  <c r="I1519" i="1"/>
  <c r="D1519" i="1"/>
  <c r="C1519" i="1"/>
  <c r="A1519" i="1"/>
  <c r="AE1518" i="1"/>
  <c r="AD1518" i="1"/>
  <c r="AC1518" i="1"/>
  <c r="AB1518" i="1"/>
  <c r="AA1518" i="1"/>
  <c r="Z1518" i="1"/>
  <c r="Y1518" i="1"/>
  <c r="X1518" i="1"/>
  <c r="W1518" i="1"/>
  <c r="V1518" i="1"/>
  <c r="U1518" i="1"/>
  <c r="T1518" i="1"/>
  <c r="S1518" i="1"/>
  <c r="R1518" i="1"/>
  <c r="Q1518" i="1"/>
  <c r="P1518" i="1"/>
  <c r="O1518" i="1"/>
  <c r="B1518" i="1"/>
  <c r="H1518" i="1"/>
  <c r="G1518" i="1"/>
  <c r="F1518" i="1"/>
  <c r="E1518" i="1"/>
  <c r="N1518" i="1"/>
  <c r="M1518" i="1"/>
  <c r="L1518" i="1"/>
  <c r="K1518" i="1"/>
  <c r="J1518" i="1"/>
  <c r="I1518" i="1"/>
  <c r="D1518" i="1"/>
  <c r="C1518" i="1"/>
  <c r="A1518" i="1"/>
  <c r="AE1517" i="1"/>
  <c r="AD1517" i="1"/>
  <c r="AC1517" i="1"/>
  <c r="AB1517" i="1"/>
  <c r="AA1517" i="1"/>
  <c r="Z1517" i="1"/>
  <c r="Y1517" i="1"/>
  <c r="X1517" i="1"/>
  <c r="W1517" i="1"/>
  <c r="V1517" i="1"/>
  <c r="U1517" i="1"/>
  <c r="T1517" i="1"/>
  <c r="S1517" i="1"/>
  <c r="R1517" i="1"/>
  <c r="Q1517" i="1"/>
  <c r="P1517" i="1"/>
  <c r="O1517" i="1"/>
  <c r="B1517" i="1"/>
  <c r="H1517" i="1"/>
  <c r="G1517" i="1"/>
  <c r="F1517" i="1"/>
  <c r="E1517" i="1"/>
  <c r="N1517" i="1"/>
  <c r="M1517" i="1"/>
  <c r="L1517" i="1"/>
  <c r="K1517" i="1"/>
  <c r="J1517" i="1"/>
  <c r="I1517" i="1"/>
  <c r="D1517" i="1"/>
  <c r="C1517" i="1"/>
  <c r="A1517" i="1"/>
  <c r="AE1516" i="1"/>
  <c r="AD1516" i="1"/>
  <c r="AC1516" i="1"/>
  <c r="AB1516" i="1"/>
  <c r="AA1516" i="1"/>
  <c r="Z1516" i="1"/>
  <c r="Y1516" i="1"/>
  <c r="X1516" i="1"/>
  <c r="W1516" i="1"/>
  <c r="V1516" i="1"/>
  <c r="U1516" i="1"/>
  <c r="T1516" i="1"/>
  <c r="S1516" i="1"/>
  <c r="R1516" i="1"/>
  <c r="Q1516" i="1"/>
  <c r="P1516" i="1"/>
  <c r="O1516" i="1"/>
  <c r="B1516" i="1"/>
  <c r="H1516" i="1"/>
  <c r="G1516" i="1"/>
  <c r="F1516" i="1"/>
  <c r="E1516" i="1"/>
  <c r="N1516" i="1"/>
  <c r="M1516" i="1"/>
  <c r="L1516" i="1"/>
  <c r="K1516" i="1"/>
  <c r="J1516" i="1"/>
  <c r="I1516" i="1"/>
  <c r="D1516" i="1"/>
  <c r="C1516" i="1"/>
  <c r="A1516" i="1"/>
  <c r="AE1515" i="1"/>
  <c r="AD1515" i="1"/>
  <c r="AC1515" i="1"/>
  <c r="AB1515" i="1"/>
  <c r="AA1515" i="1"/>
  <c r="Z1515" i="1"/>
  <c r="Y1515" i="1"/>
  <c r="X1515" i="1"/>
  <c r="W1515" i="1"/>
  <c r="V1515" i="1"/>
  <c r="U1515" i="1"/>
  <c r="T1515" i="1"/>
  <c r="S1515" i="1"/>
  <c r="R1515" i="1"/>
  <c r="Q1515" i="1"/>
  <c r="P1515" i="1"/>
  <c r="O1515" i="1"/>
  <c r="B1515" i="1"/>
  <c r="H1515" i="1"/>
  <c r="G1515" i="1"/>
  <c r="F1515" i="1"/>
  <c r="E1515" i="1"/>
  <c r="N1515" i="1"/>
  <c r="M1515" i="1"/>
  <c r="L1515" i="1"/>
  <c r="K1515" i="1"/>
  <c r="J1515" i="1"/>
  <c r="I1515" i="1"/>
  <c r="D1515" i="1"/>
  <c r="C1515" i="1"/>
  <c r="A1515" i="1"/>
  <c r="AE1514" i="1"/>
  <c r="AD1514" i="1"/>
  <c r="AC1514" i="1"/>
  <c r="AB1514" i="1"/>
  <c r="AA1514" i="1"/>
  <c r="Z1514" i="1"/>
  <c r="Y1514" i="1"/>
  <c r="X1514" i="1"/>
  <c r="W1514" i="1"/>
  <c r="V1514" i="1"/>
  <c r="U1514" i="1"/>
  <c r="T1514" i="1"/>
  <c r="S1514" i="1"/>
  <c r="R1514" i="1"/>
  <c r="Q1514" i="1"/>
  <c r="P1514" i="1"/>
  <c r="O1514" i="1"/>
  <c r="B1514" i="1"/>
  <c r="H1514" i="1"/>
  <c r="G1514" i="1"/>
  <c r="F1514" i="1"/>
  <c r="E1514" i="1"/>
  <c r="N1514" i="1"/>
  <c r="M1514" i="1"/>
  <c r="L1514" i="1"/>
  <c r="K1514" i="1"/>
  <c r="J1514" i="1"/>
  <c r="I1514" i="1"/>
  <c r="D1514" i="1"/>
  <c r="C1514" i="1"/>
  <c r="A1514" i="1"/>
  <c r="AE1513" i="1"/>
  <c r="AD1513" i="1"/>
  <c r="AC1513" i="1"/>
  <c r="AB1513" i="1"/>
  <c r="AA1513" i="1"/>
  <c r="Z1513" i="1"/>
  <c r="Y1513" i="1"/>
  <c r="X1513" i="1"/>
  <c r="W1513" i="1"/>
  <c r="V1513" i="1"/>
  <c r="U1513" i="1"/>
  <c r="T1513" i="1"/>
  <c r="S1513" i="1"/>
  <c r="R1513" i="1"/>
  <c r="Q1513" i="1"/>
  <c r="P1513" i="1"/>
  <c r="O1513" i="1"/>
  <c r="B1513" i="1"/>
  <c r="H1513" i="1"/>
  <c r="G1513" i="1"/>
  <c r="F1513" i="1"/>
  <c r="E1513" i="1"/>
  <c r="N1513" i="1"/>
  <c r="M1513" i="1"/>
  <c r="L1513" i="1"/>
  <c r="K1513" i="1"/>
  <c r="J1513" i="1"/>
  <c r="I1513" i="1"/>
  <c r="D1513" i="1"/>
  <c r="C1513" i="1"/>
  <c r="A1513" i="1"/>
  <c r="AE1512" i="1"/>
  <c r="AD1512" i="1"/>
  <c r="AC1512" i="1"/>
  <c r="AB1512" i="1"/>
  <c r="AA1512" i="1"/>
  <c r="Z1512" i="1"/>
  <c r="Y1512" i="1"/>
  <c r="X1512" i="1"/>
  <c r="W1512" i="1"/>
  <c r="V1512" i="1"/>
  <c r="U1512" i="1"/>
  <c r="T1512" i="1"/>
  <c r="S1512" i="1"/>
  <c r="R1512" i="1"/>
  <c r="Q1512" i="1"/>
  <c r="P1512" i="1"/>
  <c r="O1512" i="1"/>
  <c r="B1512" i="1"/>
  <c r="H1512" i="1"/>
  <c r="G1512" i="1"/>
  <c r="F1512" i="1"/>
  <c r="E1512" i="1"/>
  <c r="N1512" i="1"/>
  <c r="M1512" i="1"/>
  <c r="L1512" i="1"/>
  <c r="K1512" i="1"/>
  <c r="J1512" i="1"/>
  <c r="I1512" i="1"/>
  <c r="D1512" i="1"/>
  <c r="C1512" i="1"/>
  <c r="A1512" i="1"/>
  <c r="AE1511" i="1"/>
  <c r="AD1511" i="1"/>
  <c r="AC1511" i="1"/>
  <c r="AB1511" i="1"/>
  <c r="AA1511" i="1"/>
  <c r="Z1511" i="1"/>
  <c r="Y1511" i="1"/>
  <c r="X1511" i="1"/>
  <c r="W1511" i="1"/>
  <c r="V1511" i="1"/>
  <c r="U1511" i="1"/>
  <c r="T1511" i="1"/>
  <c r="S1511" i="1"/>
  <c r="R1511" i="1"/>
  <c r="Q1511" i="1"/>
  <c r="P1511" i="1"/>
  <c r="O1511" i="1"/>
  <c r="B1511" i="1"/>
  <c r="H1511" i="1"/>
  <c r="G1511" i="1"/>
  <c r="F1511" i="1"/>
  <c r="E1511" i="1"/>
  <c r="M1511" i="1"/>
  <c r="L1511" i="1"/>
  <c r="K1511" i="1"/>
  <c r="J1511" i="1"/>
  <c r="I1511" i="1"/>
  <c r="D1511" i="1"/>
  <c r="C1511" i="1"/>
  <c r="A1511" i="1"/>
  <c r="AE1510" i="1"/>
  <c r="AD1510" i="1"/>
  <c r="AC1510" i="1"/>
  <c r="AB1510" i="1"/>
  <c r="AA1510" i="1"/>
  <c r="Z1510" i="1"/>
  <c r="Y1510" i="1"/>
  <c r="X1510" i="1"/>
  <c r="W1510" i="1"/>
  <c r="V1510" i="1"/>
  <c r="U1510" i="1"/>
  <c r="T1510" i="1"/>
  <c r="S1510" i="1"/>
  <c r="R1510" i="1"/>
  <c r="Q1510" i="1"/>
  <c r="P1510" i="1"/>
  <c r="O1510" i="1"/>
  <c r="B1510" i="1"/>
  <c r="H1510" i="1"/>
  <c r="G1510" i="1"/>
  <c r="F1510" i="1"/>
  <c r="E1510" i="1"/>
  <c r="N1510" i="1"/>
  <c r="M1510" i="1"/>
  <c r="L1510" i="1"/>
  <c r="K1510" i="1"/>
  <c r="J1510" i="1"/>
  <c r="I1510" i="1"/>
  <c r="D1510" i="1"/>
  <c r="C1510" i="1"/>
  <c r="A1510" i="1"/>
  <c r="AE1509" i="1"/>
  <c r="AD1509" i="1"/>
  <c r="AC1509" i="1"/>
  <c r="AB1509" i="1"/>
  <c r="AA1509" i="1"/>
  <c r="Z1509" i="1"/>
  <c r="Y1509" i="1"/>
  <c r="X1509" i="1"/>
  <c r="W1509" i="1"/>
  <c r="V1509" i="1"/>
  <c r="U1509" i="1"/>
  <c r="T1509" i="1"/>
  <c r="S1509" i="1"/>
  <c r="R1509" i="1"/>
  <c r="Q1509" i="1"/>
  <c r="P1509" i="1"/>
  <c r="O1509" i="1"/>
  <c r="B1509" i="1"/>
  <c r="H1509" i="1"/>
  <c r="G1509" i="1"/>
  <c r="F1509" i="1"/>
  <c r="E1509" i="1"/>
  <c r="N1509" i="1"/>
  <c r="M1509" i="1"/>
  <c r="L1509" i="1"/>
  <c r="K1509" i="1"/>
  <c r="J1509" i="1"/>
  <c r="I1509" i="1"/>
  <c r="D1509" i="1"/>
  <c r="C1509" i="1"/>
  <c r="A1509" i="1"/>
  <c r="AE1508" i="1"/>
  <c r="AD1508" i="1"/>
  <c r="AC1508" i="1"/>
  <c r="AB1508" i="1"/>
  <c r="AA1508" i="1"/>
  <c r="Z1508" i="1"/>
  <c r="Y1508" i="1"/>
  <c r="X1508" i="1"/>
  <c r="W1508" i="1"/>
  <c r="V1508" i="1"/>
  <c r="U1508" i="1"/>
  <c r="T1508" i="1"/>
  <c r="S1508" i="1"/>
  <c r="R1508" i="1"/>
  <c r="Q1508" i="1"/>
  <c r="P1508" i="1"/>
  <c r="O1508" i="1"/>
  <c r="B1508" i="1"/>
  <c r="H1508" i="1"/>
  <c r="G1508" i="1"/>
  <c r="F1508" i="1"/>
  <c r="E1508" i="1"/>
  <c r="N1508" i="1"/>
  <c r="M1508" i="1"/>
  <c r="L1508" i="1"/>
  <c r="K1508" i="1"/>
  <c r="J1508" i="1"/>
  <c r="I1508" i="1"/>
  <c r="D1508" i="1"/>
  <c r="C1508" i="1"/>
  <c r="A1508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B1507" i="1"/>
  <c r="H1507" i="1"/>
  <c r="G1507" i="1"/>
  <c r="F1507" i="1"/>
  <c r="E1507" i="1"/>
  <c r="N1507" i="1"/>
  <c r="M1507" i="1"/>
  <c r="L1507" i="1"/>
  <c r="K1507" i="1"/>
  <c r="J1507" i="1"/>
  <c r="I1507" i="1"/>
  <c r="D1507" i="1"/>
  <c r="C1507" i="1"/>
  <c r="A1507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B1506" i="1"/>
  <c r="H1506" i="1"/>
  <c r="G1506" i="1"/>
  <c r="F1506" i="1"/>
  <c r="E1506" i="1"/>
  <c r="N1506" i="1"/>
  <c r="M1506" i="1"/>
  <c r="L1506" i="1"/>
  <c r="K1506" i="1"/>
  <c r="J1506" i="1"/>
  <c r="I1506" i="1"/>
  <c r="D1506" i="1"/>
  <c r="C1506" i="1"/>
  <c r="A1506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B1505" i="1"/>
  <c r="H1505" i="1"/>
  <c r="G1505" i="1"/>
  <c r="F1505" i="1"/>
  <c r="E1505" i="1"/>
  <c r="N1505" i="1"/>
  <c r="M1505" i="1"/>
  <c r="L1505" i="1"/>
  <c r="K1505" i="1"/>
  <c r="J1505" i="1"/>
  <c r="I1505" i="1"/>
  <c r="D1505" i="1"/>
  <c r="C1505" i="1"/>
  <c r="A1505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B1504" i="1"/>
  <c r="H1504" i="1"/>
  <c r="G1504" i="1"/>
  <c r="F1504" i="1"/>
  <c r="E1504" i="1"/>
  <c r="N1504" i="1"/>
  <c r="M1504" i="1"/>
  <c r="L1504" i="1"/>
  <c r="K1504" i="1"/>
  <c r="J1504" i="1"/>
  <c r="I1504" i="1"/>
  <c r="D1504" i="1"/>
  <c r="C1504" i="1"/>
  <c r="A1504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B1503" i="1"/>
  <c r="H1503" i="1"/>
  <c r="G1503" i="1"/>
  <c r="F1503" i="1"/>
  <c r="E1503" i="1"/>
  <c r="N1503" i="1"/>
  <c r="M1503" i="1"/>
  <c r="L1503" i="1"/>
  <c r="K1503" i="1"/>
  <c r="J1503" i="1"/>
  <c r="I1503" i="1"/>
  <c r="D1503" i="1"/>
  <c r="C1503" i="1"/>
  <c r="A1503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B1502" i="1"/>
  <c r="H1502" i="1"/>
  <c r="G1502" i="1"/>
  <c r="F1502" i="1"/>
  <c r="E1502" i="1"/>
  <c r="N1502" i="1"/>
  <c r="M1502" i="1"/>
  <c r="L1502" i="1"/>
  <c r="K1502" i="1"/>
  <c r="J1502" i="1"/>
  <c r="I1502" i="1"/>
  <c r="D1502" i="1"/>
  <c r="C1502" i="1"/>
  <c r="A1502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B1501" i="1"/>
  <c r="H1501" i="1"/>
  <c r="G1501" i="1"/>
  <c r="F1501" i="1"/>
  <c r="E1501" i="1"/>
  <c r="N1501" i="1"/>
  <c r="M1501" i="1"/>
  <c r="L1501" i="1"/>
  <c r="K1501" i="1"/>
  <c r="J1501" i="1"/>
  <c r="I1501" i="1"/>
  <c r="D1501" i="1"/>
  <c r="C1501" i="1"/>
  <c r="A1501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B1500" i="1"/>
  <c r="H1500" i="1"/>
  <c r="G1500" i="1"/>
  <c r="F1500" i="1"/>
  <c r="E1500" i="1"/>
  <c r="N1500" i="1"/>
  <c r="M1500" i="1"/>
  <c r="L1500" i="1"/>
  <c r="K1500" i="1"/>
  <c r="J1500" i="1"/>
  <c r="I1500" i="1"/>
  <c r="D1500" i="1"/>
  <c r="C1500" i="1"/>
  <c r="A1500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B1499" i="1"/>
  <c r="H1499" i="1"/>
  <c r="G1499" i="1"/>
  <c r="F1499" i="1"/>
  <c r="E1499" i="1"/>
  <c r="N1499" i="1"/>
  <c r="M1499" i="1"/>
  <c r="L1499" i="1"/>
  <c r="K1499" i="1"/>
  <c r="J1499" i="1"/>
  <c r="I1499" i="1"/>
  <c r="D1499" i="1"/>
  <c r="C1499" i="1"/>
  <c r="A1499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B1498" i="1"/>
  <c r="H1498" i="1"/>
  <c r="G1498" i="1"/>
  <c r="F1498" i="1"/>
  <c r="E1498" i="1"/>
  <c r="N1498" i="1"/>
  <c r="M1498" i="1"/>
  <c r="L1498" i="1"/>
  <c r="K1498" i="1"/>
  <c r="J1498" i="1"/>
  <c r="I1498" i="1"/>
  <c r="D1498" i="1"/>
  <c r="C1498" i="1"/>
  <c r="A1498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B1497" i="1"/>
  <c r="H1497" i="1"/>
  <c r="G1497" i="1"/>
  <c r="F1497" i="1"/>
  <c r="E1497" i="1"/>
  <c r="N1497" i="1"/>
  <c r="M1497" i="1"/>
  <c r="L1497" i="1"/>
  <c r="K1497" i="1"/>
  <c r="J1497" i="1"/>
  <c r="I1497" i="1"/>
  <c r="D1497" i="1"/>
  <c r="C1497" i="1"/>
  <c r="A1497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B1496" i="1"/>
  <c r="H1496" i="1"/>
  <c r="G1496" i="1"/>
  <c r="F1496" i="1"/>
  <c r="E1496" i="1"/>
  <c r="N1496" i="1"/>
  <c r="M1496" i="1"/>
  <c r="L1496" i="1"/>
  <c r="K1496" i="1"/>
  <c r="J1496" i="1"/>
  <c r="I1496" i="1"/>
  <c r="D1496" i="1"/>
  <c r="C1496" i="1"/>
  <c r="A1496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B1495" i="1"/>
  <c r="H1495" i="1"/>
  <c r="G1495" i="1"/>
  <c r="F1495" i="1"/>
  <c r="E1495" i="1"/>
  <c r="N1495" i="1"/>
  <c r="M1495" i="1"/>
  <c r="L1495" i="1"/>
  <c r="K1495" i="1"/>
  <c r="J1495" i="1"/>
  <c r="I1495" i="1"/>
  <c r="D1495" i="1"/>
  <c r="C1495" i="1"/>
  <c r="A1495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B1494" i="1"/>
  <c r="H1494" i="1"/>
  <c r="G1494" i="1"/>
  <c r="F1494" i="1"/>
  <c r="E1494" i="1"/>
  <c r="N1494" i="1"/>
  <c r="M1494" i="1"/>
  <c r="L1494" i="1"/>
  <c r="K1494" i="1"/>
  <c r="J1494" i="1"/>
  <c r="I1494" i="1"/>
  <c r="D1494" i="1"/>
  <c r="C1494" i="1"/>
  <c r="A1494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B1493" i="1"/>
  <c r="H1493" i="1"/>
  <c r="G1493" i="1"/>
  <c r="F1493" i="1"/>
  <c r="E1493" i="1"/>
  <c r="N1493" i="1"/>
  <c r="M1493" i="1"/>
  <c r="L1493" i="1"/>
  <c r="K1493" i="1"/>
  <c r="J1493" i="1"/>
  <c r="I1493" i="1"/>
  <c r="D1493" i="1"/>
  <c r="C1493" i="1"/>
  <c r="A1493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B1492" i="1"/>
  <c r="H1492" i="1"/>
  <c r="G1492" i="1"/>
  <c r="F1492" i="1"/>
  <c r="E1492" i="1"/>
  <c r="N1492" i="1"/>
  <c r="M1492" i="1"/>
  <c r="L1492" i="1"/>
  <c r="K1492" i="1"/>
  <c r="J1492" i="1"/>
  <c r="I1492" i="1"/>
  <c r="D1492" i="1"/>
  <c r="C1492" i="1"/>
  <c r="A1492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B1491" i="1"/>
  <c r="H1491" i="1"/>
  <c r="G1491" i="1"/>
  <c r="F1491" i="1"/>
  <c r="E1491" i="1"/>
  <c r="N1491" i="1"/>
  <c r="M1491" i="1"/>
  <c r="L1491" i="1"/>
  <c r="K1491" i="1"/>
  <c r="J1491" i="1"/>
  <c r="I1491" i="1"/>
  <c r="D1491" i="1"/>
  <c r="C1491" i="1"/>
  <c r="A1491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B1490" i="1"/>
  <c r="H1490" i="1"/>
  <c r="G1490" i="1"/>
  <c r="F1490" i="1"/>
  <c r="E1490" i="1"/>
  <c r="N1490" i="1"/>
  <c r="M1490" i="1"/>
  <c r="L1490" i="1"/>
  <c r="K1490" i="1"/>
  <c r="J1490" i="1"/>
  <c r="I1490" i="1"/>
  <c r="D1490" i="1"/>
  <c r="C1490" i="1"/>
  <c r="A1490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B1489" i="1"/>
  <c r="H1489" i="1"/>
  <c r="G1489" i="1"/>
  <c r="F1489" i="1"/>
  <c r="E1489" i="1"/>
  <c r="N1489" i="1"/>
  <c r="M1489" i="1"/>
  <c r="L1489" i="1"/>
  <c r="K1489" i="1"/>
  <c r="J1489" i="1"/>
  <c r="I1489" i="1"/>
  <c r="D1489" i="1"/>
  <c r="C1489" i="1"/>
  <c r="A1489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B1488" i="1"/>
  <c r="H1488" i="1"/>
  <c r="G1488" i="1"/>
  <c r="F1488" i="1"/>
  <c r="E1488" i="1"/>
  <c r="N1488" i="1"/>
  <c r="M1488" i="1"/>
  <c r="L1488" i="1"/>
  <c r="K1488" i="1"/>
  <c r="J1488" i="1"/>
  <c r="I1488" i="1"/>
  <c r="D1488" i="1"/>
  <c r="C1488" i="1"/>
  <c r="A1488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B1487" i="1"/>
  <c r="H1487" i="1"/>
  <c r="G1487" i="1"/>
  <c r="F1487" i="1"/>
  <c r="E1487" i="1"/>
  <c r="N1487" i="1"/>
  <c r="M1487" i="1"/>
  <c r="L1487" i="1"/>
  <c r="K1487" i="1"/>
  <c r="J1487" i="1"/>
  <c r="I1487" i="1"/>
  <c r="D1487" i="1"/>
  <c r="C1487" i="1"/>
  <c r="A1487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B1486" i="1"/>
  <c r="H1486" i="1"/>
  <c r="G1486" i="1"/>
  <c r="F1486" i="1"/>
  <c r="E1486" i="1"/>
  <c r="N1486" i="1"/>
  <c r="M1486" i="1"/>
  <c r="L1486" i="1"/>
  <c r="K1486" i="1"/>
  <c r="J1486" i="1"/>
  <c r="I1486" i="1"/>
  <c r="D1486" i="1"/>
  <c r="C1486" i="1"/>
  <c r="A1486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B1485" i="1"/>
  <c r="H1485" i="1"/>
  <c r="G1485" i="1"/>
  <c r="F1485" i="1"/>
  <c r="E1485" i="1"/>
  <c r="N1485" i="1"/>
  <c r="M1485" i="1"/>
  <c r="L1485" i="1"/>
  <c r="K1485" i="1"/>
  <c r="J1485" i="1"/>
  <c r="I1485" i="1"/>
  <c r="D1485" i="1"/>
  <c r="C1485" i="1"/>
  <c r="A1485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B1484" i="1"/>
  <c r="H1484" i="1"/>
  <c r="G1484" i="1"/>
  <c r="F1484" i="1"/>
  <c r="E1484" i="1"/>
  <c r="N1484" i="1"/>
  <c r="M1484" i="1"/>
  <c r="L1484" i="1"/>
  <c r="K1484" i="1"/>
  <c r="J1484" i="1"/>
  <c r="I1484" i="1"/>
  <c r="D1484" i="1"/>
  <c r="C1484" i="1"/>
  <c r="A1484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B1483" i="1"/>
  <c r="H1483" i="1"/>
  <c r="G1483" i="1"/>
  <c r="F1483" i="1"/>
  <c r="E1483" i="1"/>
  <c r="N1483" i="1"/>
  <c r="M1483" i="1"/>
  <c r="L1483" i="1"/>
  <c r="K1483" i="1"/>
  <c r="J1483" i="1"/>
  <c r="I1483" i="1"/>
  <c r="D1483" i="1"/>
  <c r="C1483" i="1"/>
  <c r="A1483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B1482" i="1"/>
  <c r="H1482" i="1"/>
  <c r="G1482" i="1"/>
  <c r="F1482" i="1"/>
  <c r="E1482" i="1"/>
  <c r="N1482" i="1"/>
  <c r="M1482" i="1"/>
  <c r="L1482" i="1"/>
  <c r="K1482" i="1"/>
  <c r="J1482" i="1"/>
  <c r="I1482" i="1"/>
  <c r="D1482" i="1"/>
  <c r="C1482" i="1"/>
  <c r="A1482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B1481" i="1"/>
  <c r="H1481" i="1"/>
  <c r="G1481" i="1"/>
  <c r="F1481" i="1"/>
  <c r="E1481" i="1"/>
  <c r="N1481" i="1"/>
  <c r="M1481" i="1"/>
  <c r="L1481" i="1"/>
  <c r="K1481" i="1"/>
  <c r="J1481" i="1"/>
  <c r="I1481" i="1"/>
  <c r="D1481" i="1"/>
  <c r="C1481" i="1"/>
  <c r="A1481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B1480" i="1"/>
  <c r="H1480" i="1"/>
  <c r="G1480" i="1"/>
  <c r="F1480" i="1"/>
  <c r="E1480" i="1"/>
  <c r="N1480" i="1"/>
  <c r="M1480" i="1"/>
  <c r="L1480" i="1"/>
  <c r="K1480" i="1"/>
  <c r="J1480" i="1"/>
  <c r="I1480" i="1"/>
  <c r="D1480" i="1"/>
  <c r="C1480" i="1"/>
  <c r="A1480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B1479" i="1"/>
  <c r="H1479" i="1"/>
  <c r="G1479" i="1"/>
  <c r="F1479" i="1"/>
  <c r="E1479" i="1"/>
  <c r="N1479" i="1"/>
  <c r="M1479" i="1"/>
  <c r="L1479" i="1"/>
  <c r="K1479" i="1"/>
  <c r="J1479" i="1"/>
  <c r="I1479" i="1"/>
  <c r="D1479" i="1"/>
  <c r="C1479" i="1"/>
  <c r="A1479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B1478" i="1"/>
  <c r="H1478" i="1"/>
  <c r="G1478" i="1"/>
  <c r="F1478" i="1"/>
  <c r="E1478" i="1"/>
  <c r="N1478" i="1"/>
  <c r="M1478" i="1"/>
  <c r="L1478" i="1"/>
  <c r="K1478" i="1"/>
  <c r="J1478" i="1"/>
  <c r="I1478" i="1"/>
  <c r="D1478" i="1"/>
  <c r="C1478" i="1"/>
  <c r="A1478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B1477" i="1"/>
  <c r="H1477" i="1"/>
  <c r="G1477" i="1"/>
  <c r="F1477" i="1"/>
  <c r="E1477" i="1"/>
  <c r="M1477" i="1"/>
  <c r="L1477" i="1"/>
  <c r="K1477" i="1"/>
  <c r="J1477" i="1"/>
  <c r="I1477" i="1"/>
  <c r="D1477" i="1"/>
  <c r="C1477" i="1"/>
  <c r="A1477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B1476" i="1"/>
  <c r="H1476" i="1"/>
  <c r="G1476" i="1"/>
  <c r="F1476" i="1"/>
  <c r="E1476" i="1"/>
  <c r="N1476" i="1"/>
  <c r="M1476" i="1"/>
  <c r="L1476" i="1"/>
  <c r="K1476" i="1"/>
  <c r="J1476" i="1"/>
  <c r="I1476" i="1"/>
  <c r="D1476" i="1"/>
  <c r="C1476" i="1"/>
  <c r="A1476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B1475" i="1"/>
  <c r="H1475" i="1"/>
  <c r="G1475" i="1"/>
  <c r="F1475" i="1"/>
  <c r="E1475" i="1"/>
  <c r="N1475" i="1"/>
  <c r="M1475" i="1"/>
  <c r="L1475" i="1"/>
  <c r="K1475" i="1"/>
  <c r="J1475" i="1"/>
  <c r="I1475" i="1"/>
  <c r="D1475" i="1"/>
  <c r="C1475" i="1"/>
  <c r="A1475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B1474" i="1"/>
  <c r="H1474" i="1"/>
  <c r="G1474" i="1"/>
  <c r="F1474" i="1"/>
  <c r="E1474" i="1"/>
  <c r="M1474" i="1"/>
  <c r="L1474" i="1"/>
  <c r="K1474" i="1"/>
  <c r="J1474" i="1"/>
  <c r="I1474" i="1"/>
  <c r="D1474" i="1"/>
  <c r="C1474" i="1"/>
  <c r="A1474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B1473" i="1"/>
  <c r="H1473" i="1"/>
  <c r="G1473" i="1"/>
  <c r="F1473" i="1"/>
  <c r="E1473" i="1"/>
  <c r="N1473" i="1"/>
  <c r="M1473" i="1"/>
  <c r="L1473" i="1"/>
  <c r="K1473" i="1"/>
  <c r="J1473" i="1"/>
  <c r="I1473" i="1"/>
  <c r="D1473" i="1"/>
  <c r="C1473" i="1"/>
  <c r="A1473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B1472" i="1"/>
  <c r="H1472" i="1"/>
  <c r="G1472" i="1"/>
  <c r="F1472" i="1"/>
  <c r="E1472" i="1"/>
  <c r="N1472" i="1"/>
  <c r="M1472" i="1"/>
  <c r="L1472" i="1"/>
  <c r="K1472" i="1"/>
  <c r="J1472" i="1"/>
  <c r="I1472" i="1"/>
  <c r="D1472" i="1"/>
  <c r="C1472" i="1"/>
  <c r="A1472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B1471" i="1"/>
  <c r="H1471" i="1"/>
  <c r="G1471" i="1"/>
  <c r="F1471" i="1"/>
  <c r="E1471" i="1"/>
  <c r="N1471" i="1"/>
  <c r="M1471" i="1"/>
  <c r="L1471" i="1"/>
  <c r="K1471" i="1"/>
  <c r="J1471" i="1"/>
  <c r="I1471" i="1"/>
  <c r="D1471" i="1"/>
  <c r="C1471" i="1"/>
  <c r="A1471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B1470" i="1"/>
  <c r="H1470" i="1"/>
  <c r="G1470" i="1"/>
  <c r="F1470" i="1"/>
  <c r="E1470" i="1"/>
  <c r="N1470" i="1"/>
  <c r="M1470" i="1"/>
  <c r="L1470" i="1"/>
  <c r="K1470" i="1"/>
  <c r="J1470" i="1"/>
  <c r="I1470" i="1"/>
  <c r="D1470" i="1"/>
  <c r="C1470" i="1"/>
  <c r="A1470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B1469" i="1"/>
  <c r="H1469" i="1"/>
  <c r="G1469" i="1"/>
  <c r="F1469" i="1"/>
  <c r="E1469" i="1"/>
  <c r="N1469" i="1"/>
  <c r="M1469" i="1"/>
  <c r="L1469" i="1"/>
  <c r="K1469" i="1"/>
  <c r="J1469" i="1"/>
  <c r="I1469" i="1"/>
  <c r="D1469" i="1"/>
  <c r="C1469" i="1"/>
  <c r="A1469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B1468" i="1"/>
  <c r="H1468" i="1"/>
  <c r="G1468" i="1"/>
  <c r="F1468" i="1"/>
  <c r="E1468" i="1"/>
  <c r="N1468" i="1"/>
  <c r="M1468" i="1"/>
  <c r="L1468" i="1"/>
  <c r="K1468" i="1"/>
  <c r="J1468" i="1"/>
  <c r="I1468" i="1"/>
  <c r="D1468" i="1"/>
  <c r="C1468" i="1"/>
  <c r="A1468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B1467" i="1"/>
  <c r="H1467" i="1"/>
  <c r="G1467" i="1"/>
  <c r="F1467" i="1"/>
  <c r="E1467" i="1"/>
  <c r="N1467" i="1"/>
  <c r="M1467" i="1"/>
  <c r="L1467" i="1"/>
  <c r="K1467" i="1"/>
  <c r="J1467" i="1"/>
  <c r="I1467" i="1"/>
  <c r="D1467" i="1"/>
  <c r="C1467" i="1"/>
  <c r="A1467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B1466" i="1"/>
  <c r="H1466" i="1"/>
  <c r="G1466" i="1"/>
  <c r="F1466" i="1"/>
  <c r="E1466" i="1"/>
  <c r="N1466" i="1"/>
  <c r="M1466" i="1"/>
  <c r="L1466" i="1"/>
  <c r="K1466" i="1"/>
  <c r="J1466" i="1"/>
  <c r="I1466" i="1"/>
  <c r="D1466" i="1"/>
  <c r="C1466" i="1"/>
  <c r="A1466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B1465" i="1"/>
  <c r="H1465" i="1"/>
  <c r="G1465" i="1"/>
  <c r="F1465" i="1"/>
  <c r="E1465" i="1"/>
  <c r="N1465" i="1"/>
  <c r="M1465" i="1"/>
  <c r="L1465" i="1"/>
  <c r="K1465" i="1"/>
  <c r="J1465" i="1"/>
  <c r="I1465" i="1"/>
  <c r="D1465" i="1"/>
  <c r="C1465" i="1"/>
  <c r="A1465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B1464" i="1"/>
  <c r="H1464" i="1"/>
  <c r="G1464" i="1"/>
  <c r="F1464" i="1"/>
  <c r="E1464" i="1"/>
  <c r="N1464" i="1"/>
  <c r="M1464" i="1"/>
  <c r="L1464" i="1"/>
  <c r="K1464" i="1"/>
  <c r="J1464" i="1"/>
  <c r="I1464" i="1"/>
  <c r="D1464" i="1"/>
  <c r="C1464" i="1"/>
  <c r="A1464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B1463" i="1"/>
  <c r="H1463" i="1"/>
  <c r="G1463" i="1"/>
  <c r="F1463" i="1"/>
  <c r="E1463" i="1"/>
  <c r="N1463" i="1"/>
  <c r="M1463" i="1"/>
  <c r="L1463" i="1"/>
  <c r="K1463" i="1"/>
  <c r="J1463" i="1"/>
  <c r="I1463" i="1"/>
  <c r="D1463" i="1"/>
  <c r="C1463" i="1"/>
  <c r="A1463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B1462" i="1"/>
  <c r="H1462" i="1"/>
  <c r="G1462" i="1"/>
  <c r="F1462" i="1"/>
  <c r="E1462" i="1"/>
  <c r="N1462" i="1"/>
  <c r="M1462" i="1"/>
  <c r="L1462" i="1"/>
  <c r="K1462" i="1"/>
  <c r="J1462" i="1"/>
  <c r="I1462" i="1"/>
  <c r="D1462" i="1"/>
  <c r="C1462" i="1"/>
  <c r="A1462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B1461" i="1"/>
  <c r="H1461" i="1"/>
  <c r="G1461" i="1"/>
  <c r="F1461" i="1"/>
  <c r="E1461" i="1"/>
  <c r="N1461" i="1"/>
  <c r="M1461" i="1"/>
  <c r="L1461" i="1"/>
  <c r="K1461" i="1"/>
  <c r="J1461" i="1"/>
  <c r="I1461" i="1"/>
  <c r="D1461" i="1"/>
  <c r="C1461" i="1"/>
  <c r="A1461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B1460" i="1"/>
  <c r="H1460" i="1"/>
  <c r="G1460" i="1"/>
  <c r="F1460" i="1"/>
  <c r="E1460" i="1"/>
  <c r="N1460" i="1"/>
  <c r="M1460" i="1"/>
  <c r="L1460" i="1"/>
  <c r="K1460" i="1"/>
  <c r="J1460" i="1"/>
  <c r="I1460" i="1"/>
  <c r="D1460" i="1"/>
  <c r="C1460" i="1"/>
  <c r="A1460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B1459" i="1"/>
  <c r="H1459" i="1"/>
  <c r="G1459" i="1"/>
  <c r="F1459" i="1"/>
  <c r="E1459" i="1"/>
  <c r="N1459" i="1"/>
  <c r="M1459" i="1"/>
  <c r="L1459" i="1"/>
  <c r="K1459" i="1"/>
  <c r="J1459" i="1"/>
  <c r="I1459" i="1"/>
  <c r="D1459" i="1"/>
  <c r="C1459" i="1"/>
  <c r="A1459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B1458" i="1"/>
  <c r="H1458" i="1"/>
  <c r="G1458" i="1"/>
  <c r="F1458" i="1"/>
  <c r="E1458" i="1"/>
  <c r="N1458" i="1"/>
  <c r="M1458" i="1"/>
  <c r="L1458" i="1"/>
  <c r="K1458" i="1"/>
  <c r="J1458" i="1"/>
  <c r="I1458" i="1"/>
  <c r="D1458" i="1"/>
  <c r="C1458" i="1"/>
  <c r="A1458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B1457" i="1"/>
  <c r="H1457" i="1"/>
  <c r="G1457" i="1"/>
  <c r="F1457" i="1"/>
  <c r="E1457" i="1"/>
  <c r="N1457" i="1"/>
  <c r="M1457" i="1"/>
  <c r="L1457" i="1"/>
  <c r="K1457" i="1"/>
  <c r="J1457" i="1"/>
  <c r="I1457" i="1"/>
  <c r="D1457" i="1"/>
  <c r="C1457" i="1"/>
  <c r="A1457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B1456" i="1"/>
  <c r="H1456" i="1"/>
  <c r="G1456" i="1"/>
  <c r="F1456" i="1"/>
  <c r="E1456" i="1"/>
  <c r="N1456" i="1"/>
  <c r="M1456" i="1"/>
  <c r="L1456" i="1"/>
  <c r="K1456" i="1"/>
  <c r="J1456" i="1"/>
  <c r="I1456" i="1"/>
  <c r="D1456" i="1"/>
  <c r="C1456" i="1"/>
  <c r="A1456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B1455" i="1"/>
  <c r="H1455" i="1"/>
  <c r="G1455" i="1"/>
  <c r="F1455" i="1"/>
  <c r="E1455" i="1"/>
  <c r="N1455" i="1"/>
  <c r="M1455" i="1"/>
  <c r="L1455" i="1"/>
  <c r="K1455" i="1"/>
  <c r="J1455" i="1"/>
  <c r="I1455" i="1"/>
  <c r="D1455" i="1"/>
  <c r="C1455" i="1"/>
  <c r="A1455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B1454" i="1"/>
  <c r="H1454" i="1"/>
  <c r="G1454" i="1"/>
  <c r="F1454" i="1"/>
  <c r="E1454" i="1"/>
  <c r="N1454" i="1"/>
  <c r="M1454" i="1"/>
  <c r="L1454" i="1"/>
  <c r="K1454" i="1"/>
  <c r="J1454" i="1"/>
  <c r="I1454" i="1"/>
  <c r="D1454" i="1"/>
  <c r="C1454" i="1"/>
  <c r="A1454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B1453" i="1"/>
  <c r="H1453" i="1"/>
  <c r="G1453" i="1"/>
  <c r="F1453" i="1"/>
  <c r="E1453" i="1"/>
  <c r="N1453" i="1"/>
  <c r="M1453" i="1"/>
  <c r="L1453" i="1"/>
  <c r="K1453" i="1"/>
  <c r="J1453" i="1"/>
  <c r="I1453" i="1"/>
  <c r="D1453" i="1"/>
  <c r="C1453" i="1"/>
  <c r="A1453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B1452" i="1"/>
  <c r="H1452" i="1"/>
  <c r="G1452" i="1"/>
  <c r="F1452" i="1"/>
  <c r="E1452" i="1"/>
  <c r="N1452" i="1"/>
  <c r="M1452" i="1"/>
  <c r="L1452" i="1"/>
  <c r="K1452" i="1"/>
  <c r="J1452" i="1"/>
  <c r="I1452" i="1"/>
  <c r="D1452" i="1"/>
  <c r="C1452" i="1"/>
  <c r="A1452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B1451" i="1"/>
  <c r="H1451" i="1"/>
  <c r="G1451" i="1"/>
  <c r="F1451" i="1"/>
  <c r="E1451" i="1"/>
  <c r="N1451" i="1"/>
  <c r="M1451" i="1"/>
  <c r="L1451" i="1"/>
  <c r="K1451" i="1"/>
  <c r="J1451" i="1"/>
  <c r="I1451" i="1"/>
  <c r="D1451" i="1"/>
  <c r="C1451" i="1"/>
  <c r="A1451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B1450" i="1"/>
  <c r="H1450" i="1"/>
  <c r="G1450" i="1"/>
  <c r="F1450" i="1"/>
  <c r="E1450" i="1"/>
  <c r="N1450" i="1"/>
  <c r="M1450" i="1"/>
  <c r="L1450" i="1"/>
  <c r="K1450" i="1"/>
  <c r="J1450" i="1"/>
  <c r="I1450" i="1"/>
  <c r="D1450" i="1"/>
  <c r="C1450" i="1"/>
  <c r="A1450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B1449" i="1"/>
  <c r="H1449" i="1"/>
  <c r="G1449" i="1"/>
  <c r="F1449" i="1"/>
  <c r="E1449" i="1"/>
  <c r="N1449" i="1"/>
  <c r="M1449" i="1"/>
  <c r="L1449" i="1"/>
  <c r="K1449" i="1"/>
  <c r="J1449" i="1"/>
  <c r="I1449" i="1"/>
  <c r="D1449" i="1"/>
  <c r="C1449" i="1"/>
  <c r="A1449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B1448" i="1"/>
  <c r="H1448" i="1"/>
  <c r="G1448" i="1"/>
  <c r="F1448" i="1"/>
  <c r="E1448" i="1"/>
  <c r="N1448" i="1"/>
  <c r="M1448" i="1"/>
  <c r="L1448" i="1"/>
  <c r="K1448" i="1"/>
  <c r="J1448" i="1"/>
  <c r="I1448" i="1"/>
  <c r="D1448" i="1"/>
  <c r="C1448" i="1"/>
  <c r="A1448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B1447" i="1"/>
  <c r="H1447" i="1"/>
  <c r="G1447" i="1"/>
  <c r="F1447" i="1"/>
  <c r="E1447" i="1"/>
  <c r="N1447" i="1"/>
  <c r="M1447" i="1"/>
  <c r="L1447" i="1"/>
  <c r="K1447" i="1"/>
  <c r="J1447" i="1"/>
  <c r="I1447" i="1"/>
  <c r="D1447" i="1"/>
  <c r="C1447" i="1"/>
  <c r="A1447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B1446" i="1"/>
  <c r="H1446" i="1"/>
  <c r="G1446" i="1"/>
  <c r="F1446" i="1"/>
  <c r="E1446" i="1"/>
  <c r="N1446" i="1"/>
  <c r="M1446" i="1"/>
  <c r="L1446" i="1"/>
  <c r="K1446" i="1"/>
  <c r="J1446" i="1"/>
  <c r="I1446" i="1"/>
  <c r="D1446" i="1"/>
  <c r="C1446" i="1"/>
  <c r="A1446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B1445" i="1"/>
  <c r="H1445" i="1"/>
  <c r="G1445" i="1"/>
  <c r="F1445" i="1"/>
  <c r="E1445" i="1"/>
  <c r="N1445" i="1"/>
  <c r="M1445" i="1"/>
  <c r="L1445" i="1"/>
  <c r="K1445" i="1"/>
  <c r="J1445" i="1"/>
  <c r="I1445" i="1"/>
  <c r="D1445" i="1"/>
  <c r="C1445" i="1"/>
  <c r="A1445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B1444" i="1"/>
  <c r="H1444" i="1"/>
  <c r="G1444" i="1"/>
  <c r="F1444" i="1"/>
  <c r="E1444" i="1"/>
  <c r="N1444" i="1"/>
  <c r="M1444" i="1"/>
  <c r="L1444" i="1"/>
  <c r="K1444" i="1"/>
  <c r="J1444" i="1"/>
  <c r="I1444" i="1"/>
  <c r="D1444" i="1"/>
  <c r="C1444" i="1"/>
  <c r="A1444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B1443" i="1"/>
  <c r="H1443" i="1"/>
  <c r="G1443" i="1"/>
  <c r="F1443" i="1"/>
  <c r="E1443" i="1"/>
  <c r="N1443" i="1"/>
  <c r="M1443" i="1"/>
  <c r="L1443" i="1"/>
  <c r="K1443" i="1"/>
  <c r="J1443" i="1"/>
  <c r="I1443" i="1"/>
  <c r="D1443" i="1"/>
  <c r="C1443" i="1"/>
  <c r="A1443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B1442" i="1"/>
  <c r="H1442" i="1"/>
  <c r="G1442" i="1"/>
  <c r="F1442" i="1"/>
  <c r="E1442" i="1"/>
  <c r="N1442" i="1"/>
  <c r="M1442" i="1"/>
  <c r="L1442" i="1"/>
  <c r="K1442" i="1"/>
  <c r="J1442" i="1"/>
  <c r="I1442" i="1"/>
  <c r="D1442" i="1"/>
  <c r="C1442" i="1"/>
  <c r="A1442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B1441" i="1"/>
  <c r="H1441" i="1"/>
  <c r="G1441" i="1"/>
  <c r="F1441" i="1"/>
  <c r="E1441" i="1"/>
  <c r="N1441" i="1"/>
  <c r="M1441" i="1"/>
  <c r="L1441" i="1"/>
  <c r="K1441" i="1"/>
  <c r="J1441" i="1"/>
  <c r="I1441" i="1"/>
  <c r="D1441" i="1"/>
  <c r="C1441" i="1"/>
  <c r="A1441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B1440" i="1"/>
  <c r="H1440" i="1"/>
  <c r="G1440" i="1"/>
  <c r="F1440" i="1"/>
  <c r="E1440" i="1"/>
  <c r="N1440" i="1"/>
  <c r="M1440" i="1"/>
  <c r="L1440" i="1"/>
  <c r="K1440" i="1"/>
  <c r="J1440" i="1"/>
  <c r="I1440" i="1"/>
  <c r="D1440" i="1"/>
  <c r="C1440" i="1"/>
  <c r="A1440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B1439" i="1"/>
  <c r="H1439" i="1"/>
  <c r="G1439" i="1"/>
  <c r="F1439" i="1"/>
  <c r="E1439" i="1"/>
  <c r="N1439" i="1"/>
  <c r="M1439" i="1"/>
  <c r="L1439" i="1"/>
  <c r="K1439" i="1"/>
  <c r="J1439" i="1"/>
  <c r="I1439" i="1"/>
  <c r="D1439" i="1"/>
  <c r="C1439" i="1"/>
  <c r="A1439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B1438" i="1"/>
  <c r="H1438" i="1"/>
  <c r="G1438" i="1"/>
  <c r="F1438" i="1"/>
  <c r="E1438" i="1"/>
  <c r="N1438" i="1"/>
  <c r="M1438" i="1"/>
  <c r="L1438" i="1"/>
  <c r="K1438" i="1"/>
  <c r="J1438" i="1"/>
  <c r="I1438" i="1"/>
  <c r="D1438" i="1"/>
  <c r="C1438" i="1"/>
  <c r="A1438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B1437" i="1"/>
  <c r="H1437" i="1"/>
  <c r="G1437" i="1"/>
  <c r="F1437" i="1"/>
  <c r="E1437" i="1"/>
  <c r="N1437" i="1"/>
  <c r="M1437" i="1"/>
  <c r="L1437" i="1"/>
  <c r="K1437" i="1"/>
  <c r="J1437" i="1"/>
  <c r="I1437" i="1"/>
  <c r="D1437" i="1"/>
  <c r="C1437" i="1"/>
  <c r="A1437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B1436" i="1"/>
  <c r="H1436" i="1"/>
  <c r="G1436" i="1"/>
  <c r="F1436" i="1"/>
  <c r="E1436" i="1"/>
  <c r="N1436" i="1"/>
  <c r="M1436" i="1"/>
  <c r="L1436" i="1"/>
  <c r="K1436" i="1"/>
  <c r="J1436" i="1"/>
  <c r="I1436" i="1"/>
  <c r="D1436" i="1"/>
  <c r="C1436" i="1"/>
  <c r="A1436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B1435" i="1"/>
  <c r="H1435" i="1"/>
  <c r="G1435" i="1"/>
  <c r="F1435" i="1"/>
  <c r="E1435" i="1"/>
  <c r="N1435" i="1"/>
  <c r="M1435" i="1"/>
  <c r="L1435" i="1"/>
  <c r="K1435" i="1"/>
  <c r="J1435" i="1"/>
  <c r="I1435" i="1"/>
  <c r="D1435" i="1"/>
  <c r="C1435" i="1"/>
  <c r="A1435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B1434" i="1"/>
  <c r="H1434" i="1"/>
  <c r="G1434" i="1"/>
  <c r="F1434" i="1"/>
  <c r="E1434" i="1"/>
  <c r="N1434" i="1"/>
  <c r="M1434" i="1"/>
  <c r="L1434" i="1"/>
  <c r="K1434" i="1"/>
  <c r="J1434" i="1"/>
  <c r="I1434" i="1"/>
  <c r="D1434" i="1"/>
  <c r="C1434" i="1"/>
  <c r="A1434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B1433" i="1"/>
  <c r="H1433" i="1"/>
  <c r="G1433" i="1"/>
  <c r="F1433" i="1"/>
  <c r="E1433" i="1"/>
  <c r="N1433" i="1"/>
  <c r="M1433" i="1"/>
  <c r="L1433" i="1"/>
  <c r="K1433" i="1"/>
  <c r="J1433" i="1"/>
  <c r="I1433" i="1"/>
  <c r="D1433" i="1"/>
  <c r="C1433" i="1"/>
  <c r="A1433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B1432" i="1"/>
  <c r="H1432" i="1"/>
  <c r="G1432" i="1"/>
  <c r="F1432" i="1"/>
  <c r="E1432" i="1"/>
  <c r="N1432" i="1"/>
  <c r="M1432" i="1"/>
  <c r="L1432" i="1"/>
  <c r="K1432" i="1"/>
  <c r="J1432" i="1"/>
  <c r="I1432" i="1"/>
  <c r="D1432" i="1"/>
  <c r="C1432" i="1"/>
  <c r="A1432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B1431" i="1"/>
  <c r="H1431" i="1"/>
  <c r="G1431" i="1"/>
  <c r="F1431" i="1"/>
  <c r="E1431" i="1"/>
  <c r="N1431" i="1"/>
  <c r="M1431" i="1"/>
  <c r="L1431" i="1"/>
  <c r="K1431" i="1"/>
  <c r="J1431" i="1"/>
  <c r="I1431" i="1"/>
  <c r="D1431" i="1"/>
  <c r="C1431" i="1"/>
  <c r="A1431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B1430" i="1"/>
  <c r="H1430" i="1"/>
  <c r="G1430" i="1"/>
  <c r="F1430" i="1"/>
  <c r="E1430" i="1"/>
  <c r="N1430" i="1"/>
  <c r="M1430" i="1"/>
  <c r="L1430" i="1"/>
  <c r="K1430" i="1"/>
  <c r="J1430" i="1"/>
  <c r="I1430" i="1"/>
  <c r="D1430" i="1"/>
  <c r="C1430" i="1"/>
  <c r="A1430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B1429" i="1"/>
  <c r="H1429" i="1"/>
  <c r="G1429" i="1"/>
  <c r="F1429" i="1"/>
  <c r="E1429" i="1"/>
  <c r="N1429" i="1"/>
  <c r="M1429" i="1"/>
  <c r="L1429" i="1"/>
  <c r="K1429" i="1"/>
  <c r="J1429" i="1"/>
  <c r="I1429" i="1"/>
  <c r="D1429" i="1"/>
  <c r="C1429" i="1"/>
  <c r="A1429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B1428" i="1"/>
  <c r="H1428" i="1"/>
  <c r="G1428" i="1"/>
  <c r="F1428" i="1"/>
  <c r="E1428" i="1"/>
  <c r="N1428" i="1"/>
  <c r="M1428" i="1"/>
  <c r="L1428" i="1"/>
  <c r="K1428" i="1"/>
  <c r="J1428" i="1"/>
  <c r="I1428" i="1"/>
  <c r="D1428" i="1"/>
  <c r="C1428" i="1"/>
  <c r="A1428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B1427" i="1"/>
  <c r="H1427" i="1"/>
  <c r="G1427" i="1"/>
  <c r="F1427" i="1"/>
  <c r="E1427" i="1"/>
  <c r="N1427" i="1"/>
  <c r="M1427" i="1"/>
  <c r="L1427" i="1"/>
  <c r="K1427" i="1"/>
  <c r="J1427" i="1"/>
  <c r="I1427" i="1"/>
  <c r="D1427" i="1"/>
  <c r="C1427" i="1"/>
  <c r="A1427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B1426" i="1"/>
  <c r="H1426" i="1"/>
  <c r="G1426" i="1"/>
  <c r="F1426" i="1"/>
  <c r="E1426" i="1"/>
  <c r="N1426" i="1"/>
  <c r="M1426" i="1"/>
  <c r="L1426" i="1"/>
  <c r="K1426" i="1"/>
  <c r="J1426" i="1"/>
  <c r="I1426" i="1"/>
  <c r="D1426" i="1"/>
  <c r="C1426" i="1"/>
  <c r="A1426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B1425" i="1"/>
  <c r="H1425" i="1"/>
  <c r="G1425" i="1"/>
  <c r="F1425" i="1"/>
  <c r="E1425" i="1"/>
  <c r="N1425" i="1"/>
  <c r="M1425" i="1"/>
  <c r="L1425" i="1"/>
  <c r="K1425" i="1"/>
  <c r="J1425" i="1"/>
  <c r="I1425" i="1"/>
  <c r="D1425" i="1"/>
  <c r="C1425" i="1"/>
  <c r="A1425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B1424" i="1"/>
  <c r="H1424" i="1"/>
  <c r="G1424" i="1"/>
  <c r="F1424" i="1"/>
  <c r="E1424" i="1"/>
  <c r="N1424" i="1"/>
  <c r="M1424" i="1"/>
  <c r="L1424" i="1"/>
  <c r="K1424" i="1"/>
  <c r="J1424" i="1"/>
  <c r="I1424" i="1"/>
  <c r="D1424" i="1"/>
  <c r="C1424" i="1"/>
  <c r="A1424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B1423" i="1"/>
  <c r="H1423" i="1"/>
  <c r="G1423" i="1"/>
  <c r="F1423" i="1"/>
  <c r="E1423" i="1"/>
  <c r="N1423" i="1"/>
  <c r="M1423" i="1"/>
  <c r="L1423" i="1"/>
  <c r="K1423" i="1"/>
  <c r="J1423" i="1"/>
  <c r="I1423" i="1"/>
  <c r="D1423" i="1"/>
  <c r="C1423" i="1"/>
  <c r="A1423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B1422" i="1"/>
  <c r="H1422" i="1"/>
  <c r="G1422" i="1"/>
  <c r="F1422" i="1"/>
  <c r="E1422" i="1"/>
  <c r="N1422" i="1"/>
  <c r="M1422" i="1"/>
  <c r="L1422" i="1"/>
  <c r="K1422" i="1"/>
  <c r="J1422" i="1"/>
  <c r="I1422" i="1"/>
  <c r="D1422" i="1"/>
  <c r="C1422" i="1"/>
  <c r="A1422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B1421" i="1"/>
  <c r="H1421" i="1"/>
  <c r="G1421" i="1"/>
  <c r="F1421" i="1"/>
  <c r="E1421" i="1"/>
  <c r="N1421" i="1"/>
  <c r="M1421" i="1"/>
  <c r="L1421" i="1"/>
  <c r="K1421" i="1"/>
  <c r="J1421" i="1"/>
  <c r="I1421" i="1"/>
  <c r="D1421" i="1"/>
  <c r="C1421" i="1"/>
  <c r="A1421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B1420" i="1"/>
  <c r="H1420" i="1"/>
  <c r="G1420" i="1"/>
  <c r="F1420" i="1"/>
  <c r="E1420" i="1"/>
  <c r="N1420" i="1"/>
  <c r="M1420" i="1"/>
  <c r="L1420" i="1"/>
  <c r="K1420" i="1"/>
  <c r="J1420" i="1"/>
  <c r="I1420" i="1"/>
  <c r="D1420" i="1"/>
  <c r="C1420" i="1"/>
  <c r="A1420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B1419" i="1"/>
  <c r="H1419" i="1"/>
  <c r="G1419" i="1"/>
  <c r="F1419" i="1"/>
  <c r="E1419" i="1"/>
  <c r="N1419" i="1"/>
  <c r="M1419" i="1"/>
  <c r="L1419" i="1"/>
  <c r="K1419" i="1"/>
  <c r="J1419" i="1"/>
  <c r="I1419" i="1"/>
  <c r="D1419" i="1"/>
  <c r="C1419" i="1"/>
  <c r="A1419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B1418" i="1"/>
  <c r="H1418" i="1"/>
  <c r="G1418" i="1"/>
  <c r="F1418" i="1"/>
  <c r="E1418" i="1"/>
  <c r="N1418" i="1"/>
  <c r="M1418" i="1"/>
  <c r="L1418" i="1"/>
  <c r="K1418" i="1"/>
  <c r="J1418" i="1"/>
  <c r="I1418" i="1"/>
  <c r="D1418" i="1"/>
  <c r="C1418" i="1"/>
  <c r="A1418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B1417" i="1"/>
  <c r="H1417" i="1"/>
  <c r="G1417" i="1"/>
  <c r="F1417" i="1"/>
  <c r="E1417" i="1"/>
  <c r="N1417" i="1"/>
  <c r="M1417" i="1"/>
  <c r="L1417" i="1"/>
  <c r="K1417" i="1"/>
  <c r="J1417" i="1"/>
  <c r="I1417" i="1"/>
  <c r="D1417" i="1"/>
  <c r="C1417" i="1"/>
  <c r="A1417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B1416" i="1"/>
  <c r="H1416" i="1"/>
  <c r="G1416" i="1"/>
  <c r="F1416" i="1"/>
  <c r="E1416" i="1"/>
  <c r="M1416" i="1"/>
  <c r="L1416" i="1"/>
  <c r="K1416" i="1"/>
  <c r="J1416" i="1"/>
  <c r="I1416" i="1"/>
  <c r="D1416" i="1"/>
  <c r="C1416" i="1"/>
  <c r="A1416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B1415" i="1"/>
  <c r="H1415" i="1"/>
  <c r="G1415" i="1"/>
  <c r="F1415" i="1"/>
  <c r="E1415" i="1"/>
  <c r="N1415" i="1"/>
  <c r="M1415" i="1"/>
  <c r="L1415" i="1"/>
  <c r="K1415" i="1"/>
  <c r="J1415" i="1"/>
  <c r="I1415" i="1"/>
  <c r="D1415" i="1"/>
  <c r="C1415" i="1"/>
  <c r="A1415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B1414" i="1"/>
  <c r="H1414" i="1"/>
  <c r="G1414" i="1"/>
  <c r="F1414" i="1"/>
  <c r="E1414" i="1"/>
  <c r="N1414" i="1"/>
  <c r="M1414" i="1"/>
  <c r="L1414" i="1"/>
  <c r="K1414" i="1"/>
  <c r="J1414" i="1"/>
  <c r="I1414" i="1"/>
  <c r="D1414" i="1"/>
  <c r="C1414" i="1"/>
  <c r="A1414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B1413" i="1"/>
  <c r="H1413" i="1"/>
  <c r="G1413" i="1"/>
  <c r="F1413" i="1"/>
  <c r="E1413" i="1"/>
  <c r="N1413" i="1"/>
  <c r="M1413" i="1"/>
  <c r="L1413" i="1"/>
  <c r="K1413" i="1"/>
  <c r="J1413" i="1"/>
  <c r="I1413" i="1"/>
  <c r="D1413" i="1"/>
  <c r="C1413" i="1"/>
  <c r="A1413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B1412" i="1"/>
  <c r="H1412" i="1"/>
  <c r="G1412" i="1"/>
  <c r="F1412" i="1"/>
  <c r="E1412" i="1"/>
  <c r="N1412" i="1"/>
  <c r="M1412" i="1"/>
  <c r="L1412" i="1"/>
  <c r="K1412" i="1"/>
  <c r="J1412" i="1"/>
  <c r="I1412" i="1"/>
  <c r="D1412" i="1"/>
  <c r="C1412" i="1"/>
  <c r="A1412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B1411" i="1"/>
  <c r="H1411" i="1"/>
  <c r="G1411" i="1"/>
  <c r="F1411" i="1"/>
  <c r="E1411" i="1"/>
  <c r="N1411" i="1"/>
  <c r="M1411" i="1"/>
  <c r="L1411" i="1"/>
  <c r="K1411" i="1"/>
  <c r="J1411" i="1"/>
  <c r="I1411" i="1"/>
  <c r="D1411" i="1"/>
  <c r="C1411" i="1"/>
  <c r="A1411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B1410" i="1"/>
  <c r="H1410" i="1"/>
  <c r="G1410" i="1"/>
  <c r="F1410" i="1"/>
  <c r="E1410" i="1"/>
  <c r="N1410" i="1"/>
  <c r="M1410" i="1"/>
  <c r="L1410" i="1"/>
  <c r="K1410" i="1"/>
  <c r="J1410" i="1"/>
  <c r="I1410" i="1"/>
  <c r="D1410" i="1"/>
  <c r="C1410" i="1"/>
  <c r="A1410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B1409" i="1"/>
  <c r="H1409" i="1"/>
  <c r="G1409" i="1"/>
  <c r="F1409" i="1"/>
  <c r="E1409" i="1"/>
  <c r="N1409" i="1"/>
  <c r="M1409" i="1"/>
  <c r="L1409" i="1"/>
  <c r="K1409" i="1"/>
  <c r="J1409" i="1"/>
  <c r="I1409" i="1"/>
  <c r="D1409" i="1"/>
  <c r="C1409" i="1"/>
  <c r="A1409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B1408" i="1"/>
  <c r="H1408" i="1"/>
  <c r="G1408" i="1"/>
  <c r="F1408" i="1"/>
  <c r="E1408" i="1"/>
  <c r="N1408" i="1"/>
  <c r="M1408" i="1"/>
  <c r="L1408" i="1"/>
  <c r="K1408" i="1"/>
  <c r="J1408" i="1"/>
  <c r="I1408" i="1"/>
  <c r="D1408" i="1"/>
  <c r="C1408" i="1"/>
  <c r="A1408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B1407" i="1"/>
  <c r="H1407" i="1"/>
  <c r="G1407" i="1"/>
  <c r="F1407" i="1"/>
  <c r="E1407" i="1"/>
  <c r="N1407" i="1"/>
  <c r="M1407" i="1"/>
  <c r="L1407" i="1"/>
  <c r="K1407" i="1"/>
  <c r="J1407" i="1"/>
  <c r="I1407" i="1"/>
  <c r="D1407" i="1"/>
  <c r="C1407" i="1"/>
  <c r="A1407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B1406" i="1"/>
  <c r="H1406" i="1"/>
  <c r="G1406" i="1"/>
  <c r="F1406" i="1"/>
  <c r="E1406" i="1"/>
  <c r="N1406" i="1"/>
  <c r="M1406" i="1"/>
  <c r="L1406" i="1"/>
  <c r="K1406" i="1"/>
  <c r="J1406" i="1"/>
  <c r="I1406" i="1"/>
  <c r="D1406" i="1"/>
  <c r="C1406" i="1"/>
  <c r="A1406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B1405" i="1"/>
  <c r="H1405" i="1"/>
  <c r="G1405" i="1"/>
  <c r="F1405" i="1"/>
  <c r="E1405" i="1"/>
  <c r="N1405" i="1"/>
  <c r="M1405" i="1"/>
  <c r="L1405" i="1"/>
  <c r="K1405" i="1"/>
  <c r="J1405" i="1"/>
  <c r="I1405" i="1"/>
  <c r="D1405" i="1"/>
  <c r="C1405" i="1"/>
  <c r="A1405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B1404" i="1"/>
  <c r="H1404" i="1"/>
  <c r="G1404" i="1"/>
  <c r="F1404" i="1"/>
  <c r="E1404" i="1"/>
  <c r="M1404" i="1"/>
  <c r="L1404" i="1"/>
  <c r="K1404" i="1"/>
  <c r="J1404" i="1"/>
  <c r="I1404" i="1"/>
  <c r="D1404" i="1"/>
  <c r="C1404" i="1"/>
  <c r="A1404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B1403" i="1"/>
  <c r="H1403" i="1"/>
  <c r="G1403" i="1"/>
  <c r="F1403" i="1"/>
  <c r="E1403" i="1"/>
  <c r="N1403" i="1"/>
  <c r="M1403" i="1"/>
  <c r="L1403" i="1"/>
  <c r="K1403" i="1"/>
  <c r="J1403" i="1"/>
  <c r="I1403" i="1"/>
  <c r="D1403" i="1"/>
  <c r="C1403" i="1"/>
  <c r="A1403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B1402" i="1"/>
  <c r="H1402" i="1"/>
  <c r="G1402" i="1"/>
  <c r="F1402" i="1"/>
  <c r="E1402" i="1"/>
  <c r="N1402" i="1"/>
  <c r="M1402" i="1"/>
  <c r="L1402" i="1"/>
  <c r="K1402" i="1"/>
  <c r="J1402" i="1"/>
  <c r="I1402" i="1"/>
  <c r="D1402" i="1"/>
  <c r="C1402" i="1"/>
  <c r="A1402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B1401" i="1"/>
  <c r="H1401" i="1"/>
  <c r="G1401" i="1"/>
  <c r="F1401" i="1"/>
  <c r="E1401" i="1"/>
  <c r="N1401" i="1"/>
  <c r="M1401" i="1"/>
  <c r="L1401" i="1"/>
  <c r="K1401" i="1"/>
  <c r="J1401" i="1"/>
  <c r="I1401" i="1"/>
  <c r="D1401" i="1"/>
  <c r="C1401" i="1"/>
  <c r="A1401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B1400" i="1"/>
  <c r="H1400" i="1"/>
  <c r="G1400" i="1"/>
  <c r="F1400" i="1"/>
  <c r="E1400" i="1"/>
  <c r="N1400" i="1"/>
  <c r="M1400" i="1"/>
  <c r="L1400" i="1"/>
  <c r="K1400" i="1"/>
  <c r="J1400" i="1"/>
  <c r="I1400" i="1"/>
  <c r="D1400" i="1"/>
  <c r="C1400" i="1"/>
  <c r="A1400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B1399" i="1"/>
  <c r="H1399" i="1"/>
  <c r="G1399" i="1"/>
  <c r="F1399" i="1"/>
  <c r="E1399" i="1"/>
  <c r="N1399" i="1"/>
  <c r="M1399" i="1"/>
  <c r="L1399" i="1"/>
  <c r="K1399" i="1"/>
  <c r="J1399" i="1"/>
  <c r="I1399" i="1"/>
  <c r="D1399" i="1"/>
  <c r="C1399" i="1"/>
  <c r="A1399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B1398" i="1"/>
  <c r="H1398" i="1"/>
  <c r="G1398" i="1"/>
  <c r="F1398" i="1"/>
  <c r="E1398" i="1"/>
  <c r="N1398" i="1"/>
  <c r="M1398" i="1"/>
  <c r="L1398" i="1"/>
  <c r="K1398" i="1"/>
  <c r="J1398" i="1"/>
  <c r="I1398" i="1"/>
  <c r="D1398" i="1"/>
  <c r="C1398" i="1"/>
  <c r="A1398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B1397" i="1"/>
  <c r="H1397" i="1"/>
  <c r="G1397" i="1"/>
  <c r="F1397" i="1"/>
  <c r="E1397" i="1"/>
  <c r="N1397" i="1"/>
  <c r="M1397" i="1"/>
  <c r="L1397" i="1"/>
  <c r="K1397" i="1"/>
  <c r="J1397" i="1"/>
  <c r="I1397" i="1"/>
  <c r="D1397" i="1"/>
  <c r="C1397" i="1"/>
  <c r="A1397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B1396" i="1"/>
  <c r="H1396" i="1"/>
  <c r="G1396" i="1"/>
  <c r="F1396" i="1"/>
  <c r="E1396" i="1"/>
  <c r="N1396" i="1"/>
  <c r="M1396" i="1"/>
  <c r="L1396" i="1"/>
  <c r="K1396" i="1"/>
  <c r="J1396" i="1"/>
  <c r="I1396" i="1"/>
  <c r="D1396" i="1"/>
  <c r="C1396" i="1"/>
  <c r="A1396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B1395" i="1"/>
  <c r="H1395" i="1"/>
  <c r="G1395" i="1"/>
  <c r="F1395" i="1"/>
  <c r="E1395" i="1"/>
  <c r="N1395" i="1"/>
  <c r="M1395" i="1"/>
  <c r="L1395" i="1"/>
  <c r="K1395" i="1"/>
  <c r="J1395" i="1"/>
  <c r="I1395" i="1"/>
  <c r="D1395" i="1"/>
  <c r="C1395" i="1"/>
  <c r="A1395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B1394" i="1"/>
  <c r="H1394" i="1"/>
  <c r="G1394" i="1"/>
  <c r="F1394" i="1"/>
  <c r="E1394" i="1"/>
  <c r="N1394" i="1"/>
  <c r="M1394" i="1"/>
  <c r="L1394" i="1"/>
  <c r="K1394" i="1"/>
  <c r="J1394" i="1"/>
  <c r="I1394" i="1"/>
  <c r="D1394" i="1"/>
  <c r="C1394" i="1"/>
  <c r="A1394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B1393" i="1"/>
  <c r="H1393" i="1"/>
  <c r="G1393" i="1"/>
  <c r="F1393" i="1"/>
  <c r="E1393" i="1"/>
  <c r="N1393" i="1"/>
  <c r="M1393" i="1"/>
  <c r="L1393" i="1"/>
  <c r="K1393" i="1"/>
  <c r="J1393" i="1"/>
  <c r="I1393" i="1"/>
  <c r="D1393" i="1"/>
  <c r="C1393" i="1"/>
  <c r="A1393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B1392" i="1"/>
  <c r="H1392" i="1"/>
  <c r="G1392" i="1"/>
  <c r="F1392" i="1"/>
  <c r="E1392" i="1"/>
  <c r="N1392" i="1"/>
  <c r="M1392" i="1"/>
  <c r="L1392" i="1"/>
  <c r="K1392" i="1"/>
  <c r="J1392" i="1"/>
  <c r="I1392" i="1"/>
  <c r="D1392" i="1"/>
  <c r="C1392" i="1"/>
  <c r="A1392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B1391" i="1"/>
  <c r="H1391" i="1"/>
  <c r="G1391" i="1"/>
  <c r="F1391" i="1"/>
  <c r="E1391" i="1"/>
  <c r="N1391" i="1"/>
  <c r="M1391" i="1"/>
  <c r="L1391" i="1"/>
  <c r="K1391" i="1"/>
  <c r="J1391" i="1"/>
  <c r="I1391" i="1"/>
  <c r="D1391" i="1"/>
  <c r="C1391" i="1"/>
  <c r="A1391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B1390" i="1"/>
  <c r="H1390" i="1"/>
  <c r="G1390" i="1"/>
  <c r="F1390" i="1"/>
  <c r="E1390" i="1"/>
  <c r="N1390" i="1"/>
  <c r="M1390" i="1"/>
  <c r="L1390" i="1"/>
  <c r="K1390" i="1"/>
  <c r="J1390" i="1"/>
  <c r="I1390" i="1"/>
  <c r="D1390" i="1"/>
  <c r="C1390" i="1"/>
  <c r="A1390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B1389" i="1"/>
  <c r="H1389" i="1"/>
  <c r="G1389" i="1"/>
  <c r="F1389" i="1"/>
  <c r="E1389" i="1"/>
  <c r="N1389" i="1"/>
  <c r="M1389" i="1"/>
  <c r="L1389" i="1"/>
  <c r="K1389" i="1"/>
  <c r="J1389" i="1"/>
  <c r="I1389" i="1"/>
  <c r="D1389" i="1"/>
  <c r="C1389" i="1"/>
  <c r="A1389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B1388" i="1"/>
  <c r="H1388" i="1"/>
  <c r="G1388" i="1"/>
  <c r="F1388" i="1"/>
  <c r="E1388" i="1"/>
  <c r="N1388" i="1"/>
  <c r="M1388" i="1"/>
  <c r="L1388" i="1"/>
  <c r="K1388" i="1"/>
  <c r="J1388" i="1"/>
  <c r="I1388" i="1"/>
  <c r="D1388" i="1"/>
  <c r="C1388" i="1"/>
  <c r="A1388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B1387" i="1"/>
  <c r="H1387" i="1"/>
  <c r="G1387" i="1"/>
  <c r="F1387" i="1"/>
  <c r="E1387" i="1"/>
  <c r="N1387" i="1"/>
  <c r="M1387" i="1"/>
  <c r="L1387" i="1"/>
  <c r="K1387" i="1"/>
  <c r="J1387" i="1"/>
  <c r="I1387" i="1"/>
  <c r="D1387" i="1"/>
  <c r="C1387" i="1"/>
  <c r="A1387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B1386" i="1"/>
  <c r="H1386" i="1"/>
  <c r="G1386" i="1"/>
  <c r="F1386" i="1"/>
  <c r="E1386" i="1"/>
  <c r="N1386" i="1"/>
  <c r="M1386" i="1"/>
  <c r="L1386" i="1"/>
  <c r="K1386" i="1"/>
  <c r="J1386" i="1"/>
  <c r="I1386" i="1"/>
  <c r="D1386" i="1"/>
  <c r="C1386" i="1"/>
  <c r="A1386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B1385" i="1"/>
  <c r="H1385" i="1"/>
  <c r="G1385" i="1"/>
  <c r="F1385" i="1"/>
  <c r="E1385" i="1"/>
  <c r="N1385" i="1"/>
  <c r="M1385" i="1"/>
  <c r="L1385" i="1"/>
  <c r="K1385" i="1"/>
  <c r="J1385" i="1"/>
  <c r="I1385" i="1"/>
  <c r="D1385" i="1"/>
  <c r="C1385" i="1"/>
  <c r="A1385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B1384" i="1"/>
  <c r="H1384" i="1"/>
  <c r="G1384" i="1"/>
  <c r="F1384" i="1"/>
  <c r="E1384" i="1"/>
  <c r="N1384" i="1"/>
  <c r="M1384" i="1"/>
  <c r="L1384" i="1"/>
  <c r="K1384" i="1"/>
  <c r="J1384" i="1"/>
  <c r="I1384" i="1"/>
  <c r="D1384" i="1"/>
  <c r="C1384" i="1"/>
  <c r="A1384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B1383" i="1"/>
  <c r="H1383" i="1"/>
  <c r="G1383" i="1"/>
  <c r="F1383" i="1"/>
  <c r="E1383" i="1"/>
  <c r="N1383" i="1"/>
  <c r="M1383" i="1"/>
  <c r="L1383" i="1"/>
  <c r="K1383" i="1"/>
  <c r="J1383" i="1"/>
  <c r="I1383" i="1"/>
  <c r="D1383" i="1"/>
  <c r="C1383" i="1"/>
  <c r="A1383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B1382" i="1"/>
  <c r="H1382" i="1"/>
  <c r="G1382" i="1"/>
  <c r="F1382" i="1"/>
  <c r="E1382" i="1"/>
  <c r="N1382" i="1"/>
  <c r="M1382" i="1"/>
  <c r="L1382" i="1"/>
  <c r="K1382" i="1"/>
  <c r="J1382" i="1"/>
  <c r="I1382" i="1"/>
  <c r="D1382" i="1"/>
  <c r="C1382" i="1"/>
  <c r="A1382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B1381" i="1"/>
  <c r="H1381" i="1"/>
  <c r="G1381" i="1"/>
  <c r="F1381" i="1"/>
  <c r="E1381" i="1"/>
  <c r="N1381" i="1"/>
  <c r="M1381" i="1"/>
  <c r="L1381" i="1"/>
  <c r="K1381" i="1"/>
  <c r="J1381" i="1"/>
  <c r="I1381" i="1"/>
  <c r="D1381" i="1"/>
  <c r="C1381" i="1"/>
  <c r="A1381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B1380" i="1"/>
  <c r="H1380" i="1"/>
  <c r="G1380" i="1"/>
  <c r="F1380" i="1"/>
  <c r="E1380" i="1"/>
  <c r="N1380" i="1"/>
  <c r="M1380" i="1"/>
  <c r="L1380" i="1"/>
  <c r="K1380" i="1"/>
  <c r="J1380" i="1"/>
  <c r="I1380" i="1"/>
  <c r="D1380" i="1"/>
  <c r="C1380" i="1"/>
  <c r="A1380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B1379" i="1"/>
  <c r="H1379" i="1"/>
  <c r="G1379" i="1"/>
  <c r="F1379" i="1"/>
  <c r="E1379" i="1"/>
  <c r="N1379" i="1"/>
  <c r="M1379" i="1"/>
  <c r="L1379" i="1"/>
  <c r="K1379" i="1"/>
  <c r="J1379" i="1"/>
  <c r="I1379" i="1"/>
  <c r="D1379" i="1"/>
  <c r="C1379" i="1"/>
  <c r="A1379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B1378" i="1"/>
  <c r="H1378" i="1"/>
  <c r="G1378" i="1"/>
  <c r="F1378" i="1"/>
  <c r="E1378" i="1"/>
  <c r="N1378" i="1"/>
  <c r="M1378" i="1"/>
  <c r="L1378" i="1"/>
  <c r="K1378" i="1"/>
  <c r="J1378" i="1"/>
  <c r="I1378" i="1"/>
  <c r="D1378" i="1"/>
  <c r="C1378" i="1"/>
  <c r="A1378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B1377" i="1"/>
  <c r="H1377" i="1"/>
  <c r="G1377" i="1"/>
  <c r="F1377" i="1"/>
  <c r="E1377" i="1"/>
  <c r="N1377" i="1"/>
  <c r="M1377" i="1"/>
  <c r="L1377" i="1"/>
  <c r="K1377" i="1"/>
  <c r="J1377" i="1"/>
  <c r="I1377" i="1"/>
  <c r="D1377" i="1"/>
  <c r="C1377" i="1"/>
  <c r="A1377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B1376" i="1"/>
  <c r="H1376" i="1"/>
  <c r="G1376" i="1"/>
  <c r="F1376" i="1"/>
  <c r="E1376" i="1"/>
  <c r="N1376" i="1"/>
  <c r="M1376" i="1"/>
  <c r="L1376" i="1"/>
  <c r="K1376" i="1"/>
  <c r="J1376" i="1"/>
  <c r="I1376" i="1"/>
  <c r="D1376" i="1"/>
  <c r="C1376" i="1"/>
  <c r="A1376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B1375" i="1"/>
  <c r="H1375" i="1"/>
  <c r="G1375" i="1"/>
  <c r="F1375" i="1"/>
  <c r="E1375" i="1"/>
  <c r="N1375" i="1"/>
  <c r="M1375" i="1"/>
  <c r="L1375" i="1"/>
  <c r="K1375" i="1"/>
  <c r="J1375" i="1"/>
  <c r="I1375" i="1"/>
  <c r="D1375" i="1"/>
  <c r="C1375" i="1"/>
  <c r="A1375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B1374" i="1"/>
  <c r="H1374" i="1"/>
  <c r="G1374" i="1"/>
  <c r="F1374" i="1"/>
  <c r="E1374" i="1"/>
  <c r="N1374" i="1"/>
  <c r="M1374" i="1"/>
  <c r="L1374" i="1"/>
  <c r="K1374" i="1"/>
  <c r="J1374" i="1"/>
  <c r="I1374" i="1"/>
  <c r="D1374" i="1"/>
  <c r="C1374" i="1"/>
  <c r="A1374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B1373" i="1"/>
  <c r="H1373" i="1"/>
  <c r="G1373" i="1"/>
  <c r="F1373" i="1"/>
  <c r="E1373" i="1"/>
  <c r="N1373" i="1"/>
  <c r="M1373" i="1"/>
  <c r="L1373" i="1"/>
  <c r="K1373" i="1"/>
  <c r="J1373" i="1"/>
  <c r="I1373" i="1"/>
  <c r="D1373" i="1"/>
  <c r="C1373" i="1"/>
  <c r="A1373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B1372" i="1"/>
  <c r="H1372" i="1"/>
  <c r="G1372" i="1"/>
  <c r="F1372" i="1"/>
  <c r="E1372" i="1"/>
  <c r="N1372" i="1"/>
  <c r="M1372" i="1"/>
  <c r="L1372" i="1"/>
  <c r="K1372" i="1"/>
  <c r="J1372" i="1"/>
  <c r="I1372" i="1"/>
  <c r="D1372" i="1"/>
  <c r="C1372" i="1"/>
  <c r="A1372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B1371" i="1"/>
  <c r="H1371" i="1"/>
  <c r="G1371" i="1"/>
  <c r="F1371" i="1"/>
  <c r="E1371" i="1"/>
  <c r="N1371" i="1"/>
  <c r="M1371" i="1"/>
  <c r="L1371" i="1"/>
  <c r="K1371" i="1"/>
  <c r="J1371" i="1"/>
  <c r="I1371" i="1"/>
  <c r="D1371" i="1"/>
  <c r="C1371" i="1"/>
  <c r="A1371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B1370" i="1"/>
  <c r="H1370" i="1"/>
  <c r="G1370" i="1"/>
  <c r="F1370" i="1"/>
  <c r="E1370" i="1"/>
  <c r="N1370" i="1"/>
  <c r="M1370" i="1"/>
  <c r="L1370" i="1"/>
  <c r="K1370" i="1"/>
  <c r="J1370" i="1"/>
  <c r="I1370" i="1"/>
  <c r="D1370" i="1"/>
  <c r="C1370" i="1"/>
  <c r="A1370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B1369" i="1"/>
  <c r="H1369" i="1"/>
  <c r="G1369" i="1"/>
  <c r="F1369" i="1"/>
  <c r="E1369" i="1"/>
  <c r="N1369" i="1"/>
  <c r="M1369" i="1"/>
  <c r="L1369" i="1"/>
  <c r="K1369" i="1"/>
  <c r="J1369" i="1"/>
  <c r="I1369" i="1"/>
  <c r="D1369" i="1"/>
  <c r="C1369" i="1"/>
  <c r="A1369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B1368" i="1"/>
  <c r="H1368" i="1"/>
  <c r="G1368" i="1"/>
  <c r="F1368" i="1"/>
  <c r="E1368" i="1"/>
  <c r="N1368" i="1"/>
  <c r="M1368" i="1"/>
  <c r="L1368" i="1"/>
  <c r="K1368" i="1"/>
  <c r="J1368" i="1"/>
  <c r="I1368" i="1"/>
  <c r="D1368" i="1"/>
  <c r="C1368" i="1"/>
  <c r="A1368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B1367" i="1"/>
  <c r="H1367" i="1"/>
  <c r="G1367" i="1"/>
  <c r="F1367" i="1"/>
  <c r="E1367" i="1"/>
  <c r="N1367" i="1"/>
  <c r="M1367" i="1"/>
  <c r="L1367" i="1"/>
  <c r="K1367" i="1"/>
  <c r="J1367" i="1"/>
  <c r="I1367" i="1"/>
  <c r="D1367" i="1"/>
  <c r="C1367" i="1"/>
  <c r="A1367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B1366" i="1"/>
  <c r="H1366" i="1"/>
  <c r="G1366" i="1"/>
  <c r="F1366" i="1"/>
  <c r="E1366" i="1"/>
  <c r="N1366" i="1"/>
  <c r="M1366" i="1"/>
  <c r="L1366" i="1"/>
  <c r="K1366" i="1"/>
  <c r="J1366" i="1"/>
  <c r="I1366" i="1"/>
  <c r="D1366" i="1"/>
  <c r="C1366" i="1"/>
  <c r="A1366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B1365" i="1"/>
  <c r="H1365" i="1"/>
  <c r="G1365" i="1"/>
  <c r="F1365" i="1"/>
  <c r="E1365" i="1"/>
  <c r="N1365" i="1"/>
  <c r="M1365" i="1"/>
  <c r="L1365" i="1"/>
  <c r="K1365" i="1"/>
  <c r="J1365" i="1"/>
  <c r="I1365" i="1"/>
  <c r="D1365" i="1"/>
  <c r="C1365" i="1"/>
  <c r="A1365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B1364" i="1"/>
  <c r="H1364" i="1"/>
  <c r="G1364" i="1"/>
  <c r="F1364" i="1"/>
  <c r="E1364" i="1"/>
  <c r="N1364" i="1"/>
  <c r="M1364" i="1"/>
  <c r="L1364" i="1"/>
  <c r="K1364" i="1"/>
  <c r="J1364" i="1"/>
  <c r="I1364" i="1"/>
  <c r="D1364" i="1"/>
  <c r="C1364" i="1"/>
  <c r="A1364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B1363" i="1"/>
  <c r="H1363" i="1"/>
  <c r="G1363" i="1"/>
  <c r="F1363" i="1"/>
  <c r="E1363" i="1"/>
  <c r="N1363" i="1"/>
  <c r="M1363" i="1"/>
  <c r="L1363" i="1"/>
  <c r="K1363" i="1"/>
  <c r="J1363" i="1"/>
  <c r="I1363" i="1"/>
  <c r="D1363" i="1"/>
  <c r="C1363" i="1"/>
  <c r="A1363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B1362" i="1"/>
  <c r="H1362" i="1"/>
  <c r="G1362" i="1"/>
  <c r="F1362" i="1"/>
  <c r="E1362" i="1"/>
  <c r="N1362" i="1"/>
  <c r="M1362" i="1"/>
  <c r="L1362" i="1"/>
  <c r="K1362" i="1"/>
  <c r="J1362" i="1"/>
  <c r="I1362" i="1"/>
  <c r="D1362" i="1"/>
  <c r="C1362" i="1"/>
  <c r="A1362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B1361" i="1"/>
  <c r="H1361" i="1"/>
  <c r="G1361" i="1"/>
  <c r="F1361" i="1"/>
  <c r="E1361" i="1"/>
  <c r="N1361" i="1"/>
  <c r="M1361" i="1"/>
  <c r="L1361" i="1"/>
  <c r="K1361" i="1"/>
  <c r="J1361" i="1"/>
  <c r="I1361" i="1"/>
  <c r="D1361" i="1"/>
  <c r="C1361" i="1"/>
  <c r="A1361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B1360" i="1"/>
  <c r="H1360" i="1"/>
  <c r="G1360" i="1"/>
  <c r="F1360" i="1"/>
  <c r="E1360" i="1"/>
  <c r="N1360" i="1"/>
  <c r="M1360" i="1"/>
  <c r="L1360" i="1"/>
  <c r="K1360" i="1"/>
  <c r="J1360" i="1"/>
  <c r="I1360" i="1"/>
  <c r="D1360" i="1"/>
  <c r="C1360" i="1"/>
  <c r="A1360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B1359" i="1"/>
  <c r="H1359" i="1"/>
  <c r="G1359" i="1"/>
  <c r="F1359" i="1"/>
  <c r="E1359" i="1"/>
  <c r="N1359" i="1"/>
  <c r="M1359" i="1"/>
  <c r="L1359" i="1"/>
  <c r="K1359" i="1"/>
  <c r="J1359" i="1"/>
  <c r="I1359" i="1"/>
  <c r="D1359" i="1"/>
  <c r="C1359" i="1"/>
  <c r="A1359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B1358" i="1"/>
  <c r="H1358" i="1"/>
  <c r="G1358" i="1"/>
  <c r="F1358" i="1"/>
  <c r="E1358" i="1"/>
  <c r="N1358" i="1"/>
  <c r="M1358" i="1"/>
  <c r="L1358" i="1"/>
  <c r="K1358" i="1"/>
  <c r="J1358" i="1"/>
  <c r="I1358" i="1"/>
  <c r="D1358" i="1"/>
  <c r="C1358" i="1"/>
  <c r="A1358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B1357" i="1"/>
  <c r="H1357" i="1"/>
  <c r="G1357" i="1"/>
  <c r="F1357" i="1"/>
  <c r="E1357" i="1"/>
  <c r="N1357" i="1"/>
  <c r="M1357" i="1"/>
  <c r="L1357" i="1"/>
  <c r="K1357" i="1"/>
  <c r="J1357" i="1"/>
  <c r="I1357" i="1"/>
  <c r="D1357" i="1"/>
  <c r="C1357" i="1"/>
  <c r="A1357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B1356" i="1"/>
  <c r="H1356" i="1"/>
  <c r="G1356" i="1"/>
  <c r="F1356" i="1"/>
  <c r="E1356" i="1"/>
  <c r="N1356" i="1"/>
  <c r="M1356" i="1"/>
  <c r="L1356" i="1"/>
  <c r="K1356" i="1"/>
  <c r="J1356" i="1"/>
  <c r="I1356" i="1"/>
  <c r="D1356" i="1"/>
  <c r="C1356" i="1"/>
  <c r="A1356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B1355" i="1"/>
  <c r="H1355" i="1"/>
  <c r="G1355" i="1"/>
  <c r="F1355" i="1"/>
  <c r="E1355" i="1"/>
  <c r="N1355" i="1"/>
  <c r="M1355" i="1"/>
  <c r="L1355" i="1"/>
  <c r="K1355" i="1"/>
  <c r="J1355" i="1"/>
  <c r="I1355" i="1"/>
  <c r="D1355" i="1"/>
  <c r="C1355" i="1"/>
  <c r="A1355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B1354" i="1"/>
  <c r="H1354" i="1"/>
  <c r="G1354" i="1"/>
  <c r="F1354" i="1"/>
  <c r="E1354" i="1"/>
  <c r="N1354" i="1"/>
  <c r="M1354" i="1"/>
  <c r="L1354" i="1"/>
  <c r="K1354" i="1"/>
  <c r="J1354" i="1"/>
  <c r="I1354" i="1"/>
  <c r="D1354" i="1"/>
  <c r="C1354" i="1"/>
  <c r="A1354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B1353" i="1"/>
  <c r="H1353" i="1"/>
  <c r="G1353" i="1"/>
  <c r="F1353" i="1"/>
  <c r="E1353" i="1"/>
  <c r="N1353" i="1"/>
  <c r="M1353" i="1"/>
  <c r="L1353" i="1"/>
  <c r="K1353" i="1"/>
  <c r="J1353" i="1"/>
  <c r="I1353" i="1"/>
  <c r="D1353" i="1"/>
  <c r="C1353" i="1"/>
  <c r="A1353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B1352" i="1"/>
  <c r="H1352" i="1"/>
  <c r="G1352" i="1"/>
  <c r="F1352" i="1"/>
  <c r="E1352" i="1"/>
  <c r="N1352" i="1"/>
  <c r="M1352" i="1"/>
  <c r="L1352" i="1"/>
  <c r="K1352" i="1"/>
  <c r="J1352" i="1"/>
  <c r="I1352" i="1"/>
  <c r="D1352" i="1"/>
  <c r="C1352" i="1"/>
  <c r="A1352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B1351" i="1"/>
  <c r="H1351" i="1"/>
  <c r="G1351" i="1"/>
  <c r="F1351" i="1"/>
  <c r="E1351" i="1"/>
  <c r="N1351" i="1"/>
  <c r="M1351" i="1"/>
  <c r="L1351" i="1"/>
  <c r="K1351" i="1"/>
  <c r="J1351" i="1"/>
  <c r="I1351" i="1"/>
  <c r="D1351" i="1"/>
  <c r="C1351" i="1"/>
  <c r="A1351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B1350" i="1"/>
  <c r="H1350" i="1"/>
  <c r="G1350" i="1"/>
  <c r="F1350" i="1"/>
  <c r="E1350" i="1"/>
  <c r="N1350" i="1"/>
  <c r="M1350" i="1"/>
  <c r="L1350" i="1"/>
  <c r="K1350" i="1"/>
  <c r="J1350" i="1"/>
  <c r="I1350" i="1"/>
  <c r="D1350" i="1"/>
  <c r="C1350" i="1"/>
  <c r="A1350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B1349" i="1"/>
  <c r="H1349" i="1"/>
  <c r="G1349" i="1"/>
  <c r="F1349" i="1"/>
  <c r="E1349" i="1"/>
  <c r="N1349" i="1"/>
  <c r="M1349" i="1"/>
  <c r="L1349" i="1"/>
  <c r="K1349" i="1"/>
  <c r="J1349" i="1"/>
  <c r="I1349" i="1"/>
  <c r="D1349" i="1"/>
  <c r="C1349" i="1"/>
  <c r="A1349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B1348" i="1"/>
  <c r="H1348" i="1"/>
  <c r="G1348" i="1"/>
  <c r="F1348" i="1"/>
  <c r="E1348" i="1"/>
  <c r="N1348" i="1"/>
  <c r="M1348" i="1"/>
  <c r="L1348" i="1"/>
  <c r="K1348" i="1"/>
  <c r="J1348" i="1"/>
  <c r="I1348" i="1"/>
  <c r="D1348" i="1"/>
  <c r="C1348" i="1"/>
  <c r="A1348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B1347" i="1"/>
  <c r="H1347" i="1"/>
  <c r="G1347" i="1"/>
  <c r="F1347" i="1"/>
  <c r="E1347" i="1"/>
  <c r="N1347" i="1"/>
  <c r="M1347" i="1"/>
  <c r="L1347" i="1"/>
  <c r="K1347" i="1"/>
  <c r="J1347" i="1"/>
  <c r="I1347" i="1"/>
  <c r="D1347" i="1"/>
  <c r="C1347" i="1"/>
  <c r="A1347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B1346" i="1"/>
  <c r="H1346" i="1"/>
  <c r="G1346" i="1"/>
  <c r="F1346" i="1"/>
  <c r="E1346" i="1"/>
  <c r="N1346" i="1"/>
  <c r="M1346" i="1"/>
  <c r="L1346" i="1"/>
  <c r="K1346" i="1"/>
  <c r="J1346" i="1"/>
  <c r="I1346" i="1"/>
  <c r="D1346" i="1"/>
  <c r="C1346" i="1"/>
  <c r="A1346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B1345" i="1"/>
  <c r="H1345" i="1"/>
  <c r="G1345" i="1"/>
  <c r="F1345" i="1"/>
  <c r="E1345" i="1"/>
  <c r="N1345" i="1"/>
  <c r="M1345" i="1"/>
  <c r="L1345" i="1"/>
  <c r="K1345" i="1"/>
  <c r="J1345" i="1"/>
  <c r="I1345" i="1"/>
  <c r="D1345" i="1"/>
  <c r="C1345" i="1"/>
  <c r="A1345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B1344" i="1"/>
  <c r="H1344" i="1"/>
  <c r="G1344" i="1"/>
  <c r="F1344" i="1"/>
  <c r="E1344" i="1"/>
  <c r="N1344" i="1"/>
  <c r="M1344" i="1"/>
  <c r="L1344" i="1"/>
  <c r="K1344" i="1"/>
  <c r="J1344" i="1"/>
  <c r="I1344" i="1"/>
  <c r="D1344" i="1"/>
  <c r="C1344" i="1"/>
  <c r="A1344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B1343" i="1"/>
  <c r="H1343" i="1"/>
  <c r="G1343" i="1"/>
  <c r="F1343" i="1"/>
  <c r="E1343" i="1"/>
  <c r="N1343" i="1"/>
  <c r="M1343" i="1"/>
  <c r="L1343" i="1"/>
  <c r="K1343" i="1"/>
  <c r="J1343" i="1"/>
  <c r="I1343" i="1"/>
  <c r="D1343" i="1"/>
  <c r="C1343" i="1"/>
  <c r="A1343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B1342" i="1"/>
  <c r="H1342" i="1"/>
  <c r="G1342" i="1"/>
  <c r="F1342" i="1"/>
  <c r="E1342" i="1"/>
  <c r="N1342" i="1"/>
  <c r="M1342" i="1"/>
  <c r="L1342" i="1"/>
  <c r="K1342" i="1"/>
  <c r="J1342" i="1"/>
  <c r="I1342" i="1"/>
  <c r="D1342" i="1"/>
  <c r="C1342" i="1"/>
  <c r="A1342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B1341" i="1"/>
  <c r="H1341" i="1"/>
  <c r="G1341" i="1"/>
  <c r="F1341" i="1"/>
  <c r="E1341" i="1"/>
  <c r="N1341" i="1"/>
  <c r="M1341" i="1"/>
  <c r="L1341" i="1"/>
  <c r="K1341" i="1"/>
  <c r="J1341" i="1"/>
  <c r="I1341" i="1"/>
  <c r="D1341" i="1"/>
  <c r="C1341" i="1"/>
  <c r="A1341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B1340" i="1"/>
  <c r="H1340" i="1"/>
  <c r="G1340" i="1"/>
  <c r="F1340" i="1"/>
  <c r="E1340" i="1"/>
  <c r="N1340" i="1"/>
  <c r="M1340" i="1"/>
  <c r="L1340" i="1"/>
  <c r="K1340" i="1"/>
  <c r="J1340" i="1"/>
  <c r="I1340" i="1"/>
  <c r="D1340" i="1"/>
  <c r="C1340" i="1"/>
  <c r="A1340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B1339" i="1"/>
  <c r="H1339" i="1"/>
  <c r="G1339" i="1"/>
  <c r="F1339" i="1"/>
  <c r="E1339" i="1"/>
  <c r="N1339" i="1"/>
  <c r="M1339" i="1"/>
  <c r="L1339" i="1"/>
  <c r="K1339" i="1"/>
  <c r="J1339" i="1"/>
  <c r="I1339" i="1"/>
  <c r="D1339" i="1"/>
  <c r="C1339" i="1"/>
  <c r="A1339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B1338" i="1"/>
  <c r="H1338" i="1"/>
  <c r="G1338" i="1"/>
  <c r="F1338" i="1"/>
  <c r="E1338" i="1"/>
  <c r="N1338" i="1"/>
  <c r="M1338" i="1"/>
  <c r="L1338" i="1"/>
  <c r="K1338" i="1"/>
  <c r="J1338" i="1"/>
  <c r="I1338" i="1"/>
  <c r="D1338" i="1"/>
  <c r="C1338" i="1"/>
  <c r="A1338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B1337" i="1"/>
  <c r="H1337" i="1"/>
  <c r="G1337" i="1"/>
  <c r="F1337" i="1"/>
  <c r="E1337" i="1"/>
  <c r="N1337" i="1"/>
  <c r="M1337" i="1"/>
  <c r="L1337" i="1"/>
  <c r="K1337" i="1"/>
  <c r="J1337" i="1"/>
  <c r="I1337" i="1"/>
  <c r="D1337" i="1"/>
  <c r="C1337" i="1"/>
  <c r="A1337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B1336" i="1"/>
  <c r="H1336" i="1"/>
  <c r="G1336" i="1"/>
  <c r="F1336" i="1"/>
  <c r="E1336" i="1"/>
  <c r="N1336" i="1"/>
  <c r="M1336" i="1"/>
  <c r="L1336" i="1"/>
  <c r="K1336" i="1"/>
  <c r="J1336" i="1"/>
  <c r="I1336" i="1"/>
  <c r="D1336" i="1"/>
  <c r="C1336" i="1"/>
  <c r="A1336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B1335" i="1"/>
  <c r="H1335" i="1"/>
  <c r="G1335" i="1"/>
  <c r="F1335" i="1"/>
  <c r="E1335" i="1"/>
  <c r="N1335" i="1"/>
  <c r="M1335" i="1"/>
  <c r="L1335" i="1"/>
  <c r="K1335" i="1"/>
  <c r="J1335" i="1"/>
  <c r="I1335" i="1"/>
  <c r="D1335" i="1"/>
  <c r="C1335" i="1"/>
  <c r="A1335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B1334" i="1"/>
  <c r="H1334" i="1"/>
  <c r="G1334" i="1"/>
  <c r="F1334" i="1"/>
  <c r="E1334" i="1"/>
  <c r="N1334" i="1"/>
  <c r="M1334" i="1"/>
  <c r="L1334" i="1"/>
  <c r="K1334" i="1"/>
  <c r="J1334" i="1"/>
  <c r="I1334" i="1"/>
  <c r="D1334" i="1"/>
  <c r="C1334" i="1"/>
  <c r="A1334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B1333" i="1"/>
  <c r="H1333" i="1"/>
  <c r="G1333" i="1"/>
  <c r="F1333" i="1"/>
  <c r="E1333" i="1"/>
  <c r="N1333" i="1"/>
  <c r="M1333" i="1"/>
  <c r="L1333" i="1"/>
  <c r="K1333" i="1"/>
  <c r="J1333" i="1"/>
  <c r="I1333" i="1"/>
  <c r="D1333" i="1"/>
  <c r="C1333" i="1"/>
  <c r="A1333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B1332" i="1"/>
  <c r="H1332" i="1"/>
  <c r="G1332" i="1"/>
  <c r="F1332" i="1"/>
  <c r="E1332" i="1"/>
  <c r="N1332" i="1"/>
  <c r="M1332" i="1"/>
  <c r="L1332" i="1"/>
  <c r="K1332" i="1"/>
  <c r="J1332" i="1"/>
  <c r="I1332" i="1"/>
  <c r="D1332" i="1"/>
  <c r="C1332" i="1"/>
  <c r="A1332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B1331" i="1"/>
  <c r="H1331" i="1"/>
  <c r="G1331" i="1"/>
  <c r="F1331" i="1"/>
  <c r="E1331" i="1"/>
  <c r="N1331" i="1"/>
  <c r="M1331" i="1"/>
  <c r="L1331" i="1"/>
  <c r="K1331" i="1"/>
  <c r="J1331" i="1"/>
  <c r="I1331" i="1"/>
  <c r="D1331" i="1"/>
  <c r="C1331" i="1"/>
  <c r="A1331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B1330" i="1"/>
  <c r="H1330" i="1"/>
  <c r="G1330" i="1"/>
  <c r="F1330" i="1"/>
  <c r="E1330" i="1"/>
  <c r="N1330" i="1"/>
  <c r="M1330" i="1"/>
  <c r="L1330" i="1"/>
  <c r="K1330" i="1"/>
  <c r="J1330" i="1"/>
  <c r="I1330" i="1"/>
  <c r="D1330" i="1"/>
  <c r="C1330" i="1"/>
  <c r="A1330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B1329" i="1"/>
  <c r="H1329" i="1"/>
  <c r="G1329" i="1"/>
  <c r="F1329" i="1"/>
  <c r="E1329" i="1"/>
  <c r="N1329" i="1"/>
  <c r="M1329" i="1"/>
  <c r="L1329" i="1"/>
  <c r="K1329" i="1"/>
  <c r="J1329" i="1"/>
  <c r="I1329" i="1"/>
  <c r="D1329" i="1"/>
  <c r="C1329" i="1"/>
  <c r="A1329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B1328" i="1"/>
  <c r="H1328" i="1"/>
  <c r="G1328" i="1"/>
  <c r="F1328" i="1"/>
  <c r="E1328" i="1"/>
  <c r="N1328" i="1"/>
  <c r="M1328" i="1"/>
  <c r="L1328" i="1"/>
  <c r="K1328" i="1"/>
  <c r="J1328" i="1"/>
  <c r="I1328" i="1"/>
  <c r="D1328" i="1"/>
  <c r="C1328" i="1"/>
  <c r="A1328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B1327" i="1"/>
  <c r="H1327" i="1"/>
  <c r="G1327" i="1"/>
  <c r="F1327" i="1"/>
  <c r="E1327" i="1"/>
  <c r="N1327" i="1"/>
  <c r="M1327" i="1"/>
  <c r="L1327" i="1"/>
  <c r="K1327" i="1"/>
  <c r="J1327" i="1"/>
  <c r="I1327" i="1"/>
  <c r="D1327" i="1"/>
  <c r="C1327" i="1"/>
  <c r="A1327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B1326" i="1"/>
  <c r="H1326" i="1"/>
  <c r="G1326" i="1"/>
  <c r="F1326" i="1"/>
  <c r="E1326" i="1"/>
  <c r="N1326" i="1"/>
  <c r="M1326" i="1"/>
  <c r="L1326" i="1"/>
  <c r="K1326" i="1"/>
  <c r="J1326" i="1"/>
  <c r="I1326" i="1"/>
  <c r="D1326" i="1"/>
  <c r="C1326" i="1"/>
  <c r="A1326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B1325" i="1"/>
  <c r="H1325" i="1"/>
  <c r="G1325" i="1"/>
  <c r="F1325" i="1"/>
  <c r="E1325" i="1"/>
  <c r="N1325" i="1"/>
  <c r="M1325" i="1"/>
  <c r="L1325" i="1"/>
  <c r="K1325" i="1"/>
  <c r="J1325" i="1"/>
  <c r="I1325" i="1"/>
  <c r="D1325" i="1"/>
  <c r="C1325" i="1"/>
  <c r="A1325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B1324" i="1"/>
  <c r="H1324" i="1"/>
  <c r="G1324" i="1"/>
  <c r="F1324" i="1"/>
  <c r="E1324" i="1"/>
  <c r="N1324" i="1"/>
  <c r="M1324" i="1"/>
  <c r="L1324" i="1"/>
  <c r="K1324" i="1"/>
  <c r="J1324" i="1"/>
  <c r="I1324" i="1"/>
  <c r="D1324" i="1"/>
  <c r="C1324" i="1"/>
  <c r="A1324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B1323" i="1"/>
  <c r="H1323" i="1"/>
  <c r="G1323" i="1"/>
  <c r="F1323" i="1"/>
  <c r="E1323" i="1"/>
  <c r="M1323" i="1"/>
  <c r="L1323" i="1"/>
  <c r="K1323" i="1"/>
  <c r="J1323" i="1"/>
  <c r="I1323" i="1"/>
  <c r="D1323" i="1"/>
  <c r="C1323" i="1"/>
  <c r="A1323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B1322" i="1"/>
  <c r="H1322" i="1"/>
  <c r="G1322" i="1"/>
  <c r="F1322" i="1"/>
  <c r="E1322" i="1"/>
  <c r="N1322" i="1"/>
  <c r="M1322" i="1"/>
  <c r="L1322" i="1"/>
  <c r="K1322" i="1"/>
  <c r="J1322" i="1"/>
  <c r="I1322" i="1"/>
  <c r="D1322" i="1"/>
  <c r="C1322" i="1"/>
  <c r="A1322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B1321" i="1"/>
  <c r="H1321" i="1"/>
  <c r="G1321" i="1"/>
  <c r="F1321" i="1"/>
  <c r="E1321" i="1"/>
  <c r="N1321" i="1"/>
  <c r="M1321" i="1"/>
  <c r="L1321" i="1"/>
  <c r="K1321" i="1"/>
  <c r="J1321" i="1"/>
  <c r="I1321" i="1"/>
  <c r="D1321" i="1"/>
  <c r="C1321" i="1"/>
  <c r="A1321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B1320" i="1"/>
  <c r="H1320" i="1"/>
  <c r="G1320" i="1"/>
  <c r="F1320" i="1"/>
  <c r="E1320" i="1"/>
  <c r="N1320" i="1"/>
  <c r="M1320" i="1"/>
  <c r="L1320" i="1"/>
  <c r="K1320" i="1"/>
  <c r="J1320" i="1"/>
  <c r="I1320" i="1"/>
  <c r="D1320" i="1"/>
  <c r="C1320" i="1"/>
  <c r="A1320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B1319" i="1"/>
  <c r="H1319" i="1"/>
  <c r="G1319" i="1"/>
  <c r="F1319" i="1"/>
  <c r="E1319" i="1"/>
  <c r="N1319" i="1"/>
  <c r="M1319" i="1"/>
  <c r="L1319" i="1"/>
  <c r="K1319" i="1"/>
  <c r="J1319" i="1"/>
  <c r="I1319" i="1"/>
  <c r="D1319" i="1"/>
  <c r="C1319" i="1"/>
  <c r="A1319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B1318" i="1"/>
  <c r="H1318" i="1"/>
  <c r="G1318" i="1"/>
  <c r="F1318" i="1"/>
  <c r="E1318" i="1"/>
  <c r="N1318" i="1"/>
  <c r="M1318" i="1"/>
  <c r="L1318" i="1"/>
  <c r="K1318" i="1"/>
  <c r="J1318" i="1"/>
  <c r="I1318" i="1"/>
  <c r="D1318" i="1"/>
  <c r="C1318" i="1"/>
  <c r="A1318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B1317" i="1"/>
  <c r="H1317" i="1"/>
  <c r="G1317" i="1"/>
  <c r="F1317" i="1"/>
  <c r="E1317" i="1"/>
  <c r="N1317" i="1"/>
  <c r="M1317" i="1"/>
  <c r="L1317" i="1"/>
  <c r="K1317" i="1"/>
  <c r="J1317" i="1"/>
  <c r="I1317" i="1"/>
  <c r="D1317" i="1"/>
  <c r="C1317" i="1"/>
  <c r="A1317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B1316" i="1"/>
  <c r="H1316" i="1"/>
  <c r="G1316" i="1"/>
  <c r="F1316" i="1"/>
  <c r="E1316" i="1"/>
  <c r="N1316" i="1"/>
  <c r="M1316" i="1"/>
  <c r="L1316" i="1"/>
  <c r="K1316" i="1"/>
  <c r="J1316" i="1"/>
  <c r="I1316" i="1"/>
  <c r="D1316" i="1"/>
  <c r="C1316" i="1"/>
  <c r="A1316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B1315" i="1"/>
  <c r="H1315" i="1"/>
  <c r="G1315" i="1"/>
  <c r="F1315" i="1"/>
  <c r="E1315" i="1"/>
  <c r="N1315" i="1"/>
  <c r="M1315" i="1"/>
  <c r="L1315" i="1"/>
  <c r="K1315" i="1"/>
  <c r="J1315" i="1"/>
  <c r="I1315" i="1"/>
  <c r="D1315" i="1"/>
  <c r="C1315" i="1"/>
  <c r="A1315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B1314" i="1"/>
  <c r="H1314" i="1"/>
  <c r="G1314" i="1"/>
  <c r="F1314" i="1"/>
  <c r="E1314" i="1"/>
  <c r="N1314" i="1"/>
  <c r="M1314" i="1"/>
  <c r="L1314" i="1"/>
  <c r="K1314" i="1"/>
  <c r="J1314" i="1"/>
  <c r="I1314" i="1"/>
  <c r="D1314" i="1"/>
  <c r="C1314" i="1"/>
  <c r="A1314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B1313" i="1"/>
  <c r="H1313" i="1"/>
  <c r="G1313" i="1"/>
  <c r="F1313" i="1"/>
  <c r="E1313" i="1"/>
  <c r="M1313" i="1"/>
  <c r="L1313" i="1"/>
  <c r="K1313" i="1"/>
  <c r="J1313" i="1"/>
  <c r="I1313" i="1"/>
  <c r="D1313" i="1"/>
  <c r="C1313" i="1"/>
  <c r="A1313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B1312" i="1"/>
  <c r="H1312" i="1"/>
  <c r="G1312" i="1"/>
  <c r="F1312" i="1"/>
  <c r="E1312" i="1"/>
  <c r="N1312" i="1"/>
  <c r="M1312" i="1"/>
  <c r="L1312" i="1"/>
  <c r="K1312" i="1"/>
  <c r="J1312" i="1"/>
  <c r="I1312" i="1"/>
  <c r="D1312" i="1"/>
  <c r="C1312" i="1"/>
  <c r="A1312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B1311" i="1"/>
  <c r="H1311" i="1"/>
  <c r="G1311" i="1"/>
  <c r="F1311" i="1"/>
  <c r="E1311" i="1"/>
  <c r="N1311" i="1"/>
  <c r="M1311" i="1"/>
  <c r="L1311" i="1"/>
  <c r="K1311" i="1"/>
  <c r="J1311" i="1"/>
  <c r="I1311" i="1"/>
  <c r="D1311" i="1"/>
  <c r="C1311" i="1"/>
  <c r="A1311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B1310" i="1"/>
  <c r="H1310" i="1"/>
  <c r="G1310" i="1"/>
  <c r="F1310" i="1"/>
  <c r="E1310" i="1"/>
  <c r="N1310" i="1"/>
  <c r="M1310" i="1"/>
  <c r="L1310" i="1"/>
  <c r="K1310" i="1"/>
  <c r="J1310" i="1"/>
  <c r="I1310" i="1"/>
  <c r="D1310" i="1"/>
  <c r="C1310" i="1"/>
  <c r="A1310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B1309" i="1"/>
  <c r="H1309" i="1"/>
  <c r="G1309" i="1"/>
  <c r="F1309" i="1"/>
  <c r="E1309" i="1"/>
  <c r="N1309" i="1"/>
  <c r="M1309" i="1"/>
  <c r="L1309" i="1"/>
  <c r="K1309" i="1"/>
  <c r="J1309" i="1"/>
  <c r="I1309" i="1"/>
  <c r="D1309" i="1"/>
  <c r="C1309" i="1"/>
  <c r="A1309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B1308" i="1"/>
  <c r="H1308" i="1"/>
  <c r="G1308" i="1"/>
  <c r="F1308" i="1"/>
  <c r="E1308" i="1"/>
  <c r="N1308" i="1"/>
  <c r="M1308" i="1"/>
  <c r="L1308" i="1"/>
  <c r="K1308" i="1"/>
  <c r="J1308" i="1"/>
  <c r="I1308" i="1"/>
  <c r="D1308" i="1"/>
  <c r="C1308" i="1"/>
  <c r="A1308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B1307" i="1"/>
  <c r="H1307" i="1"/>
  <c r="G1307" i="1"/>
  <c r="F1307" i="1"/>
  <c r="E1307" i="1"/>
  <c r="N1307" i="1"/>
  <c r="M1307" i="1"/>
  <c r="L1307" i="1"/>
  <c r="K1307" i="1"/>
  <c r="J1307" i="1"/>
  <c r="I1307" i="1"/>
  <c r="D1307" i="1"/>
  <c r="C1307" i="1"/>
  <c r="A1307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B1306" i="1"/>
  <c r="H1306" i="1"/>
  <c r="G1306" i="1"/>
  <c r="F1306" i="1"/>
  <c r="E1306" i="1"/>
  <c r="N1306" i="1"/>
  <c r="M1306" i="1"/>
  <c r="L1306" i="1"/>
  <c r="K1306" i="1"/>
  <c r="J1306" i="1"/>
  <c r="I1306" i="1"/>
  <c r="D1306" i="1"/>
  <c r="C1306" i="1"/>
  <c r="A1306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B1305" i="1"/>
  <c r="H1305" i="1"/>
  <c r="G1305" i="1"/>
  <c r="F1305" i="1"/>
  <c r="E1305" i="1"/>
  <c r="N1305" i="1"/>
  <c r="M1305" i="1"/>
  <c r="L1305" i="1"/>
  <c r="K1305" i="1"/>
  <c r="J1305" i="1"/>
  <c r="I1305" i="1"/>
  <c r="D1305" i="1"/>
  <c r="C1305" i="1"/>
  <c r="A1305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B1304" i="1"/>
  <c r="H1304" i="1"/>
  <c r="G1304" i="1"/>
  <c r="F1304" i="1"/>
  <c r="E1304" i="1"/>
  <c r="N1304" i="1"/>
  <c r="M1304" i="1"/>
  <c r="L1304" i="1"/>
  <c r="K1304" i="1"/>
  <c r="J1304" i="1"/>
  <c r="I1304" i="1"/>
  <c r="D1304" i="1"/>
  <c r="C1304" i="1"/>
  <c r="A1304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B1303" i="1"/>
  <c r="H1303" i="1"/>
  <c r="G1303" i="1"/>
  <c r="F1303" i="1"/>
  <c r="E1303" i="1"/>
  <c r="N1303" i="1"/>
  <c r="M1303" i="1"/>
  <c r="L1303" i="1"/>
  <c r="K1303" i="1"/>
  <c r="J1303" i="1"/>
  <c r="I1303" i="1"/>
  <c r="D1303" i="1"/>
  <c r="C1303" i="1"/>
  <c r="A1303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B1302" i="1"/>
  <c r="H1302" i="1"/>
  <c r="G1302" i="1"/>
  <c r="F1302" i="1"/>
  <c r="E1302" i="1"/>
  <c r="N1302" i="1"/>
  <c r="M1302" i="1"/>
  <c r="L1302" i="1"/>
  <c r="K1302" i="1"/>
  <c r="J1302" i="1"/>
  <c r="I1302" i="1"/>
  <c r="D1302" i="1"/>
  <c r="C1302" i="1"/>
  <c r="A1302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B1301" i="1"/>
  <c r="H1301" i="1"/>
  <c r="G1301" i="1"/>
  <c r="F1301" i="1"/>
  <c r="E1301" i="1"/>
  <c r="N1301" i="1"/>
  <c r="M1301" i="1"/>
  <c r="L1301" i="1"/>
  <c r="K1301" i="1"/>
  <c r="J1301" i="1"/>
  <c r="I1301" i="1"/>
  <c r="D1301" i="1"/>
  <c r="C1301" i="1"/>
  <c r="A1301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B1300" i="1"/>
  <c r="H1300" i="1"/>
  <c r="G1300" i="1"/>
  <c r="F1300" i="1"/>
  <c r="E1300" i="1"/>
  <c r="N1300" i="1"/>
  <c r="M1300" i="1"/>
  <c r="L1300" i="1"/>
  <c r="K1300" i="1"/>
  <c r="J1300" i="1"/>
  <c r="I1300" i="1"/>
  <c r="D1300" i="1"/>
  <c r="C1300" i="1"/>
  <c r="A1300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B1299" i="1"/>
  <c r="H1299" i="1"/>
  <c r="G1299" i="1"/>
  <c r="F1299" i="1"/>
  <c r="E1299" i="1"/>
  <c r="N1299" i="1"/>
  <c r="M1299" i="1"/>
  <c r="L1299" i="1"/>
  <c r="K1299" i="1"/>
  <c r="J1299" i="1"/>
  <c r="I1299" i="1"/>
  <c r="D1299" i="1"/>
  <c r="C1299" i="1"/>
  <c r="A1299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B1298" i="1"/>
  <c r="H1298" i="1"/>
  <c r="G1298" i="1"/>
  <c r="F1298" i="1"/>
  <c r="E1298" i="1"/>
  <c r="N1298" i="1"/>
  <c r="M1298" i="1"/>
  <c r="L1298" i="1"/>
  <c r="K1298" i="1"/>
  <c r="J1298" i="1"/>
  <c r="I1298" i="1"/>
  <c r="D1298" i="1"/>
  <c r="C1298" i="1"/>
  <c r="A1298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B1297" i="1"/>
  <c r="H1297" i="1"/>
  <c r="G1297" i="1"/>
  <c r="F1297" i="1"/>
  <c r="E1297" i="1"/>
  <c r="N1297" i="1"/>
  <c r="M1297" i="1"/>
  <c r="L1297" i="1"/>
  <c r="K1297" i="1"/>
  <c r="J1297" i="1"/>
  <c r="I1297" i="1"/>
  <c r="D1297" i="1"/>
  <c r="C1297" i="1"/>
  <c r="A1297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B1296" i="1"/>
  <c r="H1296" i="1"/>
  <c r="G1296" i="1"/>
  <c r="F1296" i="1"/>
  <c r="E1296" i="1"/>
  <c r="N1296" i="1"/>
  <c r="M1296" i="1"/>
  <c r="L1296" i="1"/>
  <c r="K1296" i="1"/>
  <c r="J1296" i="1"/>
  <c r="I1296" i="1"/>
  <c r="D1296" i="1"/>
  <c r="C1296" i="1"/>
  <c r="A1296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B1295" i="1"/>
  <c r="H1295" i="1"/>
  <c r="G1295" i="1"/>
  <c r="F1295" i="1"/>
  <c r="E1295" i="1"/>
  <c r="N1295" i="1"/>
  <c r="M1295" i="1"/>
  <c r="L1295" i="1"/>
  <c r="K1295" i="1"/>
  <c r="J1295" i="1"/>
  <c r="I1295" i="1"/>
  <c r="D1295" i="1"/>
  <c r="C1295" i="1"/>
  <c r="A1295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B1294" i="1"/>
  <c r="H1294" i="1"/>
  <c r="G1294" i="1"/>
  <c r="F1294" i="1"/>
  <c r="E1294" i="1"/>
  <c r="N1294" i="1"/>
  <c r="M1294" i="1"/>
  <c r="L1294" i="1"/>
  <c r="K1294" i="1"/>
  <c r="J1294" i="1"/>
  <c r="I1294" i="1"/>
  <c r="D1294" i="1"/>
  <c r="C1294" i="1"/>
  <c r="A1294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B1293" i="1"/>
  <c r="H1293" i="1"/>
  <c r="G1293" i="1"/>
  <c r="F1293" i="1"/>
  <c r="E1293" i="1"/>
  <c r="N1293" i="1"/>
  <c r="M1293" i="1"/>
  <c r="L1293" i="1"/>
  <c r="K1293" i="1"/>
  <c r="J1293" i="1"/>
  <c r="I1293" i="1"/>
  <c r="D1293" i="1"/>
  <c r="C1293" i="1"/>
  <c r="A1293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B1292" i="1"/>
  <c r="H1292" i="1"/>
  <c r="G1292" i="1"/>
  <c r="F1292" i="1"/>
  <c r="E1292" i="1"/>
  <c r="N1292" i="1"/>
  <c r="M1292" i="1"/>
  <c r="L1292" i="1"/>
  <c r="K1292" i="1"/>
  <c r="J1292" i="1"/>
  <c r="I1292" i="1"/>
  <c r="D1292" i="1"/>
  <c r="C1292" i="1"/>
  <c r="A1292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B1291" i="1"/>
  <c r="H1291" i="1"/>
  <c r="G1291" i="1"/>
  <c r="F1291" i="1"/>
  <c r="E1291" i="1"/>
  <c r="N1291" i="1"/>
  <c r="M1291" i="1"/>
  <c r="L1291" i="1"/>
  <c r="K1291" i="1"/>
  <c r="J1291" i="1"/>
  <c r="I1291" i="1"/>
  <c r="D1291" i="1"/>
  <c r="C1291" i="1"/>
  <c r="A1291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B1290" i="1"/>
  <c r="H1290" i="1"/>
  <c r="G1290" i="1"/>
  <c r="F1290" i="1"/>
  <c r="E1290" i="1"/>
  <c r="N1290" i="1"/>
  <c r="M1290" i="1"/>
  <c r="L1290" i="1"/>
  <c r="K1290" i="1"/>
  <c r="J1290" i="1"/>
  <c r="I1290" i="1"/>
  <c r="D1290" i="1"/>
  <c r="C1290" i="1"/>
  <c r="A1290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B1289" i="1"/>
  <c r="H1289" i="1"/>
  <c r="G1289" i="1"/>
  <c r="F1289" i="1"/>
  <c r="E1289" i="1"/>
  <c r="N1289" i="1"/>
  <c r="M1289" i="1"/>
  <c r="L1289" i="1"/>
  <c r="K1289" i="1"/>
  <c r="J1289" i="1"/>
  <c r="I1289" i="1"/>
  <c r="D1289" i="1"/>
  <c r="C1289" i="1"/>
  <c r="A1289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B1288" i="1"/>
  <c r="H1288" i="1"/>
  <c r="G1288" i="1"/>
  <c r="F1288" i="1"/>
  <c r="E1288" i="1"/>
  <c r="N1288" i="1"/>
  <c r="M1288" i="1"/>
  <c r="L1288" i="1"/>
  <c r="K1288" i="1"/>
  <c r="J1288" i="1"/>
  <c r="I1288" i="1"/>
  <c r="D1288" i="1"/>
  <c r="C1288" i="1"/>
  <c r="A1288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B1287" i="1"/>
  <c r="H1287" i="1"/>
  <c r="G1287" i="1"/>
  <c r="F1287" i="1"/>
  <c r="E1287" i="1"/>
  <c r="N1287" i="1"/>
  <c r="M1287" i="1"/>
  <c r="L1287" i="1"/>
  <c r="K1287" i="1"/>
  <c r="J1287" i="1"/>
  <c r="I1287" i="1"/>
  <c r="D1287" i="1"/>
  <c r="C1287" i="1"/>
  <c r="A1287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B1286" i="1"/>
  <c r="H1286" i="1"/>
  <c r="G1286" i="1"/>
  <c r="F1286" i="1"/>
  <c r="E1286" i="1"/>
  <c r="N1286" i="1"/>
  <c r="M1286" i="1"/>
  <c r="L1286" i="1"/>
  <c r="K1286" i="1"/>
  <c r="J1286" i="1"/>
  <c r="I1286" i="1"/>
  <c r="D1286" i="1"/>
  <c r="C1286" i="1"/>
  <c r="A1286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B1285" i="1"/>
  <c r="H1285" i="1"/>
  <c r="G1285" i="1"/>
  <c r="F1285" i="1"/>
  <c r="E1285" i="1"/>
  <c r="N1285" i="1"/>
  <c r="M1285" i="1"/>
  <c r="L1285" i="1"/>
  <c r="K1285" i="1"/>
  <c r="J1285" i="1"/>
  <c r="I1285" i="1"/>
  <c r="D1285" i="1"/>
  <c r="C1285" i="1"/>
  <c r="A1285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B1284" i="1"/>
  <c r="H1284" i="1"/>
  <c r="G1284" i="1"/>
  <c r="F1284" i="1"/>
  <c r="E1284" i="1"/>
  <c r="N1284" i="1"/>
  <c r="M1284" i="1"/>
  <c r="L1284" i="1"/>
  <c r="K1284" i="1"/>
  <c r="J1284" i="1"/>
  <c r="I1284" i="1"/>
  <c r="D1284" i="1"/>
  <c r="C1284" i="1"/>
  <c r="A1284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B1283" i="1"/>
  <c r="H1283" i="1"/>
  <c r="G1283" i="1"/>
  <c r="F1283" i="1"/>
  <c r="E1283" i="1"/>
  <c r="N1283" i="1"/>
  <c r="M1283" i="1"/>
  <c r="L1283" i="1"/>
  <c r="K1283" i="1"/>
  <c r="J1283" i="1"/>
  <c r="I1283" i="1"/>
  <c r="D1283" i="1"/>
  <c r="C1283" i="1"/>
  <c r="A1283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B1282" i="1"/>
  <c r="H1282" i="1"/>
  <c r="G1282" i="1"/>
  <c r="F1282" i="1"/>
  <c r="E1282" i="1"/>
  <c r="N1282" i="1"/>
  <c r="M1282" i="1"/>
  <c r="L1282" i="1"/>
  <c r="K1282" i="1"/>
  <c r="J1282" i="1"/>
  <c r="I1282" i="1"/>
  <c r="D1282" i="1"/>
  <c r="C1282" i="1"/>
  <c r="A1282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B1281" i="1"/>
  <c r="H1281" i="1"/>
  <c r="G1281" i="1"/>
  <c r="F1281" i="1"/>
  <c r="E1281" i="1"/>
  <c r="N1281" i="1"/>
  <c r="M1281" i="1"/>
  <c r="L1281" i="1"/>
  <c r="K1281" i="1"/>
  <c r="J1281" i="1"/>
  <c r="I1281" i="1"/>
  <c r="D1281" i="1"/>
  <c r="C1281" i="1"/>
  <c r="A1281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B1280" i="1"/>
  <c r="H1280" i="1"/>
  <c r="G1280" i="1"/>
  <c r="F1280" i="1"/>
  <c r="E1280" i="1"/>
  <c r="N1280" i="1"/>
  <c r="M1280" i="1"/>
  <c r="L1280" i="1"/>
  <c r="K1280" i="1"/>
  <c r="J1280" i="1"/>
  <c r="I1280" i="1"/>
  <c r="D1280" i="1"/>
  <c r="C1280" i="1"/>
  <c r="A1280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B1279" i="1"/>
  <c r="H1279" i="1"/>
  <c r="G1279" i="1"/>
  <c r="F1279" i="1"/>
  <c r="E1279" i="1"/>
  <c r="N1279" i="1"/>
  <c r="M1279" i="1"/>
  <c r="L1279" i="1"/>
  <c r="K1279" i="1"/>
  <c r="J1279" i="1"/>
  <c r="I1279" i="1"/>
  <c r="D1279" i="1"/>
  <c r="C1279" i="1"/>
  <c r="A1279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B1278" i="1"/>
  <c r="H1278" i="1"/>
  <c r="G1278" i="1"/>
  <c r="F1278" i="1"/>
  <c r="E1278" i="1"/>
  <c r="N1278" i="1"/>
  <c r="M1278" i="1"/>
  <c r="L1278" i="1"/>
  <c r="K1278" i="1"/>
  <c r="J1278" i="1"/>
  <c r="I1278" i="1"/>
  <c r="D1278" i="1"/>
  <c r="C1278" i="1"/>
  <c r="A1278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B1277" i="1"/>
  <c r="H1277" i="1"/>
  <c r="G1277" i="1"/>
  <c r="F1277" i="1"/>
  <c r="E1277" i="1"/>
  <c r="N1277" i="1"/>
  <c r="M1277" i="1"/>
  <c r="L1277" i="1"/>
  <c r="K1277" i="1"/>
  <c r="J1277" i="1"/>
  <c r="I1277" i="1"/>
  <c r="D1277" i="1"/>
  <c r="C1277" i="1"/>
  <c r="A1277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B1276" i="1"/>
  <c r="H1276" i="1"/>
  <c r="G1276" i="1"/>
  <c r="F1276" i="1"/>
  <c r="E1276" i="1"/>
  <c r="N1276" i="1"/>
  <c r="M1276" i="1"/>
  <c r="L1276" i="1"/>
  <c r="K1276" i="1"/>
  <c r="J1276" i="1"/>
  <c r="I1276" i="1"/>
  <c r="D1276" i="1"/>
  <c r="C1276" i="1"/>
  <c r="A1276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B1275" i="1"/>
  <c r="H1275" i="1"/>
  <c r="G1275" i="1"/>
  <c r="F1275" i="1"/>
  <c r="E1275" i="1"/>
  <c r="M1275" i="1"/>
  <c r="L1275" i="1"/>
  <c r="K1275" i="1"/>
  <c r="J1275" i="1"/>
  <c r="I1275" i="1"/>
  <c r="D1275" i="1"/>
  <c r="C1275" i="1"/>
  <c r="A1275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B1274" i="1"/>
  <c r="H1274" i="1"/>
  <c r="G1274" i="1"/>
  <c r="F1274" i="1"/>
  <c r="E1274" i="1"/>
  <c r="N1274" i="1"/>
  <c r="M1274" i="1"/>
  <c r="L1274" i="1"/>
  <c r="K1274" i="1"/>
  <c r="J1274" i="1"/>
  <c r="I1274" i="1"/>
  <c r="D1274" i="1"/>
  <c r="C1274" i="1"/>
  <c r="A1274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B1273" i="1"/>
  <c r="H1273" i="1"/>
  <c r="G1273" i="1"/>
  <c r="F1273" i="1"/>
  <c r="E1273" i="1"/>
  <c r="N1273" i="1"/>
  <c r="M1273" i="1"/>
  <c r="L1273" i="1"/>
  <c r="K1273" i="1"/>
  <c r="J1273" i="1"/>
  <c r="I1273" i="1"/>
  <c r="D1273" i="1"/>
  <c r="C1273" i="1"/>
  <c r="A1273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B1272" i="1"/>
  <c r="H1272" i="1"/>
  <c r="G1272" i="1"/>
  <c r="F1272" i="1"/>
  <c r="E1272" i="1"/>
  <c r="N1272" i="1"/>
  <c r="M1272" i="1"/>
  <c r="L1272" i="1"/>
  <c r="K1272" i="1"/>
  <c r="J1272" i="1"/>
  <c r="I1272" i="1"/>
  <c r="D1272" i="1"/>
  <c r="C1272" i="1"/>
  <c r="A1272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B1271" i="1"/>
  <c r="H1271" i="1"/>
  <c r="G1271" i="1"/>
  <c r="F1271" i="1"/>
  <c r="E1271" i="1"/>
  <c r="N1271" i="1"/>
  <c r="M1271" i="1"/>
  <c r="L1271" i="1"/>
  <c r="K1271" i="1"/>
  <c r="J1271" i="1"/>
  <c r="I1271" i="1"/>
  <c r="D1271" i="1"/>
  <c r="C1271" i="1"/>
  <c r="A1271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B1270" i="1"/>
  <c r="H1270" i="1"/>
  <c r="G1270" i="1"/>
  <c r="F1270" i="1"/>
  <c r="E1270" i="1"/>
  <c r="N1270" i="1"/>
  <c r="M1270" i="1"/>
  <c r="L1270" i="1"/>
  <c r="K1270" i="1"/>
  <c r="J1270" i="1"/>
  <c r="I1270" i="1"/>
  <c r="D1270" i="1"/>
  <c r="C1270" i="1"/>
  <c r="A1270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B1269" i="1"/>
  <c r="H1269" i="1"/>
  <c r="G1269" i="1"/>
  <c r="F1269" i="1"/>
  <c r="E1269" i="1"/>
  <c r="N1269" i="1"/>
  <c r="M1269" i="1"/>
  <c r="L1269" i="1"/>
  <c r="K1269" i="1"/>
  <c r="J1269" i="1"/>
  <c r="I1269" i="1"/>
  <c r="D1269" i="1"/>
  <c r="C1269" i="1"/>
  <c r="A1269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B1268" i="1"/>
  <c r="H1268" i="1"/>
  <c r="G1268" i="1"/>
  <c r="F1268" i="1"/>
  <c r="E1268" i="1"/>
  <c r="N1268" i="1"/>
  <c r="M1268" i="1"/>
  <c r="L1268" i="1"/>
  <c r="K1268" i="1"/>
  <c r="J1268" i="1"/>
  <c r="I1268" i="1"/>
  <c r="D1268" i="1"/>
  <c r="C1268" i="1"/>
  <c r="A1268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B1267" i="1"/>
  <c r="H1267" i="1"/>
  <c r="G1267" i="1"/>
  <c r="F1267" i="1"/>
  <c r="E1267" i="1"/>
  <c r="N1267" i="1"/>
  <c r="M1267" i="1"/>
  <c r="L1267" i="1"/>
  <c r="K1267" i="1"/>
  <c r="J1267" i="1"/>
  <c r="I1267" i="1"/>
  <c r="D1267" i="1"/>
  <c r="C1267" i="1"/>
  <c r="A1267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B1266" i="1"/>
  <c r="H1266" i="1"/>
  <c r="G1266" i="1"/>
  <c r="F1266" i="1"/>
  <c r="E1266" i="1"/>
  <c r="N1266" i="1"/>
  <c r="M1266" i="1"/>
  <c r="L1266" i="1"/>
  <c r="K1266" i="1"/>
  <c r="J1266" i="1"/>
  <c r="I1266" i="1"/>
  <c r="D1266" i="1"/>
  <c r="C1266" i="1"/>
  <c r="A1266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B1265" i="1"/>
  <c r="H1265" i="1"/>
  <c r="G1265" i="1"/>
  <c r="F1265" i="1"/>
  <c r="E1265" i="1"/>
  <c r="N1265" i="1"/>
  <c r="M1265" i="1"/>
  <c r="L1265" i="1"/>
  <c r="K1265" i="1"/>
  <c r="J1265" i="1"/>
  <c r="I1265" i="1"/>
  <c r="D1265" i="1"/>
  <c r="C1265" i="1"/>
  <c r="A1265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B1264" i="1"/>
  <c r="H1264" i="1"/>
  <c r="G1264" i="1"/>
  <c r="F1264" i="1"/>
  <c r="E1264" i="1"/>
  <c r="N1264" i="1"/>
  <c r="M1264" i="1"/>
  <c r="L1264" i="1"/>
  <c r="K1264" i="1"/>
  <c r="J1264" i="1"/>
  <c r="I1264" i="1"/>
  <c r="D1264" i="1"/>
  <c r="C1264" i="1"/>
  <c r="A1264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B1263" i="1"/>
  <c r="H1263" i="1"/>
  <c r="G1263" i="1"/>
  <c r="F1263" i="1"/>
  <c r="E1263" i="1"/>
  <c r="N1263" i="1"/>
  <c r="M1263" i="1"/>
  <c r="L1263" i="1"/>
  <c r="K1263" i="1"/>
  <c r="J1263" i="1"/>
  <c r="I1263" i="1"/>
  <c r="D1263" i="1"/>
  <c r="C1263" i="1"/>
  <c r="A1263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B1262" i="1"/>
  <c r="H1262" i="1"/>
  <c r="G1262" i="1"/>
  <c r="F1262" i="1"/>
  <c r="E1262" i="1"/>
  <c r="N1262" i="1"/>
  <c r="M1262" i="1"/>
  <c r="L1262" i="1"/>
  <c r="K1262" i="1"/>
  <c r="J1262" i="1"/>
  <c r="I1262" i="1"/>
  <c r="D1262" i="1"/>
  <c r="C1262" i="1"/>
  <c r="A1262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B1261" i="1"/>
  <c r="H1261" i="1"/>
  <c r="G1261" i="1"/>
  <c r="F1261" i="1"/>
  <c r="E1261" i="1"/>
  <c r="N1261" i="1"/>
  <c r="M1261" i="1"/>
  <c r="L1261" i="1"/>
  <c r="K1261" i="1"/>
  <c r="J1261" i="1"/>
  <c r="I1261" i="1"/>
  <c r="D1261" i="1"/>
  <c r="C1261" i="1"/>
  <c r="A1261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B1260" i="1"/>
  <c r="H1260" i="1"/>
  <c r="G1260" i="1"/>
  <c r="F1260" i="1"/>
  <c r="E1260" i="1"/>
  <c r="N1260" i="1"/>
  <c r="M1260" i="1"/>
  <c r="L1260" i="1"/>
  <c r="K1260" i="1"/>
  <c r="J1260" i="1"/>
  <c r="I1260" i="1"/>
  <c r="D1260" i="1"/>
  <c r="C1260" i="1"/>
  <c r="A1260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B1259" i="1"/>
  <c r="H1259" i="1"/>
  <c r="G1259" i="1"/>
  <c r="F1259" i="1"/>
  <c r="E1259" i="1"/>
  <c r="N1259" i="1"/>
  <c r="M1259" i="1"/>
  <c r="L1259" i="1"/>
  <c r="K1259" i="1"/>
  <c r="J1259" i="1"/>
  <c r="I1259" i="1"/>
  <c r="D1259" i="1"/>
  <c r="C1259" i="1"/>
  <c r="A1259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B1258" i="1"/>
  <c r="H1258" i="1"/>
  <c r="G1258" i="1"/>
  <c r="F1258" i="1"/>
  <c r="E1258" i="1"/>
  <c r="N1258" i="1"/>
  <c r="M1258" i="1"/>
  <c r="L1258" i="1"/>
  <c r="K1258" i="1"/>
  <c r="J1258" i="1"/>
  <c r="I1258" i="1"/>
  <c r="D1258" i="1"/>
  <c r="C1258" i="1"/>
  <c r="A1258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B1257" i="1"/>
  <c r="H1257" i="1"/>
  <c r="G1257" i="1"/>
  <c r="F1257" i="1"/>
  <c r="E1257" i="1"/>
  <c r="N1257" i="1"/>
  <c r="M1257" i="1"/>
  <c r="L1257" i="1"/>
  <c r="K1257" i="1"/>
  <c r="J1257" i="1"/>
  <c r="I1257" i="1"/>
  <c r="D1257" i="1"/>
  <c r="C1257" i="1"/>
  <c r="A1257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B1256" i="1"/>
  <c r="H1256" i="1"/>
  <c r="G1256" i="1"/>
  <c r="F1256" i="1"/>
  <c r="E1256" i="1"/>
  <c r="N1256" i="1"/>
  <c r="M1256" i="1"/>
  <c r="L1256" i="1"/>
  <c r="K1256" i="1"/>
  <c r="J1256" i="1"/>
  <c r="I1256" i="1"/>
  <c r="D1256" i="1"/>
  <c r="C1256" i="1"/>
  <c r="A1256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B1255" i="1"/>
  <c r="H1255" i="1"/>
  <c r="G1255" i="1"/>
  <c r="F1255" i="1"/>
  <c r="E1255" i="1"/>
  <c r="N1255" i="1"/>
  <c r="M1255" i="1"/>
  <c r="L1255" i="1"/>
  <c r="K1255" i="1"/>
  <c r="J1255" i="1"/>
  <c r="I1255" i="1"/>
  <c r="D1255" i="1"/>
  <c r="C1255" i="1"/>
  <c r="A1255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B1254" i="1"/>
  <c r="H1254" i="1"/>
  <c r="G1254" i="1"/>
  <c r="F1254" i="1"/>
  <c r="E1254" i="1"/>
  <c r="N1254" i="1"/>
  <c r="M1254" i="1"/>
  <c r="L1254" i="1"/>
  <c r="K1254" i="1"/>
  <c r="J1254" i="1"/>
  <c r="I1254" i="1"/>
  <c r="D1254" i="1"/>
  <c r="C1254" i="1"/>
  <c r="A1254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B1253" i="1"/>
  <c r="H1253" i="1"/>
  <c r="G1253" i="1"/>
  <c r="F1253" i="1"/>
  <c r="E1253" i="1"/>
  <c r="N1253" i="1"/>
  <c r="M1253" i="1"/>
  <c r="L1253" i="1"/>
  <c r="K1253" i="1"/>
  <c r="J1253" i="1"/>
  <c r="I1253" i="1"/>
  <c r="D1253" i="1"/>
  <c r="C1253" i="1"/>
  <c r="A1253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B1252" i="1"/>
  <c r="H1252" i="1"/>
  <c r="G1252" i="1"/>
  <c r="F1252" i="1"/>
  <c r="E1252" i="1"/>
  <c r="N1252" i="1"/>
  <c r="M1252" i="1"/>
  <c r="L1252" i="1"/>
  <c r="K1252" i="1"/>
  <c r="J1252" i="1"/>
  <c r="I1252" i="1"/>
  <c r="D1252" i="1"/>
  <c r="C1252" i="1"/>
  <c r="A1252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B1251" i="1"/>
  <c r="H1251" i="1"/>
  <c r="G1251" i="1"/>
  <c r="F1251" i="1"/>
  <c r="E1251" i="1"/>
  <c r="N1251" i="1"/>
  <c r="M1251" i="1"/>
  <c r="L1251" i="1"/>
  <c r="K1251" i="1"/>
  <c r="J1251" i="1"/>
  <c r="I1251" i="1"/>
  <c r="D1251" i="1"/>
  <c r="C1251" i="1"/>
  <c r="A1251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B1250" i="1"/>
  <c r="H1250" i="1"/>
  <c r="G1250" i="1"/>
  <c r="F1250" i="1"/>
  <c r="E1250" i="1"/>
  <c r="N1250" i="1"/>
  <c r="M1250" i="1"/>
  <c r="L1250" i="1"/>
  <c r="K1250" i="1"/>
  <c r="J1250" i="1"/>
  <c r="I1250" i="1"/>
  <c r="D1250" i="1"/>
  <c r="C1250" i="1"/>
  <c r="A1250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B1249" i="1"/>
  <c r="H1249" i="1"/>
  <c r="G1249" i="1"/>
  <c r="F1249" i="1"/>
  <c r="E1249" i="1"/>
  <c r="N1249" i="1"/>
  <c r="M1249" i="1"/>
  <c r="L1249" i="1"/>
  <c r="K1249" i="1"/>
  <c r="J1249" i="1"/>
  <c r="I1249" i="1"/>
  <c r="D1249" i="1"/>
  <c r="C1249" i="1"/>
  <c r="A1249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B1248" i="1"/>
  <c r="H1248" i="1"/>
  <c r="G1248" i="1"/>
  <c r="F1248" i="1"/>
  <c r="E1248" i="1"/>
  <c r="N1248" i="1"/>
  <c r="M1248" i="1"/>
  <c r="L1248" i="1"/>
  <c r="K1248" i="1"/>
  <c r="J1248" i="1"/>
  <c r="I1248" i="1"/>
  <c r="D1248" i="1"/>
  <c r="C1248" i="1"/>
  <c r="A1248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B1247" i="1"/>
  <c r="H1247" i="1"/>
  <c r="G1247" i="1"/>
  <c r="F1247" i="1"/>
  <c r="E1247" i="1"/>
  <c r="N1247" i="1"/>
  <c r="M1247" i="1"/>
  <c r="L1247" i="1"/>
  <c r="K1247" i="1"/>
  <c r="J1247" i="1"/>
  <c r="I1247" i="1"/>
  <c r="D1247" i="1"/>
  <c r="C1247" i="1"/>
  <c r="A1247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B1246" i="1"/>
  <c r="H1246" i="1"/>
  <c r="G1246" i="1"/>
  <c r="F1246" i="1"/>
  <c r="E1246" i="1"/>
  <c r="N1246" i="1"/>
  <c r="M1246" i="1"/>
  <c r="L1246" i="1"/>
  <c r="K1246" i="1"/>
  <c r="J1246" i="1"/>
  <c r="I1246" i="1"/>
  <c r="D1246" i="1"/>
  <c r="C1246" i="1"/>
  <c r="A1246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B1245" i="1"/>
  <c r="H1245" i="1"/>
  <c r="G1245" i="1"/>
  <c r="F1245" i="1"/>
  <c r="E1245" i="1"/>
  <c r="N1245" i="1"/>
  <c r="M1245" i="1"/>
  <c r="L1245" i="1"/>
  <c r="K1245" i="1"/>
  <c r="J1245" i="1"/>
  <c r="I1245" i="1"/>
  <c r="D1245" i="1"/>
  <c r="C1245" i="1"/>
  <c r="A1245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B1244" i="1"/>
  <c r="H1244" i="1"/>
  <c r="G1244" i="1"/>
  <c r="F1244" i="1"/>
  <c r="E1244" i="1"/>
  <c r="N1244" i="1"/>
  <c r="M1244" i="1"/>
  <c r="L1244" i="1"/>
  <c r="K1244" i="1"/>
  <c r="J1244" i="1"/>
  <c r="I1244" i="1"/>
  <c r="D1244" i="1"/>
  <c r="C1244" i="1"/>
  <c r="A1244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B1243" i="1"/>
  <c r="H1243" i="1"/>
  <c r="G1243" i="1"/>
  <c r="F1243" i="1"/>
  <c r="E1243" i="1"/>
  <c r="N1243" i="1"/>
  <c r="M1243" i="1"/>
  <c r="L1243" i="1"/>
  <c r="K1243" i="1"/>
  <c r="J1243" i="1"/>
  <c r="I1243" i="1"/>
  <c r="D1243" i="1"/>
  <c r="C1243" i="1"/>
  <c r="A1243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B1242" i="1"/>
  <c r="H1242" i="1"/>
  <c r="G1242" i="1"/>
  <c r="F1242" i="1"/>
  <c r="E1242" i="1"/>
  <c r="N1242" i="1"/>
  <c r="M1242" i="1"/>
  <c r="L1242" i="1"/>
  <c r="K1242" i="1"/>
  <c r="J1242" i="1"/>
  <c r="I1242" i="1"/>
  <c r="D1242" i="1"/>
  <c r="C1242" i="1"/>
  <c r="A1242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B1241" i="1"/>
  <c r="H1241" i="1"/>
  <c r="G1241" i="1"/>
  <c r="F1241" i="1"/>
  <c r="E1241" i="1"/>
  <c r="N1241" i="1"/>
  <c r="M1241" i="1"/>
  <c r="L1241" i="1"/>
  <c r="K1241" i="1"/>
  <c r="J1241" i="1"/>
  <c r="I1241" i="1"/>
  <c r="D1241" i="1"/>
  <c r="C1241" i="1"/>
  <c r="A1241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B1240" i="1"/>
  <c r="H1240" i="1"/>
  <c r="G1240" i="1"/>
  <c r="F1240" i="1"/>
  <c r="E1240" i="1"/>
  <c r="N1240" i="1"/>
  <c r="M1240" i="1"/>
  <c r="L1240" i="1"/>
  <c r="K1240" i="1"/>
  <c r="J1240" i="1"/>
  <c r="I1240" i="1"/>
  <c r="D1240" i="1"/>
  <c r="C1240" i="1"/>
  <c r="A1240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B1239" i="1"/>
  <c r="H1239" i="1"/>
  <c r="G1239" i="1"/>
  <c r="F1239" i="1"/>
  <c r="E1239" i="1"/>
  <c r="M1239" i="1"/>
  <c r="L1239" i="1"/>
  <c r="K1239" i="1"/>
  <c r="J1239" i="1"/>
  <c r="I1239" i="1"/>
  <c r="D1239" i="1"/>
  <c r="C1239" i="1"/>
  <c r="A1239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B1238" i="1"/>
  <c r="H1238" i="1"/>
  <c r="G1238" i="1"/>
  <c r="F1238" i="1"/>
  <c r="E1238" i="1"/>
  <c r="N1238" i="1"/>
  <c r="M1238" i="1"/>
  <c r="L1238" i="1"/>
  <c r="K1238" i="1"/>
  <c r="J1238" i="1"/>
  <c r="I1238" i="1"/>
  <c r="D1238" i="1"/>
  <c r="C1238" i="1"/>
  <c r="A1238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B1237" i="1"/>
  <c r="H1237" i="1"/>
  <c r="G1237" i="1"/>
  <c r="F1237" i="1"/>
  <c r="E1237" i="1"/>
  <c r="N1237" i="1"/>
  <c r="M1237" i="1"/>
  <c r="L1237" i="1"/>
  <c r="K1237" i="1"/>
  <c r="J1237" i="1"/>
  <c r="I1237" i="1"/>
  <c r="D1237" i="1"/>
  <c r="C1237" i="1"/>
  <c r="A1237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B1236" i="1"/>
  <c r="H1236" i="1"/>
  <c r="G1236" i="1"/>
  <c r="F1236" i="1"/>
  <c r="E1236" i="1"/>
  <c r="N1236" i="1"/>
  <c r="M1236" i="1"/>
  <c r="L1236" i="1"/>
  <c r="K1236" i="1"/>
  <c r="J1236" i="1"/>
  <c r="I1236" i="1"/>
  <c r="D1236" i="1"/>
  <c r="C1236" i="1"/>
  <c r="A1236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B1235" i="1"/>
  <c r="H1235" i="1"/>
  <c r="G1235" i="1"/>
  <c r="F1235" i="1"/>
  <c r="E1235" i="1"/>
  <c r="N1235" i="1"/>
  <c r="M1235" i="1"/>
  <c r="L1235" i="1"/>
  <c r="K1235" i="1"/>
  <c r="J1235" i="1"/>
  <c r="I1235" i="1"/>
  <c r="D1235" i="1"/>
  <c r="C1235" i="1"/>
  <c r="A1235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B1234" i="1"/>
  <c r="H1234" i="1"/>
  <c r="G1234" i="1"/>
  <c r="F1234" i="1"/>
  <c r="E1234" i="1"/>
  <c r="N1234" i="1"/>
  <c r="M1234" i="1"/>
  <c r="L1234" i="1"/>
  <c r="K1234" i="1"/>
  <c r="J1234" i="1"/>
  <c r="I1234" i="1"/>
  <c r="D1234" i="1"/>
  <c r="C1234" i="1"/>
  <c r="A1234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B1233" i="1"/>
  <c r="H1233" i="1"/>
  <c r="G1233" i="1"/>
  <c r="F1233" i="1"/>
  <c r="E1233" i="1"/>
  <c r="N1233" i="1"/>
  <c r="M1233" i="1"/>
  <c r="L1233" i="1"/>
  <c r="K1233" i="1"/>
  <c r="J1233" i="1"/>
  <c r="I1233" i="1"/>
  <c r="D1233" i="1"/>
  <c r="C1233" i="1"/>
  <c r="A1233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B1232" i="1"/>
  <c r="H1232" i="1"/>
  <c r="G1232" i="1"/>
  <c r="F1232" i="1"/>
  <c r="E1232" i="1"/>
  <c r="N1232" i="1"/>
  <c r="M1232" i="1"/>
  <c r="L1232" i="1"/>
  <c r="K1232" i="1"/>
  <c r="J1232" i="1"/>
  <c r="I1232" i="1"/>
  <c r="D1232" i="1"/>
  <c r="C1232" i="1"/>
  <c r="A1232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B1231" i="1"/>
  <c r="H1231" i="1"/>
  <c r="G1231" i="1"/>
  <c r="F1231" i="1"/>
  <c r="E1231" i="1"/>
  <c r="N1231" i="1"/>
  <c r="M1231" i="1"/>
  <c r="L1231" i="1"/>
  <c r="K1231" i="1"/>
  <c r="J1231" i="1"/>
  <c r="I1231" i="1"/>
  <c r="D1231" i="1"/>
  <c r="C1231" i="1"/>
  <c r="A1231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B1230" i="1"/>
  <c r="H1230" i="1"/>
  <c r="G1230" i="1"/>
  <c r="F1230" i="1"/>
  <c r="E1230" i="1"/>
  <c r="N1230" i="1"/>
  <c r="M1230" i="1"/>
  <c r="L1230" i="1"/>
  <c r="K1230" i="1"/>
  <c r="J1230" i="1"/>
  <c r="I1230" i="1"/>
  <c r="D1230" i="1"/>
  <c r="C1230" i="1"/>
  <c r="A1230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B1229" i="1"/>
  <c r="H1229" i="1"/>
  <c r="G1229" i="1"/>
  <c r="F1229" i="1"/>
  <c r="E1229" i="1"/>
  <c r="N1229" i="1"/>
  <c r="M1229" i="1"/>
  <c r="L1229" i="1"/>
  <c r="K1229" i="1"/>
  <c r="J1229" i="1"/>
  <c r="I1229" i="1"/>
  <c r="D1229" i="1"/>
  <c r="C1229" i="1"/>
  <c r="A1229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B1228" i="1"/>
  <c r="H1228" i="1"/>
  <c r="G1228" i="1"/>
  <c r="F1228" i="1"/>
  <c r="E1228" i="1"/>
  <c r="M1228" i="1"/>
  <c r="L1228" i="1"/>
  <c r="K1228" i="1"/>
  <c r="J1228" i="1"/>
  <c r="I1228" i="1"/>
  <c r="D1228" i="1"/>
  <c r="C1228" i="1"/>
  <c r="A1228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B1227" i="1"/>
  <c r="H1227" i="1"/>
  <c r="G1227" i="1"/>
  <c r="F1227" i="1"/>
  <c r="E1227" i="1"/>
  <c r="N1227" i="1"/>
  <c r="M1227" i="1"/>
  <c r="L1227" i="1"/>
  <c r="K1227" i="1"/>
  <c r="J1227" i="1"/>
  <c r="I1227" i="1"/>
  <c r="D1227" i="1"/>
  <c r="C1227" i="1"/>
  <c r="A1227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B1226" i="1"/>
  <c r="H1226" i="1"/>
  <c r="G1226" i="1"/>
  <c r="F1226" i="1"/>
  <c r="E1226" i="1"/>
  <c r="N1226" i="1"/>
  <c r="M1226" i="1"/>
  <c r="L1226" i="1"/>
  <c r="K1226" i="1"/>
  <c r="J1226" i="1"/>
  <c r="I1226" i="1"/>
  <c r="D1226" i="1"/>
  <c r="C1226" i="1"/>
  <c r="A1226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B1225" i="1"/>
  <c r="H1225" i="1"/>
  <c r="G1225" i="1"/>
  <c r="F1225" i="1"/>
  <c r="E1225" i="1"/>
  <c r="N1225" i="1"/>
  <c r="M1225" i="1"/>
  <c r="L1225" i="1"/>
  <c r="K1225" i="1"/>
  <c r="J1225" i="1"/>
  <c r="I1225" i="1"/>
  <c r="D1225" i="1"/>
  <c r="C1225" i="1"/>
  <c r="A1225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B1224" i="1"/>
  <c r="H1224" i="1"/>
  <c r="G1224" i="1"/>
  <c r="F1224" i="1"/>
  <c r="E1224" i="1"/>
  <c r="N1224" i="1"/>
  <c r="M1224" i="1"/>
  <c r="L1224" i="1"/>
  <c r="K1224" i="1"/>
  <c r="J1224" i="1"/>
  <c r="I1224" i="1"/>
  <c r="D1224" i="1"/>
  <c r="C1224" i="1"/>
  <c r="A1224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B1223" i="1"/>
  <c r="H1223" i="1"/>
  <c r="G1223" i="1"/>
  <c r="F1223" i="1"/>
  <c r="E1223" i="1"/>
  <c r="N1223" i="1"/>
  <c r="M1223" i="1"/>
  <c r="L1223" i="1"/>
  <c r="K1223" i="1"/>
  <c r="J1223" i="1"/>
  <c r="I1223" i="1"/>
  <c r="D1223" i="1"/>
  <c r="C1223" i="1"/>
  <c r="A1223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B1222" i="1"/>
  <c r="H1222" i="1"/>
  <c r="G1222" i="1"/>
  <c r="F1222" i="1"/>
  <c r="E1222" i="1"/>
  <c r="N1222" i="1"/>
  <c r="M1222" i="1"/>
  <c r="L1222" i="1"/>
  <c r="K1222" i="1"/>
  <c r="J1222" i="1"/>
  <c r="I1222" i="1"/>
  <c r="D1222" i="1"/>
  <c r="C1222" i="1"/>
  <c r="A1222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B1221" i="1"/>
  <c r="H1221" i="1"/>
  <c r="G1221" i="1"/>
  <c r="F1221" i="1"/>
  <c r="E1221" i="1"/>
  <c r="N1221" i="1"/>
  <c r="M1221" i="1"/>
  <c r="L1221" i="1"/>
  <c r="K1221" i="1"/>
  <c r="J1221" i="1"/>
  <c r="I1221" i="1"/>
  <c r="D1221" i="1"/>
  <c r="C1221" i="1"/>
  <c r="A1221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B1220" i="1"/>
  <c r="H1220" i="1"/>
  <c r="G1220" i="1"/>
  <c r="F1220" i="1"/>
  <c r="E1220" i="1"/>
  <c r="N1220" i="1"/>
  <c r="M1220" i="1"/>
  <c r="L1220" i="1"/>
  <c r="K1220" i="1"/>
  <c r="J1220" i="1"/>
  <c r="I1220" i="1"/>
  <c r="D1220" i="1"/>
  <c r="C1220" i="1"/>
  <c r="A1220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B1219" i="1"/>
  <c r="H1219" i="1"/>
  <c r="G1219" i="1"/>
  <c r="F1219" i="1"/>
  <c r="E1219" i="1"/>
  <c r="N1219" i="1"/>
  <c r="M1219" i="1"/>
  <c r="L1219" i="1"/>
  <c r="K1219" i="1"/>
  <c r="J1219" i="1"/>
  <c r="I1219" i="1"/>
  <c r="D1219" i="1"/>
  <c r="C1219" i="1"/>
  <c r="A1219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B1218" i="1"/>
  <c r="H1218" i="1"/>
  <c r="G1218" i="1"/>
  <c r="F1218" i="1"/>
  <c r="E1218" i="1"/>
  <c r="N1218" i="1"/>
  <c r="M1218" i="1"/>
  <c r="L1218" i="1"/>
  <c r="K1218" i="1"/>
  <c r="J1218" i="1"/>
  <c r="I1218" i="1"/>
  <c r="D1218" i="1"/>
  <c r="C1218" i="1"/>
  <c r="A1218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B1217" i="1"/>
  <c r="H1217" i="1"/>
  <c r="G1217" i="1"/>
  <c r="F1217" i="1"/>
  <c r="E1217" i="1"/>
  <c r="N1217" i="1"/>
  <c r="M1217" i="1"/>
  <c r="L1217" i="1"/>
  <c r="K1217" i="1"/>
  <c r="J1217" i="1"/>
  <c r="I1217" i="1"/>
  <c r="D1217" i="1"/>
  <c r="C1217" i="1"/>
  <c r="A1217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B1216" i="1"/>
  <c r="H1216" i="1"/>
  <c r="G1216" i="1"/>
  <c r="F1216" i="1"/>
  <c r="E1216" i="1"/>
  <c r="N1216" i="1"/>
  <c r="M1216" i="1"/>
  <c r="L1216" i="1"/>
  <c r="K1216" i="1"/>
  <c r="J1216" i="1"/>
  <c r="I1216" i="1"/>
  <c r="D1216" i="1"/>
  <c r="C1216" i="1"/>
  <c r="A1216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B1215" i="1"/>
  <c r="H1215" i="1"/>
  <c r="G1215" i="1"/>
  <c r="F1215" i="1"/>
  <c r="E1215" i="1"/>
  <c r="N1215" i="1"/>
  <c r="M1215" i="1"/>
  <c r="L1215" i="1"/>
  <c r="K1215" i="1"/>
  <c r="J1215" i="1"/>
  <c r="I1215" i="1"/>
  <c r="D1215" i="1"/>
  <c r="C1215" i="1"/>
  <c r="A1215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B1214" i="1"/>
  <c r="H1214" i="1"/>
  <c r="G1214" i="1"/>
  <c r="F1214" i="1"/>
  <c r="E1214" i="1"/>
  <c r="N1214" i="1"/>
  <c r="M1214" i="1"/>
  <c r="L1214" i="1"/>
  <c r="K1214" i="1"/>
  <c r="J1214" i="1"/>
  <c r="I1214" i="1"/>
  <c r="D1214" i="1"/>
  <c r="C1214" i="1"/>
  <c r="A1214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B1213" i="1"/>
  <c r="H1213" i="1"/>
  <c r="G1213" i="1"/>
  <c r="F1213" i="1"/>
  <c r="E1213" i="1"/>
  <c r="N1213" i="1"/>
  <c r="M1213" i="1"/>
  <c r="L1213" i="1"/>
  <c r="K1213" i="1"/>
  <c r="J1213" i="1"/>
  <c r="I1213" i="1"/>
  <c r="D1213" i="1"/>
  <c r="C1213" i="1"/>
  <c r="A1213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B1212" i="1"/>
  <c r="H1212" i="1"/>
  <c r="G1212" i="1"/>
  <c r="F1212" i="1"/>
  <c r="E1212" i="1"/>
  <c r="N1212" i="1"/>
  <c r="M1212" i="1"/>
  <c r="L1212" i="1"/>
  <c r="K1212" i="1"/>
  <c r="J1212" i="1"/>
  <c r="I1212" i="1"/>
  <c r="D1212" i="1"/>
  <c r="C1212" i="1"/>
  <c r="A1212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B1211" i="1"/>
  <c r="H1211" i="1"/>
  <c r="G1211" i="1"/>
  <c r="F1211" i="1"/>
  <c r="E1211" i="1"/>
  <c r="N1211" i="1"/>
  <c r="M1211" i="1"/>
  <c r="L1211" i="1"/>
  <c r="K1211" i="1"/>
  <c r="J1211" i="1"/>
  <c r="I1211" i="1"/>
  <c r="D1211" i="1"/>
  <c r="C1211" i="1"/>
  <c r="A1211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B1210" i="1"/>
  <c r="H1210" i="1"/>
  <c r="G1210" i="1"/>
  <c r="F1210" i="1"/>
  <c r="E1210" i="1"/>
  <c r="N1210" i="1"/>
  <c r="M1210" i="1"/>
  <c r="L1210" i="1"/>
  <c r="K1210" i="1"/>
  <c r="J1210" i="1"/>
  <c r="I1210" i="1"/>
  <c r="D1210" i="1"/>
  <c r="C1210" i="1"/>
  <c r="A1210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B1209" i="1"/>
  <c r="H1209" i="1"/>
  <c r="G1209" i="1"/>
  <c r="F1209" i="1"/>
  <c r="E1209" i="1"/>
  <c r="N1209" i="1"/>
  <c r="M1209" i="1"/>
  <c r="L1209" i="1"/>
  <c r="K1209" i="1"/>
  <c r="J1209" i="1"/>
  <c r="I1209" i="1"/>
  <c r="D1209" i="1"/>
  <c r="C1209" i="1"/>
  <c r="A1209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B1208" i="1"/>
  <c r="H1208" i="1"/>
  <c r="G1208" i="1"/>
  <c r="F1208" i="1"/>
  <c r="E1208" i="1"/>
  <c r="N1208" i="1"/>
  <c r="M1208" i="1"/>
  <c r="L1208" i="1"/>
  <c r="K1208" i="1"/>
  <c r="J1208" i="1"/>
  <c r="I1208" i="1"/>
  <c r="D1208" i="1"/>
  <c r="C1208" i="1"/>
  <c r="A1208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B1207" i="1"/>
  <c r="H1207" i="1"/>
  <c r="G1207" i="1"/>
  <c r="F1207" i="1"/>
  <c r="E1207" i="1"/>
  <c r="N1207" i="1"/>
  <c r="M1207" i="1"/>
  <c r="L1207" i="1"/>
  <c r="K1207" i="1"/>
  <c r="J1207" i="1"/>
  <c r="I1207" i="1"/>
  <c r="D1207" i="1"/>
  <c r="C1207" i="1"/>
  <c r="A1207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B1206" i="1"/>
  <c r="H1206" i="1"/>
  <c r="G1206" i="1"/>
  <c r="F1206" i="1"/>
  <c r="E1206" i="1"/>
  <c r="N1206" i="1"/>
  <c r="M1206" i="1"/>
  <c r="L1206" i="1"/>
  <c r="K1206" i="1"/>
  <c r="J1206" i="1"/>
  <c r="I1206" i="1"/>
  <c r="D1206" i="1"/>
  <c r="C1206" i="1"/>
  <c r="A1206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B1205" i="1"/>
  <c r="H1205" i="1"/>
  <c r="G1205" i="1"/>
  <c r="F1205" i="1"/>
  <c r="E1205" i="1"/>
  <c r="N1205" i="1"/>
  <c r="M1205" i="1"/>
  <c r="L1205" i="1"/>
  <c r="K1205" i="1"/>
  <c r="J1205" i="1"/>
  <c r="I1205" i="1"/>
  <c r="D1205" i="1"/>
  <c r="C1205" i="1"/>
  <c r="A1205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B1204" i="1"/>
  <c r="H1204" i="1"/>
  <c r="G1204" i="1"/>
  <c r="F1204" i="1"/>
  <c r="E1204" i="1"/>
  <c r="N1204" i="1"/>
  <c r="M1204" i="1"/>
  <c r="L1204" i="1"/>
  <c r="K1204" i="1"/>
  <c r="J1204" i="1"/>
  <c r="I1204" i="1"/>
  <c r="D1204" i="1"/>
  <c r="C1204" i="1"/>
  <c r="A1204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B1203" i="1"/>
  <c r="H1203" i="1"/>
  <c r="G1203" i="1"/>
  <c r="F1203" i="1"/>
  <c r="E1203" i="1"/>
  <c r="N1203" i="1"/>
  <c r="M1203" i="1"/>
  <c r="L1203" i="1"/>
  <c r="K1203" i="1"/>
  <c r="J1203" i="1"/>
  <c r="I1203" i="1"/>
  <c r="D1203" i="1"/>
  <c r="C1203" i="1"/>
  <c r="A1203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B1202" i="1"/>
  <c r="H1202" i="1"/>
  <c r="G1202" i="1"/>
  <c r="F1202" i="1"/>
  <c r="E1202" i="1"/>
  <c r="N1202" i="1"/>
  <c r="M1202" i="1"/>
  <c r="L1202" i="1"/>
  <c r="K1202" i="1"/>
  <c r="J1202" i="1"/>
  <c r="I1202" i="1"/>
  <c r="D1202" i="1"/>
  <c r="C1202" i="1"/>
  <c r="A1202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B1201" i="1"/>
  <c r="H1201" i="1"/>
  <c r="G1201" i="1"/>
  <c r="F1201" i="1"/>
  <c r="E1201" i="1"/>
  <c r="N1201" i="1"/>
  <c r="M1201" i="1"/>
  <c r="L1201" i="1"/>
  <c r="K1201" i="1"/>
  <c r="J1201" i="1"/>
  <c r="I1201" i="1"/>
  <c r="D1201" i="1"/>
  <c r="C1201" i="1"/>
  <c r="A1201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B1200" i="1"/>
  <c r="H1200" i="1"/>
  <c r="G1200" i="1"/>
  <c r="F1200" i="1"/>
  <c r="E1200" i="1"/>
  <c r="N1200" i="1"/>
  <c r="M1200" i="1"/>
  <c r="L1200" i="1"/>
  <c r="K1200" i="1"/>
  <c r="J1200" i="1"/>
  <c r="I1200" i="1"/>
  <c r="D1200" i="1"/>
  <c r="C1200" i="1"/>
  <c r="A1200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B1199" i="1"/>
  <c r="H1199" i="1"/>
  <c r="G1199" i="1"/>
  <c r="F1199" i="1"/>
  <c r="E1199" i="1"/>
  <c r="N1199" i="1"/>
  <c r="M1199" i="1"/>
  <c r="L1199" i="1"/>
  <c r="K1199" i="1"/>
  <c r="J1199" i="1"/>
  <c r="I1199" i="1"/>
  <c r="D1199" i="1"/>
  <c r="C1199" i="1"/>
  <c r="A1199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B1198" i="1"/>
  <c r="H1198" i="1"/>
  <c r="G1198" i="1"/>
  <c r="F1198" i="1"/>
  <c r="E1198" i="1"/>
  <c r="N1198" i="1"/>
  <c r="M1198" i="1"/>
  <c r="L1198" i="1"/>
  <c r="K1198" i="1"/>
  <c r="J1198" i="1"/>
  <c r="I1198" i="1"/>
  <c r="D1198" i="1"/>
  <c r="C1198" i="1"/>
  <c r="A1198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B1197" i="1"/>
  <c r="H1197" i="1"/>
  <c r="G1197" i="1"/>
  <c r="F1197" i="1"/>
  <c r="E1197" i="1"/>
  <c r="N1197" i="1"/>
  <c r="M1197" i="1"/>
  <c r="L1197" i="1"/>
  <c r="K1197" i="1"/>
  <c r="J1197" i="1"/>
  <c r="I1197" i="1"/>
  <c r="D1197" i="1"/>
  <c r="C1197" i="1"/>
  <c r="A1197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B1196" i="1"/>
  <c r="H1196" i="1"/>
  <c r="G1196" i="1"/>
  <c r="F1196" i="1"/>
  <c r="E1196" i="1"/>
  <c r="N1196" i="1"/>
  <c r="M1196" i="1"/>
  <c r="L1196" i="1"/>
  <c r="K1196" i="1"/>
  <c r="J1196" i="1"/>
  <c r="I1196" i="1"/>
  <c r="D1196" i="1"/>
  <c r="C1196" i="1"/>
  <c r="A1196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B1195" i="1"/>
  <c r="H1195" i="1"/>
  <c r="G1195" i="1"/>
  <c r="F1195" i="1"/>
  <c r="E1195" i="1"/>
  <c r="N1195" i="1"/>
  <c r="M1195" i="1"/>
  <c r="L1195" i="1"/>
  <c r="K1195" i="1"/>
  <c r="J1195" i="1"/>
  <c r="I1195" i="1"/>
  <c r="D1195" i="1"/>
  <c r="C1195" i="1"/>
  <c r="A1195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B1194" i="1"/>
  <c r="H1194" i="1"/>
  <c r="G1194" i="1"/>
  <c r="F1194" i="1"/>
  <c r="E1194" i="1"/>
  <c r="N1194" i="1"/>
  <c r="M1194" i="1"/>
  <c r="L1194" i="1"/>
  <c r="K1194" i="1"/>
  <c r="J1194" i="1"/>
  <c r="I1194" i="1"/>
  <c r="D1194" i="1"/>
  <c r="C1194" i="1"/>
  <c r="A1194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B1193" i="1"/>
  <c r="H1193" i="1"/>
  <c r="G1193" i="1"/>
  <c r="F1193" i="1"/>
  <c r="E1193" i="1"/>
  <c r="N1193" i="1"/>
  <c r="M1193" i="1"/>
  <c r="L1193" i="1"/>
  <c r="K1193" i="1"/>
  <c r="J1193" i="1"/>
  <c r="I1193" i="1"/>
  <c r="D1193" i="1"/>
  <c r="C1193" i="1"/>
  <c r="A1193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B1192" i="1"/>
  <c r="H1192" i="1"/>
  <c r="G1192" i="1"/>
  <c r="F1192" i="1"/>
  <c r="E1192" i="1"/>
  <c r="N1192" i="1"/>
  <c r="M1192" i="1"/>
  <c r="L1192" i="1"/>
  <c r="K1192" i="1"/>
  <c r="J1192" i="1"/>
  <c r="I1192" i="1"/>
  <c r="D1192" i="1"/>
  <c r="C1192" i="1"/>
  <c r="A1192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B1191" i="1"/>
  <c r="H1191" i="1"/>
  <c r="G1191" i="1"/>
  <c r="F1191" i="1"/>
  <c r="E1191" i="1"/>
  <c r="N1191" i="1"/>
  <c r="M1191" i="1"/>
  <c r="L1191" i="1"/>
  <c r="K1191" i="1"/>
  <c r="J1191" i="1"/>
  <c r="I1191" i="1"/>
  <c r="D1191" i="1"/>
  <c r="C1191" i="1"/>
  <c r="A1191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B1190" i="1"/>
  <c r="H1190" i="1"/>
  <c r="G1190" i="1"/>
  <c r="F1190" i="1"/>
  <c r="E1190" i="1"/>
  <c r="N1190" i="1"/>
  <c r="M1190" i="1"/>
  <c r="L1190" i="1"/>
  <c r="K1190" i="1"/>
  <c r="J1190" i="1"/>
  <c r="I1190" i="1"/>
  <c r="D1190" i="1"/>
  <c r="C1190" i="1"/>
  <c r="A1190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B1189" i="1"/>
  <c r="H1189" i="1"/>
  <c r="G1189" i="1"/>
  <c r="F1189" i="1"/>
  <c r="E1189" i="1"/>
  <c r="N1189" i="1"/>
  <c r="M1189" i="1"/>
  <c r="L1189" i="1"/>
  <c r="K1189" i="1"/>
  <c r="J1189" i="1"/>
  <c r="I1189" i="1"/>
  <c r="D1189" i="1"/>
  <c r="C1189" i="1"/>
  <c r="A1189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B1188" i="1"/>
  <c r="H1188" i="1"/>
  <c r="G1188" i="1"/>
  <c r="F1188" i="1"/>
  <c r="E1188" i="1"/>
  <c r="N1188" i="1"/>
  <c r="M1188" i="1"/>
  <c r="L1188" i="1"/>
  <c r="K1188" i="1"/>
  <c r="J1188" i="1"/>
  <c r="I1188" i="1"/>
  <c r="D1188" i="1"/>
  <c r="C1188" i="1"/>
  <c r="A1188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B1187" i="1"/>
  <c r="H1187" i="1"/>
  <c r="G1187" i="1"/>
  <c r="F1187" i="1"/>
  <c r="E1187" i="1"/>
  <c r="N1187" i="1"/>
  <c r="M1187" i="1"/>
  <c r="L1187" i="1"/>
  <c r="K1187" i="1"/>
  <c r="J1187" i="1"/>
  <c r="I1187" i="1"/>
  <c r="D1187" i="1"/>
  <c r="C1187" i="1"/>
  <c r="A1187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B1186" i="1"/>
  <c r="H1186" i="1"/>
  <c r="G1186" i="1"/>
  <c r="F1186" i="1"/>
  <c r="E1186" i="1"/>
  <c r="N1186" i="1"/>
  <c r="M1186" i="1"/>
  <c r="L1186" i="1"/>
  <c r="K1186" i="1"/>
  <c r="J1186" i="1"/>
  <c r="I1186" i="1"/>
  <c r="D1186" i="1"/>
  <c r="C1186" i="1"/>
  <c r="A1186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B1185" i="1"/>
  <c r="H1185" i="1"/>
  <c r="G1185" i="1"/>
  <c r="F1185" i="1"/>
  <c r="E1185" i="1"/>
  <c r="N1185" i="1"/>
  <c r="M1185" i="1"/>
  <c r="L1185" i="1"/>
  <c r="K1185" i="1"/>
  <c r="J1185" i="1"/>
  <c r="I1185" i="1"/>
  <c r="D1185" i="1"/>
  <c r="C1185" i="1"/>
  <c r="A1185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B1184" i="1"/>
  <c r="H1184" i="1"/>
  <c r="G1184" i="1"/>
  <c r="F1184" i="1"/>
  <c r="E1184" i="1"/>
  <c r="N1184" i="1"/>
  <c r="M1184" i="1"/>
  <c r="L1184" i="1"/>
  <c r="K1184" i="1"/>
  <c r="J1184" i="1"/>
  <c r="I1184" i="1"/>
  <c r="D1184" i="1"/>
  <c r="C1184" i="1"/>
  <c r="A1184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B1183" i="1"/>
  <c r="H1183" i="1"/>
  <c r="G1183" i="1"/>
  <c r="F1183" i="1"/>
  <c r="E1183" i="1"/>
  <c r="N1183" i="1"/>
  <c r="M1183" i="1"/>
  <c r="L1183" i="1"/>
  <c r="K1183" i="1"/>
  <c r="J1183" i="1"/>
  <c r="I1183" i="1"/>
  <c r="D1183" i="1"/>
  <c r="C1183" i="1"/>
  <c r="A1183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B1182" i="1"/>
  <c r="H1182" i="1"/>
  <c r="G1182" i="1"/>
  <c r="F1182" i="1"/>
  <c r="E1182" i="1"/>
  <c r="N1182" i="1"/>
  <c r="M1182" i="1"/>
  <c r="L1182" i="1"/>
  <c r="K1182" i="1"/>
  <c r="J1182" i="1"/>
  <c r="I1182" i="1"/>
  <c r="D1182" i="1"/>
  <c r="C1182" i="1"/>
  <c r="A1182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B1181" i="1"/>
  <c r="H1181" i="1"/>
  <c r="G1181" i="1"/>
  <c r="F1181" i="1"/>
  <c r="E1181" i="1"/>
  <c r="N1181" i="1"/>
  <c r="M1181" i="1"/>
  <c r="L1181" i="1"/>
  <c r="K1181" i="1"/>
  <c r="J1181" i="1"/>
  <c r="I1181" i="1"/>
  <c r="D1181" i="1"/>
  <c r="C1181" i="1"/>
  <c r="A1181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B1180" i="1"/>
  <c r="H1180" i="1"/>
  <c r="G1180" i="1"/>
  <c r="F1180" i="1"/>
  <c r="E1180" i="1"/>
  <c r="N1180" i="1"/>
  <c r="M1180" i="1"/>
  <c r="L1180" i="1"/>
  <c r="K1180" i="1"/>
  <c r="J1180" i="1"/>
  <c r="I1180" i="1"/>
  <c r="D1180" i="1"/>
  <c r="C1180" i="1"/>
  <c r="A1180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B1179" i="1"/>
  <c r="H1179" i="1"/>
  <c r="G1179" i="1"/>
  <c r="F1179" i="1"/>
  <c r="E1179" i="1"/>
  <c r="N1179" i="1"/>
  <c r="M1179" i="1"/>
  <c r="L1179" i="1"/>
  <c r="K1179" i="1"/>
  <c r="J1179" i="1"/>
  <c r="I1179" i="1"/>
  <c r="D1179" i="1"/>
  <c r="C1179" i="1"/>
  <c r="A1179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B1178" i="1"/>
  <c r="H1178" i="1"/>
  <c r="G1178" i="1"/>
  <c r="F1178" i="1"/>
  <c r="E1178" i="1"/>
  <c r="N1178" i="1"/>
  <c r="M1178" i="1"/>
  <c r="L1178" i="1"/>
  <c r="K1178" i="1"/>
  <c r="J1178" i="1"/>
  <c r="I1178" i="1"/>
  <c r="D1178" i="1"/>
  <c r="C1178" i="1"/>
  <c r="A1178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B1177" i="1"/>
  <c r="H1177" i="1"/>
  <c r="G1177" i="1"/>
  <c r="F1177" i="1"/>
  <c r="E1177" i="1"/>
  <c r="N1177" i="1"/>
  <c r="M1177" i="1"/>
  <c r="L1177" i="1"/>
  <c r="K1177" i="1"/>
  <c r="J1177" i="1"/>
  <c r="I1177" i="1"/>
  <c r="D1177" i="1"/>
  <c r="C1177" i="1"/>
  <c r="A1177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B1176" i="1"/>
  <c r="H1176" i="1"/>
  <c r="G1176" i="1"/>
  <c r="F1176" i="1"/>
  <c r="E1176" i="1"/>
  <c r="N1176" i="1"/>
  <c r="M1176" i="1"/>
  <c r="L1176" i="1"/>
  <c r="K1176" i="1"/>
  <c r="J1176" i="1"/>
  <c r="I1176" i="1"/>
  <c r="D1176" i="1"/>
  <c r="C1176" i="1"/>
  <c r="A1176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B1175" i="1"/>
  <c r="H1175" i="1"/>
  <c r="G1175" i="1"/>
  <c r="F1175" i="1"/>
  <c r="E1175" i="1"/>
  <c r="M1175" i="1"/>
  <c r="L1175" i="1"/>
  <c r="K1175" i="1"/>
  <c r="J1175" i="1"/>
  <c r="I1175" i="1"/>
  <c r="D1175" i="1"/>
  <c r="C1175" i="1"/>
  <c r="A1175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B1174" i="1"/>
  <c r="H1174" i="1"/>
  <c r="G1174" i="1"/>
  <c r="F1174" i="1"/>
  <c r="E1174" i="1"/>
  <c r="N1174" i="1"/>
  <c r="M1174" i="1"/>
  <c r="L1174" i="1"/>
  <c r="K1174" i="1"/>
  <c r="J1174" i="1"/>
  <c r="I1174" i="1"/>
  <c r="D1174" i="1"/>
  <c r="C1174" i="1"/>
  <c r="A1174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B1173" i="1"/>
  <c r="H1173" i="1"/>
  <c r="G1173" i="1"/>
  <c r="F1173" i="1"/>
  <c r="E1173" i="1"/>
  <c r="N1173" i="1"/>
  <c r="M1173" i="1"/>
  <c r="L1173" i="1"/>
  <c r="K1173" i="1"/>
  <c r="J1173" i="1"/>
  <c r="I1173" i="1"/>
  <c r="D1173" i="1"/>
  <c r="C1173" i="1"/>
  <c r="A1173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B1172" i="1"/>
  <c r="H1172" i="1"/>
  <c r="G1172" i="1"/>
  <c r="F1172" i="1"/>
  <c r="E1172" i="1"/>
  <c r="M1172" i="1"/>
  <c r="L1172" i="1"/>
  <c r="K1172" i="1"/>
  <c r="J1172" i="1"/>
  <c r="I1172" i="1"/>
  <c r="D1172" i="1"/>
  <c r="C1172" i="1"/>
  <c r="A1172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B1171" i="1"/>
  <c r="H1171" i="1"/>
  <c r="G1171" i="1"/>
  <c r="F1171" i="1"/>
  <c r="E1171" i="1"/>
  <c r="N1171" i="1"/>
  <c r="M1171" i="1"/>
  <c r="L1171" i="1"/>
  <c r="K1171" i="1"/>
  <c r="J1171" i="1"/>
  <c r="I1171" i="1"/>
  <c r="D1171" i="1"/>
  <c r="C1171" i="1"/>
  <c r="A1171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B1170" i="1"/>
  <c r="H1170" i="1"/>
  <c r="G1170" i="1"/>
  <c r="F1170" i="1"/>
  <c r="E1170" i="1"/>
  <c r="N1170" i="1"/>
  <c r="M1170" i="1"/>
  <c r="L1170" i="1"/>
  <c r="K1170" i="1"/>
  <c r="J1170" i="1"/>
  <c r="I1170" i="1"/>
  <c r="D1170" i="1"/>
  <c r="C1170" i="1"/>
  <c r="A1170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B1169" i="1"/>
  <c r="H1169" i="1"/>
  <c r="G1169" i="1"/>
  <c r="F1169" i="1"/>
  <c r="E1169" i="1"/>
  <c r="N1169" i="1"/>
  <c r="M1169" i="1"/>
  <c r="L1169" i="1"/>
  <c r="K1169" i="1"/>
  <c r="J1169" i="1"/>
  <c r="I1169" i="1"/>
  <c r="D1169" i="1"/>
  <c r="C1169" i="1"/>
  <c r="A1169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B1168" i="1"/>
  <c r="H1168" i="1"/>
  <c r="G1168" i="1"/>
  <c r="F1168" i="1"/>
  <c r="E1168" i="1"/>
  <c r="N1168" i="1"/>
  <c r="M1168" i="1"/>
  <c r="L1168" i="1"/>
  <c r="K1168" i="1"/>
  <c r="J1168" i="1"/>
  <c r="I1168" i="1"/>
  <c r="D1168" i="1"/>
  <c r="C1168" i="1"/>
  <c r="A1168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B1167" i="1"/>
  <c r="H1167" i="1"/>
  <c r="G1167" i="1"/>
  <c r="F1167" i="1"/>
  <c r="E1167" i="1"/>
  <c r="N1167" i="1"/>
  <c r="M1167" i="1"/>
  <c r="L1167" i="1"/>
  <c r="K1167" i="1"/>
  <c r="J1167" i="1"/>
  <c r="I1167" i="1"/>
  <c r="D1167" i="1"/>
  <c r="C1167" i="1"/>
  <c r="A1167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B1166" i="1"/>
  <c r="H1166" i="1"/>
  <c r="G1166" i="1"/>
  <c r="F1166" i="1"/>
  <c r="E1166" i="1"/>
  <c r="N1166" i="1"/>
  <c r="M1166" i="1"/>
  <c r="L1166" i="1"/>
  <c r="K1166" i="1"/>
  <c r="J1166" i="1"/>
  <c r="I1166" i="1"/>
  <c r="D1166" i="1"/>
  <c r="C1166" i="1"/>
  <c r="A1166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B1165" i="1"/>
  <c r="H1165" i="1"/>
  <c r="G1165" i="1"/>
  <c r="F1165" i="1"/>
  <c r="E1165" i="1"/>
  <c r="N1165" i="1"/>
  <c r="M1165" i="1"/>
  <c r="L1165" i="1"/>
  <c r="K1165" i="1"/>
  <c r="J1165" i="1"/>
  <c r="I1165" i="1"/>
  <c r="D1165" i="1"/>
  <c r="C1165" i="1"/>
  <c r="A1165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B1164" i="1"/>
  <c r="H1164" i="1"/>
  <c r="G1164" i="1"/>
  <c r="F1164" i="1"/>
  <c r="E1164" i="1"/>
  <c r="N1164" i="1"/>
  <c r="M1164" i="1"/>
  <c r="L1164" i="1"/>
  <c r="K1164" i="1"/>
  <c r="J1164" i="1"/>
  <c r="I1164" i="1"/>
  <c r="D1164" i="1"/>
  <c r="C1164" i="1"/>
  <c r="A1164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B1163" i="1"/>
  <c r="H1163" i="1"/>
  <c r="G1163" i="1"/>
  <c r="F1163" i="1"/>
  <c r="E1163" i="1"/>
  <c r="N1163" i="1"/>
  <c r="M1163" i="1"/>
  <c r="L1163" i="1"/>
  <c r="K1163" i="1"/>
  <c r="J1163" i="1"/>
  <c r="I1163" i="1"/>
  <c r="D1163" i="1"/>
  <c r="C1163" i="1"/>
  <c r="A1163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B1162" i="1"/>
  <c r="H1162" i="1"/>
  <c r="G1162" i="1"/>
  <c r="F1162" i="1"/>
  <c r="E1162" i="1"/>
  <c r="N1162" i="1"/>
  <c r="M1162" i="1"/>
  <c r="L1162" i="1"/>
  <c r="K1162" i="1"/>
  <c r="J1162" i="1"/>
  <c r="I1162" i="1"/>
  <c r="D1162" i="1"/>
  <c r="C1162" i="1"/>
  <c r="A1162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B1161" i="1"/>
  <c r="H1161" i="1"/>
  <c r="G1161" i="1"/>
  <c r="F1161" i="1"/>
  <c r="E1161" i="1"/>
  <c r="N1161" i="1"/>
  <c r="M1161" i="1"/>
  <c r="L1161" i="1"/>
  <c r="K1161" i="1"/>
  <c r="J1161" i="1"/>
  <c r="I1161" i="1"/>
  <c r="D1161" i="1"/>
  <c r="C1161" i="1"/>
  <c r="A1161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B1160" i="1"/>
  <c r="H1160" i="1"/>
  <c r="G1160" i="1"/>
  <c r="F1160" i="1"/>
  <c r="E1160" i="1"/>
  <c r="M1160" i="1"/>
  <c r="L1160" i="1"/>
  <c r="K1160" i="1"/>
  <c r="J1160" i="1"/>
  <c r="I1160" i="1"/>
  <c r="D1160" i="1"/>
  <c r="C1160" i="1"/>
  <c r="A1160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B1159" i="1"/>
  <c r="H1159" i="1"/>
  <c r="G1159" i="1"/>
  <c r="F1159" i="1"/>
  <c r="E1159" i="1"/>
  <c r="N1159" i="1"/>
  <c r="M1159" i="1"/>
  <c r="L1159" i="1"/>
  <c r="K1159" i="1"/>
  <c r="J1159" i="1"/>
  <c r="I1159" i="1"/>
  <c r="D1159" i="1"/>
  <c r="C1159" i="1"/>
  <c r="A1159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B1158" i="1"/>
  <c r="H1158" i="1"/>
  <c r="G1158" i="1"/>
  <c r="F1158" i="1"/>
  <c r="E1158" i="1"/>
  <c r="N1158" i="1"/>
  <c r="M1158" i="1"/>
  <c r="L1158" i="1"/>
  <c r="K1158" i="1"/>
  <c r="J1158" i="1"/>
  <c r="I1158" i="1"/>
  <c r="D1158" i="1"/>
  <c r="C1158" i="1"/>
  <c r="A1158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B1157" i="1"/>
  <c r="H1157" i="1"/>
  <c r="G1157" i="1"/>
  <c r="F1157" i="1"/>
  <c r="E1157" i="1"/>
  <c r="N1157" i="1"/>
  <c r="M1157" i="1"/>
  <c r="L1157" i="1"/>
  <c r="K1157" i="1"/>
  <c r="J1157" i="1"/>
  <c r="I1157" i="1"/>
  <c r="D1157" i="1"/>
  <c r="C1157" i="1"/>
  <c r="A1157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B1156" i="1"/>
  <c r="H1156" i="1"/>
  <c r="G1156" i="1"/>
  <c r="F1156" i="1"/>
  <c r="E1156" i="1"/>
  <c r="N1156" i="1"/>
  <c r="M1156" i="1"/>
  <c r="L1156" i="1"/>
  <c r="K1156" i="1"/>
  <c r="J1156" i="1"/>
  <c r="I1156" i="1"/>
  <c r="D1156" i="1"/>
  <c r="C1156" i="1"/>
  <c r="A1156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B1155" i="1"/>
  <c r="H1155" i="1"/>
  <c r="G1155" i="1"/>
  <c r="F1155" i="1"/>
  <c r="E1155" i="1"/>
  <c r="N1155" i="1"/>
  <c r="M1155" i="1"/>
  <c r="L1155" i="1"/>
  <c r="K1155" i="1"/>
  <c r="J1155" i="1"/>
  <c r="I1155" i="1"/>
  <c r="D1155" i="1"/>
  <c r="C1155" i="1"/>
  <c r="A1155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B1154" i="1"/>
  <c r="H1154" i="1"/>
  <c r="G1154" i="1"/>
  <c r="F1154" i="1"/>
  <c r="E1154" i="1"/>
  <c r="N1154" i="1"/>
  <c r="M1154" i="1"/>
  <c r="L1154" i="1"/>
  <c r="K1154" i="1"/>
  <c r="J1154" i="1"/>
  <c r="I1154" i="1"/>
  <c r="D1154" i="1"/>
  <c r="C1154" i="1"/>
  <c r="A1154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B1153" i="1"/>
  <c r="H1153" i="1"/>
  <c r="G1153" i="1"/>
  <c r="F1153" i="1"/>
  <c r="E1153" i="1"/>
  <c r="N1153" i="1"/>
  <c r="M1153" i="1"/>
  <c r="L1153" i="1"/>
  <c r="K1153" i="1"/>
  <c r="J1153" i="1"/>
  <c r="I1153" i="1"/>
  <c r="D1153" i="1"/>
  <c r="C1153" i="1"/>
  <c r="A1153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B1152" i="1"/>
  <c r="H1152" i="1"/>
  <c r="G1152" i="1"/>
  <c r="F1152" i="1"/>
  <c r="E1152" i="1"/>
  <c r="N1152" i="1"/>
  <c r="M1152" i="1"/>
  <c r="L1152" i="1"/>
  <c r="K1152" i="1"/>
  <c r="J1152" i="1"/>
  <c r="I1152" i="1"/>
  <c r="D1152" i="1"/>
  <c r="C1152" i="1"/>
  <c r="A1152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B1151" i="1"/>
  <c r="H1151" i="1"/>
  <c r="G1151" i="1"/>
  <c r="F1151" i="1"/>
  <c r="E1151" i="1"/>
  <c r="N1151" i="1"/>
  <c r="M1151" i="1"/>
  <c r="L1151" i="1"/>
  <c r="K1151" i="1"/>
  <c r="J1151" i="1"/>
  <c r="I1151" i="1"/>
  <c r="D1151" i="1"/>
  <c r="C1151" i="1"/>
  <c r="A1151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B1150" i="1"/>
  <c r="H1150" i="1"/>
  <c r="G1150" i="1"/>
  <c r="F1150" i="1"/>
  <c r="E1150" i="1"/>
  <c r="N1150" i="1"/>
  <c r="M1150" i="1"/>
  <c r="L1150" i="1"/>
  <c r="K1150" i="1"/>
  <c r="J1150" i="1"/>
  <c r="I1150" i="1"/>
  <c r="D1150" i="1"/>
  <c r="C1150" i="1"/>
  <c r="A1150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B1149" i="1"/>
  <c r="H1149" i="1"/>
  <c r="G1149" i="1"/>
  <c r="F1149" i="1"/>
  <c r="E1149" i="1"/>
  <c r="N1149" i="1"/>
  <c r="M1149" i="1"/>
  <c r="L1149" i="1"/>
  <c r="K1149" i="1"/>
  <c r="J1149" i="1"/>
  <c r="I1149" i="1"/>
  <c r="D1149" i="1"/>
  <c r="C1149" i="1"/>
  <c r="A1149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B1148" i="1"/>
  <c r="H1148" i="1"/>
  <c r="G1148" i="1"/>
  <c r="F1148" i="1"/>
  <c r="E1148" i="1"/>
  <c r="M1148" i="1"/>
  <c r="L1148" i="1"/>
  <c r="K1148" i="1"/>
  <c r="J1148" i="1"/>
  <c r="I1148" i="1"/>
  <c r="D1148" i="1"/>
  <c r="C1148" i="1"/>
  <c r="A1148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B1147" i="1"/>
  <c r="H1147" i="1"/>
  <c r="G1147" i="1"/>
  <c r="F1147" i="1"/>
  <c r="E1147" i="1"/>
  <c r="N1147" i="1"/>
  <c r="M1147" i="1"/>
  <c r="L1147" i="1"/>
  <c r="K1147" i="1"/>
  <c r="J1147" i="1"/>
  <c r="I1147" i="1"/>
  <c r="D1147" i="1"/>
  <c r="C1147" i="1"/>
  <c r="A1147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B1146" i="1"/>
  <c r="H1146" i="1"/>
  <c r="G1146" i="1"/>
  <c r="F1146" i="1"/>
  <c r="E1146" i="1"/>
  <c r="N1146" i="1"/>
  <c r="M1146" i="1"/>
  <c r="L1146" i="1"/>
  <c r="K1146" i="1"/>
  <c r="J1146" i="1"/>
  <c r="I1146" i="1"/>
  <c r="D1146" i="1"/>
  <c r="C1146" i="1"/>
  <c r="A1146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B1145" i="1"/>
  <c r="H1145" i="1"/>
  <c r="G1145" i="1"/>
  <c r="F1145" i="1"/>
  <c r="E1145" i="1"/>
  <c r="N1145" i="1"/>
  <c r="M1145" i="1"/>
  <c r="L1145" i="1"/>
  <c r="K1145" i="1"/>
  <c r="J1145" i="1"/>
  <c r="I1145" i="1"/>
  <c r="D1145" i="1"/>
  <c r="C1145" i="1"/>
  <c r="A1145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B1144" i="1"/>
  <c r="H1144" i="1"/>
  <c r="G1144" i="1"/>
  <c r="F1144" i="1"/>
  <c r="E1144" i="1"/>
  <c r="N1144" i="1"/>
  <c r="M1144" i="1"/>
  <c r="L1144" i="1"/>
  <c r="K1144" i="1"/>
  <c r="J1144" i="1"/>
  <c r="I1144" i="1"/>
  <c r="D1144" i="1"/>
  <c r="C1144" i="1"/>
  <c r="A1144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B1143" i="1"/>
  <c r="H1143" i="1"/>
  <c r="G1143" i="1"/>
  <c r="F1143" i="1"/>
  <c r="E1143" i="1"/>
  <c r="N1143" i="1"/>
  <c r="M1143" i="1"/>
  <c r="L1143" i="1"/>
  <c r="K1143" i="1"/>
  <c r="J1143" i="1"/>
  <c r="I1143" i="1"/>
  <c r="D1143" i="1"/>
  <c r="C1143" i="1"/>
  <c r="A1143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B1142" i="1"/>
  <c r="H1142" i="1"/>
  <c r="G1142" i="1"/>
  <c r="F1142" i="1"/>
  <c r="E1142" i="1"/>
  <c r="N1142" i="1"/>
  <c r="M1142" i="1"/>
  <c r="L1142" i="1"/>
  <c r="K1142" i="1"/>
  <c r="J1142" i="1"/>
  <c r="I1142" i="1"/>
  <c r="D1142" i="1"/>
  <c r="C1142" i="1"/>
  <c r="A1142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B1141" i="1"/>
  <c r="H1141" i="1"/>
  <c r="G1141" i="1"/>
  <c r="F1141" i="1"/>
  <c r="E1141" i="1"/>
  <c r="N1141" i="1"/>
  <c r="M1141" i="1"/>
  <c r="L1141" i="1"/>
  <c r="K1141" i="1"/>
  <c r="J1141" i="1"/>
  <c r="I1141" i="1"/>
  <c r="D1141" i="1"/>
  <c r="C1141" i="1"/>
  <c r="A1141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B1140" i="1"/>
  <c r="H1140" i="1"/>
  <c r="G1140" i="1"/>
  <c r="F1140" i="1"/>
  <c r="E1140" i="1"/>
  <c r="N1140" i="1"/>
  <c r="M1140" i="1"/>
  <c r="L1140" i="1"/>
  <c r="K1140" i="1"/>
  <c r="J1140" i="1"/>
  <c r="I1140" i="1"/>
  <c r="D1140" i="1"/>
  <c r="C1140" i="1"/>
  <c r="A1140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B1139" i="1"/>
  <c r="H1139" i="1"/>
  <c r="G1139" i="1"/>
  <c r="F1139" i="1"/>
  <c r="E1139" i="1"/>
  <c r="N1139" i="1"/>
  <c r="M1139" i="1"/>
  <c r="L1139" i="1"/>
  <c r="K1139" i="1"/>
  <c r="J1139" i="1"/>
  <c r="I1139" i="1"/>
  <c r="D1139" i="1"/>
  <c r="C1139" i="1"/>
  <c r="A1139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B1138" i="1"/>
  <c r="H1138" i="1"/>
  <c r="G1138" i="1"/>
  <c r="F1138" i="1"/>
  <c r="E1138" i="1"/>
  <c r="N1138" i="1"/>
  <c r="M1138" i="1"/>
  <c r="L1138" i="1"/>
  <c r="K1138" i="1"/>
  <c r="J1138" i="1"/>
  <c r="I1138" i="1"/>
  <c r="D1138" i="1"/>
  <c r="C1138" i="1"/>
  <c r="A1138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B1137" i="1"/>
  <c r="H1137" i="1"/>
  <c r="G1137" i="1"/>
  <c r="F1137" i="1"/>
  <c r="E1137" i="1"/>
  <c r="N1137" i="1"/>
  <c r="M1137" i="1"/>
  <c r="L1137" i="1"/>
  <c r="K1137" i="1"/>
  <c r="J1137" i="1"/>
  <c r="I1137" i="1"/>
  <c r="D1137" i="1"/>
  <c r="C1137" i="1"/>
  <c r="A1137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B1136" i="1"/>
  <c r="H1136" i="1"/>
  <c r="G1136" i="1"/>
  <c r="F1136" i="1"/>
  <c r="E1136" i="1"/>
  <c r="N1136" i="1"/>
  <c r="M1136" i="1"/>
  <c r="L1136" i="1"/>
  <c r="K1136" i="1"/>
  <c r="J1136" i="1"/>
  <c r="I1136" i="1"/>
  <c r="D1136" i="1"/>
  <c r="C1136" i="1"/>
  <c r="A1136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B1135" i="1"/>
  <c r="H1135" i="1"/>
  <c r="G1135" i="1"/>
  <c r="F1135" i="1"/>
  <c r="E1135" i="1"/>
  <c r="N1135" i="1"/>
  <c r="M1135" i="1"/>
  <c r="L1135" i="1"/>
  <c r="K1135" i="1"/>
  <c r="J1135" i="1"/>
  <c r="I1135" i="1"/>
  <c r="D1135" i="1"/>
  <c r="C1135" i="1"/>
  <c r="A1135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B1134" i="1"/>
  <c r="H1134" i="1"/>
  <c r="G1134" i="1"/>
  <c r="F1134" i="1"/>
  <c r="E1134" i="1"/>
  <c r="N1134" i="1"/>
  <c r="M1134" i="1"/>
  <c r="L1134" i="1"/>
  <c r="K1134" i="1"/>
  <c r="J1134" i="1"/>
  <c r="I1134" i="1"/>
  <c r="D1134" i="1"/>
  <c r="C1134" i="1"/>
  <c r="A1134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B1133" i="1"/>
  <c r="H1133" i="1"/>
  <c r="G1133" i="1"/>
  <c r="F1133" i="1"/>
  <c r="E1133" i="1"/>
  <c r="N1133" i="1"/>
  <c r="M1133" i="1"/>
  <c r="L1133" i="1"/>
  <c r="K1133" i="1"/>
  <c r="J1133" i="1"/>
  <c r="I1133" i="1"/>
  <c r="D1133" i="1"/>
  <c r="C1133" i="1"/>
  <c r="A1133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B1132" i="1"/>
  <c r="H1132" i="1"/>
  <c r="G1132" i="1"/>
  <c r="F1132" i="1"/>
  <c r="E1132" i="1"/>
  <c r="N1132" i="1"/>
  <c r="M1132" i="1"/>
  <c r="L1132" i="1"/>
  <c r="K1132" i="1"/>
  <c r="J1132" i="1"/>
  <c r="I1132" i="1"/>
  <c r="D1132" i="1"/>
  <c r="C1132" i="1"/>
  <c r="A1132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B1131" i="1"/>
  <c r="H1131" i="1"/>
  <c r="G1131" i="1"/>
  <c r="F1131" i="1"/>
  <c r="E1131" i="1"/>
  <c r="N1131" i="1"/>
  <c r="M1131" i="1"/>
  <c r="L1131" i="1"/>
  <c r="K1131" i="1"/>
  <c r="J1131" i="1"/>
  <c r="I1131" i="1"/>
  <c r="D1131" i="1"/>
  <c r="C1131" i="1"/>
  <c r="A1131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B1130" i="1"/>
  <c r="H1130" i="1"/>
  <c r="G1130" i="1"/>
  <c r="F1130" i="1"/>
  <c r="E1130" i="1"/>
  <c r="N1130" i="1"/>
  <c r="M1130" i="1"/>
  <c r="L1130" i="1"/>
  <c r="K1130" i="1"/>
  <c r="J1130" i="1"/>
  <c r="I1130" i="1"/>
  <c r="D1130" i="1"/>
  <c r="C1130" i="1"/>
  <c r="A1130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B1129" i="1"/>
  <c r="H1129" i="1"/>
  <c r="G1129" i="1"/>
  <c r="F1129" i="1"/>
  <c r="E1129" i="1"/>
  <c r="N1129" i="1"/>
  <c r="M1129" i="1"/>
  <c r="L1129" i="1"/>
  <c r="K1129" i="1"/>
  <c r="J1129" i="1"/>
  <c r="I1129" i="1"/>
  <c r="D1129" i="1"/>
  <c r="C1129" i="1"/>
  <c r="A1129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B1128" i="1"/>
  <c r="H1128" i="1"/>
  <c r="G1128" i="1"/>
  <c r="F1128" i="1"/>
  <c r="E1128" i="1"/>
  <c r="N1128" i="1"/>
  <c r="M1128" i="1"/>
  <c r="L1128" i="1"/>
  <c r="K1128" i="1"/>
  <c r="J1128" i="1"/>
  <c r="I1128" i="1"/>
  <c r="D1128" i="1"/>
  <c r="C1128" i="1"/>
  <c r="A1128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B1127" i="1"/>
  <c r="H1127" i="1"/>
  <c r="G1127" i="1"/>
  <c r="F1127" i="1"/>
  <c r="E1127" i="1"/>
  <c r="N1127" i="1"/>
  <c r="M1127" i="1"/>
  <c r="L1127" i="1"/>
  <c r="K1127" i="1"/>
  <c r="J1127" i="1"/>
  <c r="I1127" i="1"/>
  <c r="D1127" i="1"/>
  <c r="C1127" i="1"/>
  <c r="A1127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B1126" i="1"/>
  <c r="H1126" i="1"/>
  <c r="G1126" i="1"/>
  <c r="F1126" i="1"/>
  <c r="E1126" i="1"/>
  <c r="N1126" i="1"/>
  <c r="M1126" i="1"/>
  <c r="L1126" i="1"/>
  <c r="K1126" i="1"/>
  <c r="J1126" i="1"/>
  <c r="I1126" i="1"/>
  <c r="D1126" i="1"/>
  <c r="C1126" i="1"/>
  <c r="A1126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B1125" i="1"/>
  <c r="H1125" i="1"/>
  <c r="G1125" i="1"/>
  <c r="F1125" i="1"/>
  <c r="E1125" i="1"/>
  <c r="N1125" i="1"/>
  <c r="M1125" i="1"/>
  <c r="L1125" i="1"/>
  <c r="K1125" i="1"/>
  <c r="J1125" i="1"/>
  <c r="I1125" i="1"/>
  <c r="D1125" i="1"/>
  <c r="C1125" i="1"/>
  <c r="A1125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B1124" i="1"/>
  <c r="H1124" i="1"/>
  <c r="G1124" i="1"/>
  <c r="F1124" i="1"/>
  <c r="E1124" i="1"/>
  <c r="N1124" i="1"/>
  <c r="M1124" i="1"/>
  <c r="L1124" i="1"/>
  <c r="K1124" i="1"/>
  <c r="J1124" i="1"/>
  <c r="I1124" i="1"/>
  <c r="D1124" i="1"/>
  <c r="C1124" i="1"/>
  <c r="A1124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B1123" i="1"/>
  <c r="H1123" i="1"/>
  <c r="G1123" i="1"/>
  <c r="F1123" i="1"/>
  <c r="E1123" i="1"/>
  <c r="N1123" i="1"/>
  <c r="M1123" i="1"/>
  <c r="L1123" i="1"/>
  <c r="K1123" i="1"/>
  <c r="J1123" i="1"/>
  <c r="I1123" i="1"/>
  <c r="D1123" i="1"/>
  <c r="C1123" i="1"/>
  <c r="A1123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B1122" i="1"/>
  <c r="H1122" i="1"/>
  <c r="G1122" i="1"/>
  <c r="F1122" i="1"/>
  <c r="E1122" i="1"/>
  <c r="N1122" i="1"/>
  <c r="M1122" i="1"/>
  <c r="L1122" i="1"/>
  <c r="K1122" i="1"/>
  <c r="J1122" i="1"/>
  <c r="I1122" i="1"/>
  <c r="D1122" i="1"/>
  <c r="C1122" i="1"/>
  <c r="A1122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B1121" i="1"/>
  <c r="H1121" i="1"/>
  <c r="G1121" i="1"/>
  <c r="F1121" i="1"/>
  <c r="E1121" i="1"/>
  <c r="N1121" i="1"/>
  <c r="M1121" i="1"/>
  <c r="L1121" i="1"/>
  <c r="K1121" i="1"/>
  <c r="J1121" i="1"/>
  <c r="I1121" i="1"/>
  <c r="D1121" i="1"/>
  <c r="C1121" i="1"/>
  <c r="A1121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B1120" i="1"/>
  <c r="H1120" i="1"/>
  <c r="G1120" i="1"/>
  <c r="F1120" i="1"/>
  <c r="E1120" i="1"/>
  <c r="N1120" i="1"/>
  <c r="M1120" i="1"/>
  <c r="L1120" i="1"/>
  <c r="K1120" i="1"/>
  <c r="J1120" i="1"/>
  <c r="I1120" i="1"/>
  <c r="D1120" i="1"/>
  <c r="C1120" i="1"/>
  <c r="A1120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B1119" i="1"/>
  <c r="H1119" i="1"/>
  <c r="G1119" i="1"/>
  <c r="F1119" i="1"/>
  <c r="E1119" i="1"/>
  <c r="N1119" i="1"/>
  <c r="M1119" i="1"/>
  <c r="L1119" i="1"/>
  <c r="K1119" i="1"/>
  <c r="J1119" i="1"/>
  <c r="I1119" i="1"/>
  <c r="D1119" i="1"/>
  <c r="C1119" i="1"/>
  <c r="A1119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B1118" i="1"/>
  <c r="H1118" i="1"/>
  <c r="G1118" i="1"/>
  <c r="F1118" i="1"/>
  <c r="E1118" i="1"/>
  <c r="N1118" i="1"/>
  <c r="M1118" i="1"/>
  <c r="L1118" i="1"/>
  <c r="K1118" i="1"/>
  <c r="J1118" i="1"/>
  <c r="I1118" i="1"/>
  <c r="D1118" i="1"/>
  <c r="C1118" i="1"/>
  <c r="A1118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B1117" i="1"/>
  <c r="H1117" i="1"/>
  <c r="G1117" i="1"/>
  <c r="F1117" i="1"/>
  <c r="E1117" i="1"/>
  <c r="N1117" i="1"/>
  <c r="M1117" i="1"/>
  <c r="L1117" i="1"/>
  <c r="K1117" i="1"/>
  <c r="J1117" i="1"/>
  <c r="I1117" i="1"/>
  <c r="D1117" i="1"/>
  <c r="C1117" i="1"/>
  <c r="A1117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B1116" i="1"/>
  <c r="H1116" i="1"/>
  <c r="G1116" i="1"/>
  <c r="F1116" i="1"/>
  <c r="E1116" i="1"/>
  <c r="N1116" i="1"/>
  <c r="M1116" i="1"/>
  <c r="L1116" i="1"/>
  <c r="K1116" i="1"/>
  <c r="J1116" i="1"/>
  <c r="I1116" i="1"/>
  <c r="D1116" i="1"/>
  <c r="C1116" i="1"/>
  <c r="A1116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B1115" i="1"/>
  <c r="H1115" i="1"/>
  <c r="G1115" i="1"/>
  <c r="F1115" i="1"/>
  <c r="E1115" i="1"/>
  <c r="N1115" i="1"/>
  <c r="M1115" i="1"/>
  <c r="L1115" i="1"/>
  <c r="K1115" i="1"/>
  <c r="J1115" i="1"/>
  <c r="I1115" i="1"/>
  <c r="D1115" i="1"/>
  <c r="C1115" i="1"/>
  <c r="A1115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B1114" i="1"/>
  <c r="H1114" i="1"/>
  <c r="G1114" i="1"/>
  <c r="F1114" i="1"/>
  <c r="E1114" i="1"/>
  <c r="N1114" i="1"/>
  <c r="M1114" i="1"/>
  <c r="L1114" i="1"/>
  <c r="K1114" i="1"/>
  <c r="J1114" i="1"/>
  <c r="I1114" i="1"/>
  <c r="D1114" i="1"/>
  <c r="C1114" i="1"/>
  <c r="A1114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B1113" i="1"/>
  <c r="H1113" i="1"/>
  <c r="G1113" i="1"/>
  <c r="F1113" i="1"/>
  <c r="E1113" i="1"/>
  <c r="N1113" i="1"/>
  <c r="M1113" i="1"/>
  <c r="L1113" i="1"/>
  <c r="K1113" i="1"/>
  <c r="J1113" i="1"/>
  <c r="I1113" i="1"/>
  <c r="D1113" i="1"/>
  <c r="C1113" i="1"/>
  <c r="A1113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B1112" i="1"/>
  <c r="H1112" i="1"/>
  <c r="G1112" i="1"/>
  <c r="F1112" i="1"/>
  <c r="E1112" i="1"/>
  <c r="N1112" i="1"/>
  <c r="M1112" i="1"/>
  <c r="L1112" i="1"/>
  <c r="K1112" i="1"/>
  <c r="J1112" i="1"/>
  <c r="I1112" i="1"/>
  <c r="D1112" i="1"/>
  <c r="C1112" i="1"/>
  <c r="A1112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B1111" i="1"/>
  <c r="H1111" i="1"/>
  <c r="G1111" i="1"/>
  <c r="F1111" i="1"/>
  <c r="E1111" i="1"/>
  <c r="N1111" i="1"/>
  <c r="M1111" i="1"/>
  <c r="L1111" i="1"/>
  <c r="K1111" i="1"/>
  <c r="J1111" i="1"/>
  <c r="I1111" i="1"/>
  <c r="D1111" i="1"/>
  <c r="C1111" i="1"/>
  <c r="A1111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B1110" i="1"/>
  <c r="H1110" i="1"/>
  <c r="G1110" i="1"/>
  <c r="F1110" i="1"/>
  <c r="E1110" i="1"/>
  <c r="N1110" i="1"/>
  <c r="M1110" i="1"/>
  <c r="L1110" i="1"/>
  <c r="K1110" i="1"/>
  <c r="J1110" i="1"/>
  <c r="I1110" i="1"/>
  <c r="D1110" i="1"/>
  <c r="C1110" i="1"/>
  <c r="A1110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B1109" i="1"/>
  <c r="H1109" i="1"/>
  <c r="G1109" i="1"/>
  <c r="F1109" i="1"/>
  <c r="E1109" i="1"/>
  <c r="N1109" i="1"/>
  <c r="M1109" i="1"/>
  <c r="L1109" i="1"/>
  <c r="K1109" i="1"/>
  <c r="J1109" i="1"/>
  <c r="I1109" i="1"/>
  <c r="D1109" i="1"/>
  <c r="C1109" i="1"/>
  <c r="A1109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B1108" i="1"/>
  <c r="H1108" i="1"/>
  <c r="G1108" i="1"/>
  <c r="F1108" i="1"/>
  <c r="E1108" i="1"/>
  <c r="N1108" i="1"/>
  <c r="M1108" i="1"/>
  <c r="L1108" i="1"/>
  <c r="K1108" i="1"/>
  <c r="J1108" i="1"/>
  <c r="I1108" i="1"/>
  <c r="D1108" i="1"/>
  <c r="C1108" i="1"/>
  <c r="A1108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B1107" i="1"/>
  <c r="H1107" i="1"/>
  <c r="G1107" i="1"/>
  <c r="F1107" i="1"/>
  <c r="E1107" i="1"/>
  <c r="N1107" i="1"/>
  <c r="M1107" i="1"/>
  <c r="L1107" i="1"/>
  <c r="K1107" i="1"/>
  <c r="J1107" i="1"/>
  <c r="I1107" i="1"/>
  <c r="D1107" i="1"/>
  <c r="C1107" i="1"/>
  <c r="A1107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B1106" i="1"/>
  <c r="H1106" i="1"/>
  <c r="G1106" i="1"/>
  <c r="F1106" i="1"/>
  <c r="E1106" i="1"/>
  <c r="N1106" i="1"/>
  <c r="M1106" i="1"/>
  <c r="L1106" i="1"/>
  <c r="K1106" i="1"/>
  <c r="J1106" i="1"/>
  <c r="I1106" i="1"/>
  <c r="D1106" i="1"/>
  <c r="C1106" i="1"/>
  <c r="A1106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B1105" i="1"/>
  <c r="H1105" i="1"/>
  <c r="G1105" i="1"/>
  <c r="F1105" i="1"/>
  <c r="E1105" i="1"/>
  <c r="N1105" i="1"/>
  <c r="M1105" i="1"/>
  <c r="L1105" i="1"/>
  <c r="K1105" i="1"/>
  <c r="J1105" i="1"/>
  <c r="I1105" i="1"/>
  <c r="D1105" i="1"/>
  <c r="C1105" i="1"/>
  <c r="A1105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B1104" i="1"/>
  <c r="H1104" i="1"/>
  <c r="G1104" i="1"/>
  <c r="F1104" i="1"/>
  <c r="E1104" i="1"/>
  <c r="M1104" i="1"/>
  <c r="L1104" i="1"/>
  <c r="K1104" i="1"/>
  <c r="J1104" i="1"/>
  <c r="I1104" i="1"/>
  <c r="D1104" i="1"/>
  <c r="C1104" i="1"/>
  <c r="A1104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B1103" i="1"/>
  <c r="H1103" i="1"/>
  <c r="G1103" i="1"/>
  <c r="F1103" i="1"/>
  <c r="E1103" i="1"/>
  <c r="N1103" i="1"/>
  <c r="M1103" i="1"/>
  <c r="L1103" i="1"/>
  <c r="K1103" i="1"/>
  <c r="J1103" i="1"/>
  <c r="I1103" i="1"/>
  <c r="D1103" i="1"/>
  <c r="C1103" i="1"/>
  <c r="A1103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B1102" i="1"/>
  <c r="H1102" i="1"/>
  <c r="G1102" i="1"/>
  <c r="F1102" i="1"/>
  <c r="E1102" i="1"/>
  <c r="N1102" i="1"/>
  <c r="M1102" i="1"/>
  <c r="L1102" i="1"/>
  <c r="K1102" i="1"/>
  <c r="J1102" i="1"/>
  <c r="I1102" i="1"/>
  <c r="D1102" i="1"/>
  <c r="C1102" i="1"/>
  <c r="A1102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B1101" i="1"/>
  <c r="H1101" i="1"/>
  <c r="G1101" i="1"/>
  <c r="F1101" i="1"/>
  <c r="E1101" i="1"/>
  <c r="N1101" i="1"/>
  <c r="M1101" i="1"/>
  <c r="L1101" i="1"/>
  <c r="K1101" i="1"/>
  <c r="J1101" i="1"/>
  <c r="I1101" i="1"/>
  <c r="D1101" i="1"/>
  <c r="C1101" i="1"/>
  <c r="A1101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B1100" i="1"/>
  <c r="H1100" i="1"/>
  <c r="G1100" i="1"/>
  <c r="F1100" i="1"/>
  <c r="E1100" i="1"/>
  <c r="N1100" i="1"/>
  <c r="M1100" i="1"/>
  <c r="L1100" i="1"/>
  <c r="K1100" i="1"/>
  <c r="J1100" i="1"/>
  <c r="I1100" i="1"/>
  <c r="D1100" i="1"/>
  <c r="C1100" i="1"/>
  <c r="A1100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B1099" i="1"/>
  <c r="H1099" i="1"/>
  <c r="G1099" i="1"/>
  <c r="F1099" i="1"/>
  <c r="E1099" i="1"/>
  <c r="N1099" i="1"/>
  <c r="M1099" i="1"/>
  <c r="L1099" i="1"/>
  <c r="K1099" i="1"/>
  <c r="J1099" i="1"/>
  <c r="I1099" i="1"/>
  <c r="D1099" i="1"/>
  <c r="C1099" i="1"/>
  <c r="A1099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B1098" i="1"/>
  <c r="H1098" i="1"/>
  <c r="G1098" i="1"/>
  <c r="F1098" i="1"/>
  <c r="E1098" i="1"/>
  <c r="M1098" i="1"/>
  <c r="L1098" i="1"/>
  <c r="K1098" i="1"/>
  <c r="J1098" i="1"/>
  <c r="I1098" i="1"/>
  <c r="D1098" i="1"/>
  <c r="C1098" i="1"/>
  <c r="A1098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B1097" i="1"/>
  <c r="H1097" i="1"/>
  <c r="G1097" i="1"/>
  <c r="F1097" i="1"/>
  <c r="E1097" i="1"/>
  <c r="N1097" i="1"/>
  <c r="M1097" i="1"/>
  <c r="L1097" i="1"/>
  <c r="K1097" i="1"/>
  <c r="J1097" i="1"/>
  <c r="I1097" i="1"/>
  <c r="D1097" i="1"/>
  <c r="C1097" i="1"/>
  <c r="A1097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B1096" i="1"/>
  <c r="H1096" i="1"/>
  <c r="G1096" i="1"/>
  <c r="F1096" i="1"/>
  <c r="E1096" i="1"/>
  <c r="N1096" i="1"/>
  <c r="M1096" i="1"/>
  <c r="L1096" i="1"/>
  <c r="K1096" i="1"/>
  <c r="J1096" i="1"/>
  <c r="I1096" i="1"/>
  <c r="D1096" i="1"/>
  <c r="C1096" i="1"/>
  <c r="A1096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B1095" i="1"/>
  <c r="H1095" i="1"/>
  <c r="G1095" i="1"/>
  <c r="F1095" i="1"/>
  <c r="E1095" i="1"/>
  <c r="N1095" i="1"/>
  <c r="M1095" i="1"/>
  <c r="L1095" i="1"/>
  <c r="K1095" i="1"/>
  <c r="J1095" i="1"/>
  <c r="I1095" i="1"/>
  <c r="D1095" i="1"/>
  <c r="C1095" i="1"/>
  <c r="A1095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B1094" i="1"/>
  <c r="H1094" i="1"/>
  <c r="G1094" i="1"/>
  <c r="F1094" i="1"/>
  <c r="E1094" i="1"/>
  <c r="N1094" i="1"/>
  <c r="M1094" i="1"/>
  <c r="L1094" i="1"/>
  <c r="K1094" i="1"/>
  <c r="J1094" i="1"/>
  <c r="I1094" i="1"/>
  <c r="D1094" i="1"/>
  <c r="C1094" i="1"/>
  <c r="A1094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B1093" i="1"/>
  <c r="H1093" i="1"/>
  <c r="G1093" i="1"/>
  <c r="F1093" i="1"/>
  <c r="E1093" i="1"/>
  <c r="N1093" i="1"/>
  <c r="M1093" i="1"/>
  <c r="L1093" i="1"/>
  <c r="K1093" i="1"/>
  <c r="J1093" i="1"/>
  <c r="I1093" i="1"/>
  <c r="D1093" i="1"/>
  <c r="C1093" i="1"/>
  <c r="A1093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B1092" i="1"/>
  <c r="H1092" i="1"/>
  <c r="G1092" i="1"/>
  <c r="F1092" i="1"/>
  <c r="E1092" i="1"/>
  <c r="N1092" i="1"/>
  <c r="M1092" i="1"/>
  <c r="L1092" i="1"/>
  <c r="K1092" i="1"/>
  <c r="J1092" i="1"/>
  <c r="I1092" i="1"/>
  <c r="D1092" i="1"/>
  <c r="C1092" i="1"/>
  <c r="A1092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B1091" i="1"/>
  <c r="H1091" i="1"/>
  <c r="G1091" i="1"/>
  <c r="F1091" i="1"/>
  <c r="E1091" i="1"/>
  <c r="N1091" i="1"/>
  <c r="M1091" i="1"/>
  <c r="L1091" i="1"/>
  <c r="K1091" i="1"/>
  <c r="J1091" i="1"/>
  <c r="I1091" i="1"/>
  <c r="D1091" i="1"/>
  <c r="C1091" i="1"/>
  <c r="A1091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B1090" i="1"/>
  <c r="H1090" i="1"/>
  <c r="G1090" i="1"/>
  <c r="F1090" i="1"/>
  <c r="E1090" i="1"/>
  <c r="N1090" i="1"/>
  <c r="M1090" i="1"/>
  <c r="L1090" i="1"/>
  <c r="K1090" i="1"/>
  <c r="J1090" i="1"/>
  <c r="I1090" i="1"/>
  <c r="D1090" i="1"/>
  <c r="C1090" i="1"/>
  <c r="A1090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B1089" i="1"/>
  <c r="H1089" i="1"/>
  <c r="G1089" i="1"/>
  <c r="F1089" i="1"/>
  <c r="E1089" i="1"/>
  <c r="N1089" i="1"/>
  <c r="M1089" i="1"/>
  <c r="L1089" i="1"/>
  <c r="K1089" i="1"/>
  <c r="J1089" i="1"/>
  <c r="I1089" i="1"/>
  <c r="D1089" i="1"/>
  <c r="C1089" i="1"/>
  <c r="A1089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B1088" i="1"/>
  <c r="H1088" i="1"/>
  <c r="G1088" i="1"/>
  <c r="F1088" i="1"/>
  <c r="E1088" i="1"/>
  <c r="N1088" i="1"/>
  <c r="M1088" i="1"/>
  <c r="L1088" i="1"/>
  <c r="K1088" i="1"/>
  <c r="J1088" i="1"/>
  <c r="I1088" i="1"/>
  <c r="D1088" i="1"/>
  <c r="C1088" i="1"/>
  <c r="A1088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B1087" i="1"/>
  <c r="H1087" i="1"/>
  <c r="G1087" i="1"/>
  <c r="F1087" i="1"/>
  <c r="E1087" i="1"/>
  <c r="N1087" i="1"/>
  <c r="M1087" i="1"/>
  <c r="L1087" i="1"/>
  <c r="K1087" i="1"/>
  <c r="J1087" i="1"/>
  <c r="I1087" i="1"/>
  <c r="D1087" i="1"/>
  <c r="C1087" i="1"/>
  <c r="A1087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B1086" i="1"/>
  <c r="H1086" i="1"/>
  <c r="G1086" i="1"/>
  <c r="F1086" i="1"/>
  <c r="E1086" i="1"/>
  <c r="N1086" i="1"/>
  <c r="M1086" i="1"/>
  <c r="L1086" i="1"/>
  <c r="K1086" i="1"/>
  <c r="J1086" i="1"/>
  <c r="I1086" i="1"/>
  <c r="D1086" i="1"/>
  <c r="C1086" i="1"/>
  <c r="A1086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B1085" i="1"/>
  <c r="H1085" i="1"/>
  <c r="G1085" i="1"/>
  <c r="F1085" i="1"/>
  <c r="E1085" i="1"/>
  <c r="N1085" i="1"/>
  <c r="M1085" i="1"/>
  <c r="L1085" i="1"/>
  <c r="K1085" i="1"/>
  <c r="J1085" i="1"/>
  <c r="I1085" i="1"/>
  <c r="D1085" i="1"/>
  <c r="C1085" i="1"/>
  <c r="A1085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B1084" i="1"/>
  <c r="H1084" i="1"/>
  <c r="G1084" i="1"/>
  <c r="F1084" i="1"/>
  <c r="E1084" i="1"/>
  <c r="N1084" i="1"/>
  <c r="M1084" i="1"/>
  <c r="L1084" i="1"/>
  <c r="K1084" i="1"/>
  <c r="J1084" i="1"/>
  <c r="I1084" i="1"/>
  <c r="D1084" i="1"/>
  <c r="C1084" i="1"/>
  <c r="A1084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B1083" i="1"/>
  <c r="H1083" i="1"/>
  <c r="G1083" i="1"/>
  <c r="F1083" i="1"/>
  <c r="E1083" i="1"/>
  <c r="N1083" i="1"/>
  <c r="M1083" i="1"/>
  <c r="L1083" i="1"/>
  <c r="K1083" i="1"/>
  <c r="J1083" i="1"/>
  <c r="I1083" i="1"/>
  <c r="D1083" i="1"/>
  <c r="C1083" i="1"/>
  <c r="A1083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B1082" i="1"/>
  <c r="H1082" i="1"/>
  <c r="G1082" i="1"/>
  <c r="F1082" i="1"/>
  <c r="E1082" i="1"/>
  <c r="M1082" i="1"/>
  <c r="L1082" i="1"/>
  <c r="K1082" i="1"/>
  <c r="J1082" i="1"/>
  <c r="I1082" i="1"/>
  <c r="D1082" i="1"/>
  <c r="C1082" i="1"/>
  <c r="A1082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B1081" i="1"/>
  <c r="H1081" i="1"/>
  <c r="G1081" i="1"/>
  <c r="F1081" i="1"/>
  <c r="E1081" i="1"/>
  <c r="N1081" i="1"/>
  <c r="M1081" i="1"/>
  <c r="L1081" i="1"/>
  <c r="K1081" i="1"/>
  <c r="J1081" i="1"/>
  <c r="I1081" i="1"/>
  <c r="D1081" i="1"/>
  <c r="C1081" i="1"/>
  <c r="A1081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B1080" i="1"/>
  <c r="H1080" i="1"/>
  <c r="G1080" i="1"/>
  <c r="F1080" i="1"/>
  <c r="E1080" i="1"/>
  <c r="N1080" i="1"/>
  <c r="M1080" i="1"/>
  <c r="L1080" i="1"/>
  <c r="K1080" i="1"/>
  <c r="J1080" i="1"/>
  <c r="I1080" i="1"/>
  <c r="D1080" i="1"/>
  <c r="C1080" i="1"/>
  <c r="A1080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B1079" i="1"/>
  <c r="H1079" i="1"/>
  <c r="G1079" i="1"/>
  <c r="F1079" i="1"/>
  <c r="E1079" i="1"/>
  <c r="N1079" i="1"/>
  <c r="M1079" i="1"/>
  <c r="L1079" i="1"/>
  <c r="K1079" i="1"/>
  <c r="J1079" i="1"/>
  <c r="I1079" i="1"/>
  <c r="D1079" i="1"/>
  <c r="C1079" i="1"/>
  <c r="A1079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B1078" i="1"/>
  <c r="H1078" i="1"/>
  <c r="G1078" i="1"/>
  <c r="F1078" i="1"/>
  <c r="E1078" i="1"/>
  <c r="N1078" i="1"/>
  <c r="M1078" i="1"/>
  <c r="L1078" i="1"/>
  <c r="K1078" i="1"/>
  <c r="J1078" i="1"/>
  <c r="I1078" i="1"/>
  <c r="D1078" i="1"/>
  <c r="C1078" i="1"/>
  <c r="A1078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B1077" i="1"/>
  <c r="H1077" i="1"/>
  <c r="G1077" i="1"/>
  <c r="F1077" i="1"/>
  <c r="E1077" i="1"/>
  <c r="N1077" i="1"/>
  <c r="M1077" i="1"/>
  <c r="L1077" i="1"/>
  <c r="K1077" i="1"/>
  <c r="J1077" i="1"/>
  <c r="I1077" i="1"/>
  <c r="D1077" i="1"/>
  <c r="C1077" i="1"/>
  <c r="A1077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B1076" i="1"/>
  <c r="H1076" i="1"/>
  <c r="G1076" i="1"/>
  <c r="F1076" i="1"/>
  <c r="E1076" i="1"/>
  <c r="N1076" i="1"/>
  <c r="M1076" i="1"/>
  <c r="L1076" i="1"/>
  <c r="K1076" i="1"/>
  <c r="J1076" i="1"/>
  <c r="I1076" i="1"/>
  <c r="D1076" i="1"/>
  <c r="C1076" i="1"/>
  <c r="A1076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B1075" i="1"/>
  <c r="H1075" i="1"/>
  <c r="G1075" i="1"/>
  <c r="F1075" i="1"/>
  <c r="E1075" i="1"/>
  <c r="N1075" i="1"/>
  <c r="M1075" i="1"/>
  <c r="L1075" i="1"/>
  <c r="K1075" i="1"/>
  <c r="J1075" i="1"/>
  <c r="I1075" i="1"/>
  <c r="D1075" i="1"/>
  <c r="C1075" i="1"/>
  <c r="A1075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B1074" i="1"/>
  <c r="H1074" i="1"/>
  <c r="G1074" i="1"/>
  <c r="F1074" i="1"/>
  <c r="E1074" i="1"/>
  <c r="N1074" i="1"/>
  <c r="M1074" i="1"/>
  <c r="L1074" i="1"/>
  <c r="K1074" i="1"/>
  <c r="J1074" i="1"/>
  <c r="I1074" i="1"/>
  <c r="D1074" i="1"/>
  <c r="C1074" i="1"/>
  <c r="A1074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B1073" i="1"/>
  <c r="H1073" i="1"/>
  <c r="G1073" i="1"/>
  <c r="F1073" i="1"/>
  <c r="E1073" i="1"/>
  <c r="N1073" i="1"/>
  <c r="M1073" i="1"/>
  <c r="L1073" i="1"/>
  <c r="K1073" i="1"/>
  <c r="J1073" i="1"/>
  <c r="I1073" i="1"/>
  <c r="D1073" i="1"/>
  <c r="C1073" i="1"/>
  <c r="A1073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B1072" i="1"/>
  <c r="H1072" i="1"/>
  <c r="G1072" i="1"/>
  <c r="F1072" i="1"/>
  <c r="E1072" i="1"/>
  <c r="N1072" i="1"/>
  <c r="M1072" i="1"/>
  <c r="L1072" i="1"/>
  <c r="K1072" i="1"/>
  <c r="J1072" i="1"/>
  <c r="I1072" i="1"/>
  <c r="D1072" i="1"/>
  <c r="C1072" i="1"/>
  <c r="A1072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B1071" i="1"/>
  <c r="H1071" i="1"/>
  <c r="G1071" i="1"/>
  <c r="F1071" i="1"/>
  <c r="E1071" i="1"/>
  <c r="N1071" i="1"/>
  <c r="M1071" i="1"/>
  <c r="L1071" i="1"/>
  <c r="K1071" i="1"/>
  <c r="J1071" i="1"/>
  <c r="I1071" i="1"/>
  <c r="D1071" i="1"/>
  <c r="C1071" i="1"/>
  <c r="A1071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B1070" i="1"/>
  <c r="H1070" i="1"/>
  <c r="G1070" i="1"/>
  <c r="F1070" i="1"/>
  <c r="E1070" i="1"/>
  <c r="N1070" i="1"/>
  <c r="M1070" i="1"/>
  <c r="L1070" i="1"/>
  <c r="K1070" i="1"/>
  <c r="J1070" i="1"/>
  <c r="I1070" i="1"/>
  <c r="D1070" i="1"/>
  <c r="C1070" i="1"/>
  <c r="A1070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B1069" i="1"/>
  <c r="H1069" i="1"/>
  <c r="G1069" i="1"/>
  <c r="F1069" i="1"/>
  <c r="E1069" i="1"/>
  <c r="N1069" i="1"/>
  <c r="M1069" i="1"/>
  <c r="L1069" i="1"/>
  <c r="K1069" i="1"/>
  <c r="J1069" i="1"/>
  <c r="I1069" i="1"/>
  <c r="D1069" i="1"/>
  <c r="C1069" i="1"/>
  <c r="A1069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B1068" i="1"/>
  <c r="H1068" i="1"/>
  <c r="G1068" i="1"/>
  <c r="F1068" i="1"/>
  <c r="E1068" i="1"/>
  <c r="N1068" i="1"/>
  <c r="M1068" i="1"/>
  <c r="L1068" i="1"/>
  <c r="K1068" i="1"/>
  <c r="J1068" i="1"/>
  <c r="I1068" i="1"/>
  <c r="D1068" i="1"/>
  <c r="C1068" i="1"/>
  <c r="A1068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B1067" i="1"/>
  <c r="H1067" i="1"/>
  <c r="G1067" i="1"/>
  <c r="F1067" i="1"/>
  <c r="E1067" i="1"/>
  <c r="N1067" i="1"/>
  <c r="M1067" i="1"/>
  <c r="L1067" i="1"/>
  <c r="K1067" i="1"/>
  <c r="J1067" i="1"/>
  <c r="I1067" i="1"/>
  <c r="D1067" i="1"/>
  <c r="C1067" i="1"/>
  <c r="A1067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B1066" i="1"/>
  <c r="H1066" i="1"/>
  <c r="G1066" i="1"/>
  <c r="F1066" i="1"/>
  <c r="E1066" i="1"/>
  <c r="N1066" i="1"/>
  <c r="M1066" i="1"/>
  <c r="L1066" i="1"/>
  <c r="K1066" i="1"/>
  <c r="J1066" i="1"/>
  <c r="I1066" i="1"/>
  <c r="D1066" i="1"/>
  <c r="C1066" i="1"/>
  <c r="A1066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B1065" i="1"/>
  <c r="H1065" i="1"/>
  <c r="G1065" i="1"/>
  <c r="F1065" i="1"/>
  <c r="E1065" i="1"/>
  <c r="N1065" i="1"/>
  <c r="M1065" i="1"/>
  <c r="L1065" i="1"/>
  <c r="K1065" i="1"/>
  <c r="J1065" i="1"/>
  <c r="I1065" i="1"/>
  <c r="D1065" i="1"/>
  <c r="C1065" i="1"/>
  <c r="A1065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B1064" i="1"/>
  <c r="H1064" i="1"/>
  <c r="G1064" i="1"/>
  <c r="F1064" i="1"/>
  <c r="E1064" i="1"/>
  <c r="N1064" i="1"/>
  <c r="M1064" i="1"/>
  <c r="L1064" i="1"/>
  <c r="K1064" i="1"/>
  <c r="J1064" i="1"/>
  <c r="I1064" i="1"/>
  <c r="D1064" i="1"/>
  <c r="C1064" i="1"/>
  <c r="A1064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B1063" i="1"/>
  <c r="H1063" i="1"/>
  <c r="G1063" i="1"/>
  <c r="F1063" i="1"/>
  <c r="E1063" i="1"/>
  <c r="N1063" i="1"/>
  <c r="M1063" i="1"/>
  <c r="L1063" i="1"/>
  <c r="K1063" i="1"/>
  <c r="J1063" i="1"/>
  <c r="I1063" i="1"/>
  <c r="D1063" i="1"/>
  <c r="C1063" i="1"/>
  <c r="A1063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B1062" i="1"/>
  <c r="H1062" i="1"/>
  <c r="G1062" i="1"/>
  <c r="F1062" i="1"/>
  <c r="E1062" i="1"/>
  <c r="M1062" i="1"/>
  <c r="L1062" i="1"/>
  <c r="K1062" i="1"/>
  <c r="J1062" i="1"/>
  <c r="I1062" i="1"/>
  <c r="D1062" i="1"/>
  <c r="C1062" i="1"/>
  <c r="A1062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B1061" i="1"/>
  <c r="H1061" i="1"/>
  <c r="G1061" i="1"/>
  <c r="F1061" i="1"/>
  <c r="E1061" i="1"/>
  <c r="N1061" i="1"/>
  <c r="M1061" i="1"/>
  <c r="L1061" i="1"/>
  <c r="K1061" i="1"/>
  <c r="J1061" i="1"/>
  <c r="I1061" i="1"/>
  <c r="D1061" i="1"/>
  <c r="C1061" i="1"/>
  <c r="A1061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B1060" i="1"/>
  <c r="H1060" i="1"/>
  <c r="G1060" i="1"/>
  <c r="F1060" i="1"/>
  <c r="E1060" i="1"/>
  <c r="N1060" i="1"/>
  <c r="M1060" i="1"/>
  <c r="L1060" i="1"/>
  <c r="K1060" i="1"/>
  <c r="J1060" i="1"/>
  <c r="I1060" i="1"/>
  <c r="D1060" i="1"/>
  <c r="C1060" i="1"/>
  <c r="A1060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B1059" i="1"/>
  <c r="H1059" i="1"/>
  <c r="G1059" i="1"/>
  <c r="F1059" i="1"/>
  <c r="E1059" i="1"/>
  <c r="N1059" i="1"/>
  <c r="M1059" i="1"/>
  <c r="L1059" i="1"/>
  <c r="K1059" i="1"/>
  <c r="J1059" i="1"/>
  <c r="I1059" i="1"/>
  <c r="D1059" i="1"/>
  <c r="C1059" i="1"/>
  <c r="A1059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B1058" i="1"/>
  <c r="H1058" i="1"/>
  <c r="G1058" i="1"/>
  <c r="F1058" i="1"/>
  <c r="E1058" i="1"/>
  <c r="N1058" i="1"/>
  <c r="M1058" i="1"/>
  <c r="L1058" i="1"/>
  <c r="K1058" i="1"/>
  <c r="J1058" i="1"/>
  <c r="I1058" i="1"/>
  <c r="D1058" i="1"/>
  <c r="C1058" i="1"/>
  <c r="A1058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B1057" i="1"/>
  <c r="H1057" i="1"/>
  <c r="G1057" i="1"/>
  <c r="F1057" i="1"/>
  <c r="E1057" i="1"/>
  <c r="N1057" i="1"/>
  <c r="M1057" i="1"/>
  <c r="L1057" i="1"/>
  <c r="K1057" i="1"/>
  <c r="J1057" i="1"/>
  <c r="I1057" i="1"/>
  <c r="D1057" i="1"/>
  <c r="C1057" i="1"/>
  <c r="A1057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B1056" i="1"/>
  <c r="H1056" i="1"/>
  <c r="G1056" i="1"/>
  <c r="F1056" i="1"/>
  <c r="E1056" i="1"/>
  <c r="N1056" i="1"/>
  <c r="M1056" i="1"/>
  <c r="L1056" i="1"/>
  <c r="K1056" i="1"/>
  <c r="J1056" i="1"/>
  <c r="I1056" i="1"/>
  <c r="D1056" i="1"/>
  <c r="C1056" i="1"/>
  <c r="A1056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B1055" i="1"/>
  <c r="H1055" i="1"/>
  <c r="G1055" i="1"/>
  <c r="F1055" i="1"/>
  <c r="E1055" i="1"/>
  <c r="N1055" i="1"/>
  <c r="M1055" i="1"/>
  <c r="L1055" i="1"/>
  <c r="K1055" i="1"/>
  <c r="J1055" i="1"/>
  <c r="I1055" i="1"/>
  <c r="D1055" i="1"/>
  <c r="C1055" i="1"/>
  <c r="A1055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B1054" i="1"/>
  <c r="H1054" i="1"/>
  <c r="G1054" i="1"/>
  <c r="F1054" i="1"/>
  <c r="E1054" i="1"/>
  <c r="N1054" i="1"/>
  <c r="M1054" i="1"/>
  <c r="L1054" i="1"/>
  <c r="K1054" i="1"/>
  <c r="J1054" i="1"/>
  <c r="I1054" i="1"/>
  <c r="D1054" i="1"/>
  <c r="C1054" i="1"/>
  <c r="A1054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B1053" i="1"/>
  <c r="H1053" i="1"/>
  <c r="G1053" i="1"/>
  <c r="F1053" i="1"/>
  <c r="E1053" i="1"/>
  <c r="N1053" i="1"/>
  <c r="M1053" i="1"/>
  <c r="L1053" i="1"/>
  <c r="K1053" i="1"/>
  <c r="J1053" i="1"/>
  <c r="I1053" i="1"/>
  <c r="D1053" i="1"/>
  <c r="C1053" i="1"/>
  <c r="A1053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B1052" i="1"/>
  <c r="H1052" i="1"/>
  <c r="G1052" i="1"/>
  <c r="F1052" i="1"/>
  <c r="E1052" i="1"/>
  <c r="N1052" i="1"/>
  <c r="M1052" i="1"/>
  <c r="L1052" i="1"/>
  <c r="K1052" i="1"/>
  <c r="J1052" i="1"/>
  <c r="I1052" i="1"/>
  <c r="D1052" i="1"/>
  <c r="C1052" i="1"/>
  <c r="A1052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B1051" i="1"/>
  <c r="H1051" i="1"/>
  <c r="G1051" i="1"/>
  <c r="F1051" i="1"/>
  <c r="E1051" i="1"/>
  <c r="M1051" i="1"/>
  <c r="L1051" i="1"/>
  <c r="K1051" i="1"/>
  <c r="J1051" i="1"/>
  <c r="I1051" i="1"/>
  <c r="D1051" i="1"/>
  <c r="C1051" i="1"/>
  <c r="A1051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B1050" i="1"/>
  <c r="H1050" i="1"/>
  <c r="G1050" i="1"/>
  <c r="F1050" i="1"/>
  <c r="E1050" i="1"/>
  <c r="N1050" i="1"/>
  <c r="M1050" i="1"/>
  <c r="L1050" i="1"/>
  <c r="K1050" i="1"/>
  <c r="J1050" i="1"/>
  <c r="I1050" i="1"/>
  <c r="D1050" i="1"/>
  <c r="C1050" i="1"/>
  <c r="A1050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B1049" i="1"/>
  <c r="H1049" i="1"/>
  <c r="G1049" i="1"/>
  <c r="F1049" i="1"/>
  <c r="E1049" i="1"/>
  <c r="N1049" i="1"/>
  <c r="M1049" i="1"/>
  <c r="L1049" i="1"/>
  <c r="K1049" i="1"/>
  <c r="J1049" i="1"/>
  <c r="I1049" i="1"/>
  <c r="D1049" i="1"/>
  <c r="C1049" i="1"/>
  <c r="A1049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B1048" i="1"/>
  <c r="H1048" i="1"/>
  <c r="G1048" i="1"/>
  <c r="F1048" i="1"/>
  <c r="E1048" i="1"/>
  <c r="N1048" i="1"/>
  <c r="M1048" i="1"/>
  <c r="L1048" i="1"/>
  <c r="K1048" i="1"/>
  <c r="J1048" i="1"/>
  <c r="I1048" i="1"/>
  <c r="D1048" i="1"/>
  <c r="C1048" i="1"/>
  <c r="A1048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B1047" i="1"/>
  <c r="H1047" i="1"/>
  <c r="G1047" i="1"/>
  <c r="F1047" i="1"/>
  <c r="E1047" i="1"/>
  <c r="N1047" i="1"/>
  <c r="M1047" i="1"/>
  <c r="L1047" i="1"/>
  <c r="K1047" i="1"/>
  <c r="J1047" i="1"/>
  <c r="I1047" i="1"/>
  <c r="D1047" i="1"/>
  <c r="C1047" i="1"/>
  <c r="A1047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B1046" i="1"/>
  <c r="H1046" i="1"/>
  <c r="G1046" i="1"/>
  <c r="F1046" i="1"/>
  <c r="E1046" i="1"/>
  <c r="N1046" i="1"/>
  <c r="M1046" i="1"/>
  <c r="L1046" i="1"/>
  <c r="K1046" i="1"/>
  <c r="J1046" i="1"/>
  <c r="I1046" i="1"/>
  <c r="D1046" i="1"/>
  <c r="C1046" i="1"/>
  <c r="A1046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B1045" i="1"/>
  <c r="H1045" i="1"/>
  <c r="G1045" i="1"/>
  <c r="F1045" i="1"/>
  <c r="E1045" i="1"/>
  <c r="N1045" i="1"/>
  <c r="M1045" i="1"/>
  <c r="L1045" i="1"/>
  <c r="K1045" i="1"/>
  <c r="J1045" i="1"/>
  <c r="I1045" i="1"/>
  <c r="D1045" i="1"/>
  <c r="C1045" i="1"/>
  <c r="A1045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B1044" i="1"/>
  <c r="H1044" i="1"/>
  <c r="G1044" i="1"/>
  <c r="F1044" i="1"/>
  <c r="E1044" i="1"/>
  <c r="N1044" i="1"/>
  <c r="M1044" i="1"/>
  <c r="L1044" i="1"/>
  <c r="K1044" i="1"/>
  <c r="J1044" i="1"/>
  <c r="I1044" i="1"/>
  <c r="D1044" i="1"/>
  <c r="C1044" i="1"/>
  <c r="A1044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B1043" i="1"/>
  <c r="H1043" i="1"/>
  <c r="G1043" i="1"/>
  <c r="F1043" i="1"/>
  <c r="E1043" i="1"/>
  <c r="M1043" i="1"/>
  <c r="L1043" i="1"/>
  <c r="K1043" i="1"/>
  <c r="J1043" i="1"/>
  <c r="I1043" i="1"/>
  <c r="D1043" i="1"/>
  <c r="C1043" i="1"/>
  <c r="A1043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B1042" i="1"/>
  <c r="H1042" i="1"/>
  <c r="G1042" i="1"/>
  <c r="F1042" i="1"/>
  <c r="E1042" i="1"/>
  <c r="N1042" i="1"/>
  <c r="M1042" i="1"/>
  <c r="L1042" i="1"/>
  <c r="K1042" i="1"/>
  <c r="J1042" i="1"/>
  <c r="I1042" i="1"/>
  <c r="D1042" i="1"/>
  <c r="C1042" i="1"/>
  <c r="A1042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B1041" i="1"/>
  <c r="H1041" i="1"/>
  <c r="G1041" i="1"/>
  <c r="F1041" i="1"/>
  <c r="E1041" i="1"/>
  <c r="N1041" i="1"/>
  <c r="M1041" i="1"/>
  <c r="L1041" i="1"/>
  <c r="K1041" i="1"/>
  <c r="J1041" i="1"/>
  <c r="I1041" i="1"/>
  <c r="D1041" i="1"/>
  <c r="C1041" i="1"/>
  <c r="A1041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B1040" i="1"/>
  <c r="H1040" i="1"/>
  <c r="G1040" i="1"/>
  <c r="F1040" i="1"/>
  <c r="E1040" i="1"/>
  <c r="N1040" i="1"/>
  <c r="M1040" i="1"/>
  <c r="L1040" i="1"/>
  <c r="K1040" i="1"/>
  <c r="J1040" i="1"/>
  <c r="I1040" i="1"/>
  <c r="D1040" i="1"/>
  <c r="C1040" i="1"/>
  <c r="A1040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B1039" i="1"/>
  <c r="H1039" i="1"/>
  <c r="G1039" i="1"/>
  <c r="F1039" i="1"/>
  <c r="E1039" i="1"/>
  <c r="N1039" i="1"/>
  <c r="M1039" i="1"/>
  <c r="L1039" i="1"/>
  <c r="K1039" i="1"/>
  <c r="J1039" i="1"/>
  <c r="I1039" i="1"/>
  <c r="D1039" i="1"/>
  <c r="C1039" i="1"/>
  <c r="A1039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B1038" i="1"/>
  <c r="H1038" i="1"/>
  <c r="G1038" i="1"/>
  <c r="F1038" i="1"/>
  <c r="E1038" i="1"/>
  <c r="N1038" i="1"/>
  <c r="M1038" i="1"/>
  <c r="L1038" i="1"/>
  <c r="K1038" i="1"/>
  <c r="J1038" i="1"/>
  <c r="I1038" i="1"/>
  <c r="D1038" i="1"/>
  <c r="C1038" i="1"/>
  <c r="A1038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B1037" i="1"/>
  <c r="H1037" i="1"/>
  <c r="G1037" i="1"/>
  <c r="F1037" i="1"/>
  <c r="E1037" i="1"/>
  <c r="N1037" i="1"/>
  <c r="M1037" i="1"/>
  <c r="L1037" i="1"/>
  <c r="K1037" i="1"/>
  <c r="J1037" i="1"/>
  <c r="I1037" i="1"/>
  <c r="D1037" i="1"/>
  <c r="C1037" i="1"/>
  <c r="A1037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B1036" i="1"/>
  <c r="H1036" i="1"/>
  <c r="G1036" i="1"/>
  <c r="F1036" i="1"/>
  <c r="E1036" i="1"/>
  <c r="N1036" i="1"/>
  <c r="M1036" i="1"/>
  <c r="L1036" i="1"/>
  <c r="K1036" i="1"/>
  <c r="J1036" i="1"/>
  <c r="I1036" i="1"/>
  <c r="D1036" i="1"/>
  <c r="C1036" i="1"/>
  <c r="A1036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B1035" i="1"/>
  <c r="H1035" i="1"/>
  <c r="G1035" i="1"/>
  <c r="F1035" i="1"/>
  <c r="E1035" i="1"/>
  <c r="N1035" i="1"/>
  <c r="M1035" i="1"/>
  <c r="L1035" i="1"/>
  <c r="K1035" i="1"/>
  <c r="J1035" i="1"/>
  <c r="I1035" i="1"/>
  <c r="D1035" i="1"/>
  <c r="C1035" i="1"/>
  <c r="A1035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B1034" i="1"/>
  <c r="H1034" i="1"/>
  <c r="G1034" i="1"/>
  <c r="F1034" i="1"/>
  <c r="E1034" i="1"/>
  <c r="N1034" i="1"/>
  <c r="M1034" i="1"/>
  <c r="L1034" i="1"/>
  <c r="K1034" i="1"/>
  <c r="J1034" i="1"/>
  <c r="I1034" i="1"/>
  <c r="D1034" i="1"/>
  <c r="C1034" i="1"/>
  <c r="A1034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B1033" i="1"/>
  <c r="H1033" i="1"/>
  <c r="G1033" i="1"/>
  <c r="F1033" i="1"/>
  <c r="E1033" i="1"/>
  <c r="N1033" i="1"/>
  <c r="M1033" i="1"/>
  <c r="L1033" i="1"/>
  <c r="K1033" i="1"/>
  <c r="J1033" i="1"/>
  <c r="I1033" i="1"/>
  <c r="D1033" i="1"/>
  <c r="C1033" i="1"/>
  <c r="A1033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B1032" i="1"/>
  <c r="H1032" i="1"/>
  <c r="G1032" i="1"/>
  <c r="F1032" i="1"/>
  <c r="E1032" i="1"/>
  <c r="N1032" i="1"/>
  <c r="M1032" i="1"/>
  <c r="L1032" i="1"/>
  <c r="K1032" i="1"/>
  <c r="J1032" i="1"/>
  <c r="I1032" i="1"/>
  <c r="D1032" i="1"/>
  <c r="C1032" i="1"/>
  <c r="A1032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B1031" i="1"/>
  <c r="H1031" i="1"/>
  <c r="G1031" i="1"/>
  <c r="F1031" i="1"/>
  <c r="E1031" i="1"/>
  <c r="N1031" i="1"/>
  <c r="M1031" i="1"/>
  <c r="L1031" i="1"/>
  <c r="K1031" i="1"/>
  <c r="J1031" i="1"/>
  <c r="I1031" i="1"/>
  <c r="D1031" i="1"/>
  <c r="C1031" i="1"/>
  <c r="A1031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B1030" i="1"/>
  <c r="H1030" i="1"/>
  <c r="G1030" i="1"/>
  <c r="F1030" i="1"/>
  <c r="E1030" i="1"/>
  <c r="N1030" i="1"/>
  <c r="M1030" i="1"/>
  <c r="L1030" i="1"/>
  <c r="K1030" i="1"/>
  <c r="J1030" i="1"/>
  <c r="I1030" i="1"/>
  <c r="D1030" i="1"/>
  <c r="C1030" i="1"/>
  <c r="A1030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B1029" i="1"/>
  <c r="H1029" i="1"/>
  <c r="G1029" i="1"/>
  <c r="F1029" i="1"/>
  <c r="E1029" i="1"/>
  <c r="N1029" i="1"/>
  <c r="M1029" i="1"/>
  <c r="L1029" i="1"/>
  <c r="K1029" i="1"/>
  <c r="J1029" i="1"/>
  <c r="I1029" i="1"/>
  <c r="D1029" i="1"/>
  <c r="C1029" i="1"/>
  <c r="A1029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B1028" i="1"/>
  <c r="H1028" i="1"/>
  <c r="G1028" i="1"/>
  <c r="F1028" i="1"/>
  <c r="E1028" i="1"/>
  <c r="N1028" i="1"/>
  <c r="M1028" i="1"/>
  <c r="L1028" i="1"/>
  <c r="K1028" i="1"/>
  <c r="J1028" i="1"/>
  <c r="I1028" i="1"/>
  <c r="D1028" i="1"/>
  <c r="C1028" i="1"/>
  <c r="A1028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B1027" i="1"/>
  <c r="H1027" i="1"/>
  <c r="G1027" i="1"/>
  <c r="F1027" i="1"/>
  <c r="E1027" i="1"/>
  <c r="N1027" i="1"/>
  <c r="M1027" i="1"/>
  <c r="L1027" i="1"/>
  <c r="K1027" i="1"/>
  <c r="J1027" i="1"/>
  <c r="I1027" i="1"/>
  <c r="D1027" i="1"/>
  <c r="C1027" i="1"/>
  <c r="A1027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B1026" i="1"/>
  <c r="H1026" i="1"/>
  <c r="G1026" i="1"/>
  <c r="F1026" i="1"/>
  <c r="E1026" i="1"/>
  <c r="N1026" i="1"/>
  <c r="M1026" i="1"/>
  <c r="L1026" i="1"/>
  <c r="K1026" i="1"/>
  <c r="J1026" i="1"/>
  <c r="I1026" i="1"/>
  <c r="D1026" i="1"/>
  <c r="C1026" i="1"/>
  <c r="A1026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B1025" i="1"/>
  <c r="H1025" i="1"/>
  <c r="G1025" i="1"/>
  <c r="F1025" i="1"/>
  <c r="E1025" i="1"/>
  <c r="N1025" i="1"/>
  <c r="M1025" i="1"/>
  <c r="L1025" i="1"/>
  <c r="K1025" i="1"/>
  <c r="J1025" i="1"/>
  <c r="I1025" i="1"/>
  <c r="D1025" i="1"/>
  <c r="C1025" i="1"/>
  <c r="A1025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B1024" i="1"/>
  <c r="H1024" i="1"/>
  <c r="G1024" i="1"/>
  <c r="F1024" i="1"/>
  <c r="E1024" i="1"/>
  <c r="N1024" i="1"/>
  <c r="M1024" i="1"/>
  <c r="L1024" i="1"/>
  <c r="K1024" i="1"/>
  <c r="J1024" i="1"/>
  <c r="I1024" i="1"/>
  <c r="D1024" i="1"/>
  <c r="C1024" i="1"/>
  <c r="A1024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B1023" i="1"/>
  <c r="H1023" i="1"/>
  <c r="G1023" i="1"/>
  <c r="F1023" i="1"/>
  <c r="E1023" i="1"/>
  <c r="N1023" i="1"/>
  <c r="M1023" i="1"/>
  <c r="L1023" i="1"/>
  <c r="K1023" i="1"/>
  <c r="J1023" i="1"/>
  <c r="I1023" i="1"/>
  <c r="D1023" i="1"/>
  <c r="C1023" i="1"/>
  <c r="A1023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B1022" i="1"/>
  <c r="H1022" i="1"/>
  <c r="G1022" i="1"/>
  <c r="F1022" i="1"/>
  <c r="E1022" i="1"/>
  <c r="N1022" i="1"/>
  <c r="M1022" i="1"/>
  <c r="L1022" i="1"/>
  <c r="K1022" i="1"/>
  <c r="J1022" i="1"/>
  <c r="I1022" i="1"/>
  <c r="D1022" i="1"/>
  <c r="C1022" i="1"/>
  <c r="A1022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B1021" i="1"/>
  <c r="H1021" i="1"/>
  <c r="G1021" i="1"/>
  <c r="F1021" i="1"/>
  <c r="E1021" i="1"/>
  <c r="N1021" i="1"/>
  <c r="M1021" i="1"/>
  <c r="L1021" i="1"/>
  <c r="K1021" i="1"/>
  <c r="J1021" i="1"/>
  <c r="I1021" i="1"/>
  <c r="D1021" i="1"/>
  <c r="C1021" i="1"/>
  <c r="A1021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B1020" i="1"/>
  <c r="H1020" i="1"/>
  <c r="G1020" i="1"/>
  <c r="F1020" i="1"/>
  <c r="E1020" i="1"/>
  <c r="N1020" i="1"/>
  <c r="M1020" i="1"/>
  <c r="L1020" i="1"/>
  <c r="K1020" i="1"/>
  <c r="J1020" i="1"/>
  <c r="I1020" i="1"/>
  <c r="D1020" i="1"/>
  <c r="C1020" i="1"/>
  <c r="A1020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B1019" i="1"/>
  <c r="H1019" i="1"/>
  <c r="G1019" i="1"/>
  <c r="F1019" i="1"/>
  <c r="E1019" i="1"/>
  <c r="N1019" i="1"/>
  <c r="M1019" i="1"/>
  <c r="L1019" i="1"/>
  <c r="K1019" i="1"/>
  <c r="J1019" i="1"/>
  <c r="I1019" i="1"/>
  <c r="D1019" i="1"/>
  <c r="C1019" i="1"/>
  <c r="A1019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B1018" i="1"/>
  <c r="H1018" i="1"/>
  <c r="G1018" i="1"/>
  <c r="F1018" i="1"/>
  <c r="E1018" i="1"/>
  <c r="N1018" i="1"/>
  <c r="M1018" i="1"/>
  <c r="L1018" i="1"/>
  <c r="K1018" i="1"/>
  <c r="J1018" i="1"/>
  <c r="I1018" i="1"/>
  <c r="D1018" i="1"/>
  <c r="C1018" i="1"/>
  <c r="A1018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B1017" i="1"/>
  <c r="H1017" i="1"/>
  <c r="G1017" i="1"/>
  <c r="F1017" i="1"/>
  <c r="E1017" i="1"/>
  <c r="N1017" i="1"/>
  <c r="M1017" i="1"/>
  <c r="L1017" i="1"/>
  <c r="K1017" i="1"/>
  <c r="J1017" i="1"/>
  <c r="I1017" i="1"/>
  <c r="D1017" i="1"/>
  <c r="C1017" i="1"/>
  <c r="A1017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B1016" i="1"/>
  <c r="H1016" i="1"/>
  <c r="G1016" i="1"/>
  <c r="F1016" i="1"/>
  <c r="E1016" i="1"/>
  <c r="N1016" i="1"/>
  <c r="M1016" i="1"/>
  <c r="L1016" i="1"/>
  <c r="K1016" i="1"/>
  <c r="J1016" i="1"/>
  <c r="I1016" i="1"/>
  <c r="D1016" i="1"/>
  <c r="C1016" i="1"/>
  <c r="A1016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B1015" i="1"/>
  <c r="H1015" i="1"/>
  <c r="G1015" i="1"/>
  <c r="F1015" i="1"/>
  <c r="E1015" i="1"/>
  <c r="N1015" i="1"/>
  <c r="M1015" i="1"/>
  <c r="L1015" i="1"/>
  <c r="K1015" i="1"/>
  <c r="J1015" i="1"/>
  <c r="I1015" i="1"/>
  <c r="D1015" i="1"/>
  <c r="C1015" i="1"/>
  <c r="A1015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B1014" i="1"/>
  <c r="H1014" i="1"/>
  <c r="G1014" i="1"/>
  <c r="F1014" i="1"/>
  <c r="E1014" i="1"/>
  <c r="N1014" i="1"/>
  <c r="M1014" i="1"/>
  <c r="L1014" i="1"/>
  <c r="K1014" i="1"/>
  <c r="J1014" i="1"/>
  <c r="I1014" i="1"/>
  <c r="D1014" i="1"/>
  <c r="C1014" i="1"/>
  <c r="A1014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B1013" i="1"/>
  <c r="H1013" i="1"/>
  <c r="G1013" i="1"/>
  <c r="F1013" i="1"/>
  <c r="E1013" i="1"/>
  <c r="N1013" i="1"/>
  <c r="M1013" i="1"/>
  <c r="L1013" i="1"/>
  <c r="K1013" i="1"/>
  <c r="J1013" i="1"/>
  <c r="I1013" i="1"/>
  <c r="D1013" i="1"/>
  <c r="C1013" i="1"/>
  <c r="A1013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B1012" i="1"/>
  <c r="H1012" i="1"/>
  <c r="G1012" i="1"/>
  <c r="F1012" i="1"/>
  <c r="E1012" i="1"/>
  <c r="N1012" i="1"/>
  <c r="M1012" i="1"/>
  <c r="L1012" i="1"/>
  <c r="K1012" i="1"/>
  <c r="J1012" i="1"/>
  <c r="I1012" i="1"/>
  <c r="D1012" i="1"/>
  <c r="C1012" i="1"/>
  <c r="A1012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B1011" i="1"/>
  <c r="H1011" i="1"/>
  <c r="G1011" i="1"/>
  <c r="F1011" i="1"/>
  <c r="E1011" i="1"/>
  <c r="N1011" i="1"/>
  <c r="M1011" i="1"/>
  <c r="L1011" i="1"/>
  <c r="K1011" i="1"/>
  <c r="J1011" i="1"/>
  <c r="I1011" i="1"/>
  <c r="D1011" i="1"/>
  <c r="C1011" i="1"/>
  <c r="A1011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B1010" i="1"/>
  <c r="H1010" i="1"/>
  <c r="G1010" i="1"/>
  <c r="F1010" i="1"/>
  <c r="E1010" i="1"/>
  <c r="N1010" i="1"/>
  <c r="M1010" i="1"/>
  <c r="L1010" i="1"/>
  <c r="K1010" i="1"/>
  <c r="J1010" i="1"/>
  <c r="I1010" i="1"/>
  <c r="D1010" i="1"/>
  <c r="C1010" i="1"/>
  <c r="A1010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B1009" i="1"/>
  <c r="H1009" i="1"/>
  <c r="G1009" i="1"/>
  <c r="F1009" i="1"/>
  <c r="E1009" i="1"/>
  <c r="M1009" i="1"/>
  <c r="L1009" i="1"/>
  <c r="K1009" i="1"/>
  <c r="J1009" i="1"/>
  <c r="I1009" i="1"/>
  <c r="D1009" i="1"/>
  <c r="C1009" i="1"/>
  <c r="A1009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B1008" i="1"/>
  <c r="H1008" i="1"/>
  <c r="G1008" i="1"/>
  <c r="F1008" i="1"/>
  <c r="E1008" i="1"/>
  <c r="N1008" i="1"/>
  <c r="M1008" i="1"/>
  <c r="L1008" i="1"/>
  <c r="K1008" i="1"/>
  <c r="J1008" i="1"/>
  <c r="I1008" i="1"/>
  <c r="D1008" i="1"/>
  <c r="C1008" i="1"/>
  <c r="A1008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B1007" i="1"/>
  <c r="H1007" i="1"/>
  <c r="G1007" i="1"/>
  <c r="F1007" i="1"/>
  <c r="E1007" i="1"/>
  <c r="N1007" i="1"/>
  <c r="M1007" i="1"/>
  <c r="L1007" i="1"/>
  <c r="K1007" i="1"/>
  <c r="J1007" i="1"/>
  <c r="I1007" i="1"/>
  <c r="D1007" i="1"/>
  <c r="C1007" i="1"/>
  <c r="A1007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B1006" i="1"/>
  <c r="H1006" i="1"/>
  <c r="G1006" i="1"/>
  <c r="F1006" i="1"/>
  <c r="E1006" i="1"/>
  <c r="M1006" i="1"/>
  <c r="L1006" i="1"/>
  <c r="K1006" i="1"/>
  <c r="J1006" i="1"/>
  <c r="I1006" i="1"/>
  <c r="D1006" i="1"/>
  <c r="C1006" i="1"/>
  <c r="A1006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B1005" i="1"/>
  <c r="H1005" i="1"/>
  <c r="G1005" i="1"/>
  <c r="F1005" i="1"/>
  <c r="E1005" i="1"/>
  <c r="N1005" i="1"/>
  <c r="M1005" i="1"/>
  <c r="L1005" i="1"/>
  <c r="K1005" i="1"/>
  <c r="J1005" i="1"/>
  <c r="I1005" i="1"/>
  <c r="D1005" i="1"/>
  <c r="C1005" i="1"/>
  <c r="A1005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B1004" i="1"/>
  <c r="H1004" i="1"/>
  <c r="G1004" i="1"/>
  <c r="F1004" i="1"/>
  <c r="E1004" i="1"/>
  <c r="N1004" i="1"/>
  <c r="M1004" i="1"/>
  <c r="L1004" i="1"/>
  <c r="K1004" i="1"/>
  <c r="J1004" i="1"/>
  <c r="I1004" i="1"/>
  <c r="D1004" i="1"/>
  <c r="C1004" i="1"/>
  <c r="A1004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B1003" i="1"/>
  <c r="H1003" i="1"/>
  <c r="G1003" i="1"/>
  <c r="F1003" i="1"/>
  <c r="E1003" i="1"/>
  <c r="N1003" i="1"/>
  <c r="M1003" i="1"/>
  <c r="L1003" i="1"/>
  <c r="K1003" i="1"/>
  <c r="J1003" i="1"/>
  <c r="I1003" i="1"/>
  <c r="D1003" i="1"/>
  <c r="C1003" i="1"/>
  <c r="A1003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B1002" i="1"/>
  <c r="H1002" i="1"/>
  <c r="G1002" i="1"/>
  <c r="F1002" i="1"/>
  <c r="E1002" i="1"/>
  <c r="N1002" i="1"/>
  <c r="M1002" i="1"/>
  <c r="L1002" i="1"/>
  <c r="K1002" i="1"/>
  <c r="J1002" i="1"/>
  <c r="I1002" i="1"/>
  <c r="D1002" i="1"/>
  <c r="C1002" i="1"/>
  <c r="A1002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B1001" i="1"/>
  <c r="H1001" i="1"/>
  <c r="G1001" i="1"/>
  <c r="F1001" i="1"/>
  <c r="E1001" i="1"/>
  <c r="N1001" i="1"/>
  <c r="M1001" i="1"/>
  <c r="L1001" i="1"/>
  <c r="K1001" i="1"/>
  <c r="J1001" i="1"/>
  <c r="I1001" i="1"/>
  <c r="D1001" i="1"/>
  <c r="C1001" i="1"/>
  <c r="A1001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B1000" i="1"/>
  <c r="H1000" i="1"/>
  <c r="G1000" i="1"/>
  <c r="F1000" i="1"/>
  <c r="E1000" i="1"/>
  <c r="N1000" i="1"/>
  <c r="M1000" i="1"/>
  <c r="L1000" i="1"/>
  <c r="K1000" i="1"/>
  <c r="J1000" i="1"/>
  <c r="I1000" i="1"/>
  <c r="D1000" i="1"/>
  <c r="C1000" i="1"/>
  <c r="A1000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B999" i="1"/>
  <c r="H999" i="1"/>
  <c r="G999" i="1"/>
  <c r="F999" i="1"/>
  <c r="E999" i="1"/>
  <c r="N999" i="1"/>
  <c r="M999" i="1"/>
  <c r="L999" i="1"/>
  <c r="K999" i="1"/>
  <c r="J999" i="1"/>
  <c r="I999" i="1"/>
  <c r="D999" i="1"/>
  <c r="C999" i="1"/>
  <c r="A999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B998" i="1"/>
  <c r="H998" i="1"/>
  <c r="G998" i="1"/>
  <c r="F998" i="1"/>
  <c r="E998" i="1"/>
  <c r="N998" i="1"/>
  <c r="M998" i="1"/>
  <c r="L998" i="1"/>
  <c r="K998" i="1"/>
  <c r="J998" i="1"/>
  <c r="I998" i="1"/>
  <c r="D998" i="1"/>
  <c r="C998" i="1"/>
  <c r="A998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B997" i="1"/>
  <c r="H997" i="1"/>
  <c r="G997" i="1"/>
  <c r="F997" i="1"/>
  <c r="E997" i="1"/>
  <c r="N997" i="1"/>
  <c r="M997" i="1"/>
  <c r="L997" i="1"/>
  <c r="K997" i="1"/>
  <c r="J997" i="1"/>
  <c r="I997" i="1"/>
  <c r="D997" i="1"/>
  <c r="C997" i="1"/>
  <c r="A997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B996" i="1"/>
  <c r="H996" i="1"/>
  <c r="G996" i="1"/>
  <c r="F996" i="1"/>
  <c r="E996" i="1"/>
  <c r="N996" i="1"/>
  <c r="M996" i="1"/>
  <c r="L996" i="1"/>
  <c r="K996" i="1"/>
  <c r="J996" i="1"/>
  <c r="I996" i="1"/>
  <c r="D996" i="1"/>
  <c r="C996" i="1"/>
  <c r="A996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B995" i="1"/>
  <c r="H995" i="1"/>
  <c r="G995" i="1"/>
  <c r="F995" i="1"/>
  <c r="E995" i="1"/>
  <c r="N995" i="1"/>
  <c r="M995" i="1"/>
  <c r="L995" i="1"/>
  <c r="K995" i="1"/>
  <c r="J995" i="1"/>
  <c r="I995" i="1"/>
  <c r="D995" i="1"/>
  <c r="C995" i="1"/>
  <c r="A995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B994" i="1"/>
  <c r="H994" i="1"/>
  <c r="G994" i="1"/>
  <c r="F994" i="1"/>
  <c r="E994" i="1"/>
  <c r="N994" i="1"/>
  <c r="M994" i="1"/>
  <c r="L994" i="1"/>
  <c r="K994" i="1"/>
  <c r="J994" i="1"/>
  <c r="I994" i="1"/>
  <c r="D994" i="1"/>
  <c r="C994" i="1"/>
  <c r="A994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B993" i="1"/>
  <c r="H993" i="1"/>
  <c r="G993" i="1"/>
  <c r="F993" i="1"/>
  <c r="E993" i="1"/>
  <c r="N993" i="1"/>
  <c r="M993" i="1"/>
  <c r="L993" i="1"/>
  <c r="K993" i="1"/>
  <c r="J993" i="1"/>
  <c r="I993" i="1"/>
  <c r="D993" i="1"/>
  <c r="C993" i="1"/>
  <c r="A993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B992" i="1"/>
  <c r="H992" i="1"/>
  <c r="G992" i="1"/>
  <c r="F992" i="1"/>
  <c r="E992" i="1"/>
  <c r="N992" i="1"/>
  <c r="M992" i="1"/>
  <c r="L992" i="1"/>
  <c r="K992" i="1"/>
  <c r="J992" i="1"/>
  <c r="I992" i="1"/>
  <c r="D992" i="1"/>
  <c r="C992" i="1"/>
  <c r="A992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B991" i="1"/>
  <c r="H991" i="1"/>
  <c r="G991" i="1"/>
  <c r="F991" i="1"/>
  <c r="E991" i="1"/>
  <c r="N991" i="1"/>
  <c r="M991" i="1"/>
  <c r="L991" i="1"/>
  <c r="K991" i="1"/>
  <c r="J991" i="1"/>
  <c r="I991" i="1"/>
  <c r="D991" i="1"/>
  <c r="C991" i="1"/>
  <c r="A991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B990" i="1"/>
  <c r="H990" i="1"/>
  <c r="G990" i="1"/>
  <c r="F990" i="1"/>
  <c r="E990" i="1"/>
  <c r="N990" i="1"/>
  <c r="M990" i="1"/>
  <c r="L990" i="1"/>
  <c r="K990" i="1"/>
  <c r="J990" i="1"/>
  <c r="I990" i="1"/>
  <c r="D990" i="1"/>
  <c r="C990" i="1"/>
  <c r="A990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B989" i="1"/>
  <c r="H989" i="1"/>
  <c r="G989" i="1"/>
  <c r="F989" i="1"/>
  <c r="E989" i="1"/>
  <c r="N989" i="1"/>
  <c r="M989" i="1"/>
  <c r="L989" i="1"/>
  <c r="K989" i="1"/>
  <c r="J989" i="1"/>
  <c r="I989" i="1"/>
  <c r="D989" i="1"/>
  <c r="C989" i="1"/>
  <c r="A989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B988" i="1"/>
  <c r="H988" i="1"/>
  <c r="G988" i="1"/>
  <c r="F988" i="1"/>
  <c r="E988" i="1"/>
  <c r="N988" i="1"/>
  <c r="M988" i="1"/>
  <c r="L988" i="1"/>
  <c r="K988" i="1"/>
  <c r="J988" i="1"/>
  <c r="I988" i="1"/>
  <c r="D988" i="1"/>
  <c r="C988" i="1"/>
  <c r="A988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B987" i="1"/>
  <c r="H987" i="1"/>
  <c r="G987" i="1"/>
  <c r="F987" i="1"/>
  <c r="E987" i="1"/>
  <c r="N987" i="1"/>
  <c r="M987" i="1"/>
  <c r="L987" i="1"/>
  <c r="K987" i="1"/>
  <c r="J987" i="1"/>
  <c r="I987" i="1"/>
  <c r="D987" i="1"/>
  <c r="C987" i="1"/>
  <c r="A987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B986" i="1"/>
  <c r="H986" i="1"/>
  <c r="G986" i="1"/>
  <c r="F986" i="1"/>
  <c r="E986" i="1"/>
  <c r="N986" i="1"/>
  <c r="M986" i="1"/>
  <c r="L986" i="1"/>
  <c r="K986" i="1"/>
  <c r="J986" i="1"/>
  <c r="I986" i="1"/>
  <c r="D986" i="1"/>
  <c r="C986" i="1"/>
  <c r="A986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B985" i="1"/>
  <c r="H985" i="1"/>
  <c r="G985" i="1"/>
  <c r="F985" i="1"/>
  <c r="E985" i="1"/>
  <c r="N985" i="1"/>
  <c r="M985" i="1"/>
  <c r="L985" i="1"/>
  <c r="K985" i="1"/>
  <c r="J985" i="1"/>
  <c r="I985" i="1"/>
  <c r="D985" i="1"/>
  <c r="C985" i="1"/>
  <c r="A985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B984" i="1"/>
  <c r="H984" i="1"/>
  <c r="G984" i="1"/>
  <c r="F984" i="1"/>
  <c r="E984" i="1"/>
  <c r="N984" i="1"/>
  <c r="M984" i="1"/>
  <c r="L984" i="1"/>
  <c r="K984" i="1"/>
  <c r="J984" i="1"/>
  <c r="I984" i="1"/>
  <c r="D984" i="1"/>
  <c r="C984" i="1"/>
  <c r="A984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B983" i="1"/>
  <c r="H983" i="1"/>
  <c r="G983" i="1"/>
  <c r="F983" i="1"/>
  <c r="E983" i="1"/>
  <c r="N983" i="1"/>
  <c r="M983" i="1"/>
  <c r="L983" i="1"/>
  <c r="K983" i="1"/>
  <c r="J983" i="1"/>
  <c r="I983" i="1"/>
  <c r="D983" i="1"/>
  <c r="C983" i="1"/>
  <c r="A983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B982" i="1"/>
  <c r="H982" i="1"/>
  <c r="G982" i="1"/>
  <c r="F982" i="1"/>
  <c r="E982" i="1"/>
  <c r="N982" i="1"/>
  <c r="M982" i="1"/>
  <c r="L982" i="1"/>
  <c r="K982" i="1"/>
  <c r="J982" i="1"/>
  <c r="I982" i="1"/>
  <c r="D982" i="1"/>
  <c r="C982" i="1"/>
  <c r="A982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B981" i="1"/>
  <c r="H981" i="1"/>
  <c r="G981" i="1"/>
  <c r="F981" i="1"/>
  <c r="E981" i="1"/>
  <c r="N981" i="1"/>
  <c r="M981" i="1"/>
  <c r="L981" i="1"/>
  <c r="K981" i="1"/>
  <c r="J981" i="1"/>
  <c r="I981" i="1"/>
  <c r="D981" i="1"/>
  <c r="C981" i="1"/>
  <c r="A981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B980" i="1"/>
  <c r="H980" i="1"/>
  <c r="G980" i="1"/>
  <c r="F980" i="1"/>
  <c r="E980" i="1"/>
  <c r="M980" i="1"/>
  <c r="L980" i="1"/>
  <c r="K980" i="1"/>
  <c r="J980" i="1"/>
  <c r="I980" i="1"/>
  <c r="D980" i="1"/>
  <c r="C980" i="1"/>
  <c r="A980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B979" i="1"/>
  <c r="H979" i="1"/>
  <c r="G979" i="1"/>
  <c r="F979" i="1"/>
  <c r="E979" i="1"/>
  <c r="N979" i="1"/>
  <c r="M979" i="1"/>
  <c r="L979" i="1"/>
  <c r="K979" i="1"/>
  <c r="J979" i="1"/>
  <c r="I979" i="1"/>
  <c r="D979" i="1"/>
  <c r="C979" i="1"/>
  <c r="A979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B978" i="1"/>
  <c r="H978" i="1"/>
  <c r="G978" i="1"/>
  <c r="F978" i="1"/>
  <c r="E978" i="1"/>
  <c r="N978" i="1"/>
  <c r="M978" i="1"/>
  <c r="L978" i="1"/>
  <c r="K978" i="1"/>
  <c r="J978" i="1"/>
  <c r="I978" i="1"/>
  <c r="D978" i="1"/>
  <c r="C978" i="1"/>
  <c r="A978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B977" i="1"/>
  <c r="H977" i="1"/>
  <c r="G977" i="1"/>
  <c r="F977" i="1"/>
  <c r="E977" i="1"/>
  <c r="N977" i="1"/>
  <c r="M977" i="1"/>
  <c r="L977" i="1"/>
  <c r="K977" i="1"/>
  <c r="J977" i="1"/>
  <c r="I977" i="1"/>
  <c r="D977" i="1"/>
  <c r="C977" i="1"/>
  <c r="A977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B976" i="1"/>
  <c r="H976" i="1"/>
  <c r="G976" i="1"/>
  <c r="F976" i="1"/>
  <c r="E976" i="1"/>
  <c r="N976" i="1"/>
  <c r="M976" i="1"/>
  <c r="L976" i="1"/>
  <c r="K976" i="1"/>
  <c r="J976" i="1"/>
  <c r="I976" i="1"/>
  <c r="D976" i="1"/>
  <c r="C976" i="1"/>
  <c r="A976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B975" i="1"/>
  <c r="H975" i="1"/>
  <c r="G975" i="1"/>
  <c r="F975" i="1"/>
  <c r="E975" i="1"/>
  <c r="N975" i="1"/>
  <c r="M975" i="1"/>
  <c r="L975" i="1"/>
  <c r="K975" i="1"/>
  <c r="J975" i="1"/>
  <c r="I975" i="1"/>
  <c r="D975" i="1"/>
  <c r="C975" i="1"/>
  <c r="A975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B974" i="1"/>
  <c r="H974" i="1"/>
  <c r="G974" i="1"/>
  <c r="F974" i="1"/>
  <c r="E974" i="1"/>
  <c r="N974" i="1"/>
  <c r="M974" i="1"/>
  <c r="L974" i="1"/>
  <c r="K974" i="1"/>
  <c r="J974" i="1"/>
  <c r="I974" i="1"/>
  <c r="D974" i="1"/>
  <c r="C974" i="1"/>
  <c r="A974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B973" i="1"/>
  <c r="H973" i="1"/>
  <c r="G973" i="1"/>
  <c r="F973" i="1"/>
  <c r="E973" i="1"/>
  <c r="N973" i="1"/>
  <c r="M973" i="1"/>
  <c r="L973" i="1"/>
  <c r="K973" i="1"/>
  <c r="J973" i="1"/>
  <c r="I973" i="1"/>
  <c r="D973" i="1"/>
  <c r="C973" i="1"/>
  <c r="A973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B972" i="1"/>
  <c r="H972" i="1"/>
  <c r="G972" i="1"/>
  <c r="F972" i="1"/>
  <c r="E972" i="1"/>
  <c r="N972" i="1"/>
  <c r="M972" i="1"/>
  <c r="L972" i="1"/>
  <c r="K972" i="1"/>
  <c r="J972" i="1"/>
  <c r="I972" i="1"/>
  <c r="D972" i="1"/>
  <c r="C972" i="1"/>
  <c r="A972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B971" i="1"/>
  <c r="H971" i="1"/>
  <c r="G971" i="1"/>
  <c r="F971" i="1"/>
  <c r="E971" i="1"/>
  <c r="N971" i="1"/>
  <c r="M971" i="1"/>
  <c r="L971" i="1"/>
  <c r="K971" i="1"/>
  <c r="J971" i="1"/>
  <c r="I971" i="1"/>
  <c r="D971" i="1"/>
  <c r="C971" i="1"/>
  <c r="A971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B970" i="1"/>
  <c r="H970" i="1"/>
  <c r="G970" i="1"/>
  <c r="F970" i="1"/>
  <c r="E970" i="1"/>
  <c r="N970" i="1"/>
  <c r="M970" i="1"/>
  <c r="L970" i="1"/>
  <c r="K970" i="1"/>
  <c r="J970" i="1"/>
  <c r="I970" i="1"/>
  <c r="D970" i="1"/>
  <c r="C970" i="1"/>
  <c r="A970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B969" i="1"/>
  <c r="H969" i="1"/>
  <c r="G969" i="1"/>
  <c r="F969" i="1"/>
  <c r="E969" i="1"/>
  <c r="N969" i="1"/>
  <c r="M969" i="1"/>
  <c r="L969" i="1"/>
  <c r="K969" i="1"/>
  <c r="J969" i="1"/>
  <c r="I969" i="1"/>
  <c r="D969" i="1"/>
  <c r="C969" i="1"/>
  <c r="A969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B968" i="1"/>
  <c r="H968" i="1"/>
  <c r="G968" i="1"/>
  <c r="F968" i="1"/>
  <c r="E968" i="1"/>
  <c r="N968" i="1"/>
  <c r="M968" i="1"/>
  <c r="L968" i="1"/>
  <c r="K968" i="1"/>
  <c r="J968" i="1"/>
  <c r="I968" i="1"/>
  <c r="D968" i="1"/>
  <c r="C968" i="1"/>
  <c r="A968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B967" i="1"/>
  <c r="H967" i="1"/>
  <c r="G967" i="1"/>
  <c r="F967" i="1"/>
  <c r="E967" i="1"/>
  <c r="N967" i="1"/>
  <c r="M967" i="1"/>
  <c r="L967" i="1"/>
  <c r="K967" i="1"/>
  <c r="J967" i="1"/>
  <c r="I967" i="1"/>
  <c r="D967" i="1"/>
  <c r="C967" i="1"/>
  <c r="A967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B966" i="1"/>
  <c r="H966" i="1"/>
  <c r="G966" i="1"/>
  <c r="F966" i="1"/>
  <c r="E966" i="1"/>
  <c r="N966" i="1"/>
  <c r="M966" i="1"/>
  <c r="L966" i="1"/>
  <c r="K966" i="1"/>
  <c r="J966" i="1"/>
  <c r="I966" i="1"/>
  <c r="D966" i="1"/>
  <c r="C966" i="1"/>
  <c r="A966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B965" i="1"/>
  <c r="H965" i="1"/>
  <c r="G965" i="1"/>
  <c r="F965" i="1"/>
  <c r="E965" i="1"/>
  <c r="N965" i="1"/>
  <c r="M965" i="1"/>
  <c r="L965" i="1"/>
  <c r="K965" i="1"/>
  <c r="J965" i="1"/>
  <c r="I965" i="1"/>
  <c r="D965" i="1"/>
  <c r="C965" i="1"/>
  <c r="A965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B964" i="1"/>
  <c r="H964" i="1"/>
  <c r="G964" i="1"/>
  <c r="F964" i="1"/>
  <c r="E964" i="1"/>
  <c r="N964" i="1"/>
  <c r="M964" i="1"/>
  <c r="L964" i="1"/>
  <c r="K964" i="1"/>
  <c r="J964" i="1"/>
  <c r="I964" i="1"/>
  <c r="D964" i="1"/>
  <c r="C964" i="1"/>
  <c r="A964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B963" i="1"/>
  <c r="H963" i="1"/>
  <c r="G963" i="1"/>
  <c r="F963" i="1"/>
  <c r="E963" i="1"/>
  <c r="N963" i="1"/>
  <c r="M963" i="1"/>
  <c r="L963" i="1"/>
  <c r="K963" i="1"/>
  <c r="J963" i="1"/>
  <c r="I963" i="1"/>
  <c r="D963" i="1"/>
  <c r="C963" i="1"/>
  <c r="A963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B962" i="1"/>
  <c r="H962" i="1"/>
  <c r="G962" i="1"/>
  <c r="F962" i="1"/>
  <c r="E962" i="1"/>
  <c r="N962" i="1"/>
  <c r="M962" i="1"/>
  <c r="L962" i="1"/>
  <c r="K962" i="1"/>
  <c r="J962" i="1"/>
  <c r="I962" i="1"/>
  <c r="D962" i="1"/>
  <c r="C962" i="1"/>
  <c r="A962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B961" i="1"/>
  <c r="H961" i="1"/>
  <c r="G961" i="1"/>
  <c r="F961" i="1"/>
  <c r="E961" i="1"/>
  <c r="N961" i="1"/>
  <c r="M961" i="1"/>
  <c r="L961" i="1"/>
  <c r="K961" i="1"/>
  <c r="J961" i="1"/>
  <c r="I961" i="1"/>
  <c r="D961" i="1"/>
  <c r="C961" i="1"/>
  <c r="A961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B960" i="1"/>
  <c r="H960" i="1"/>
  <c r="G960" i="1"/>
  <c r="F960" i="1"/>
  <c r="E960" i="1"/>
  <c r="N960" i="1"/>
  <c r="M960" i="1"/>
  <c r="L960" i="1"/>
  <c r="K960" i="1"/>
  <c r="J960" i="1"/>
  <c r="I960" i="1"/>
  <c r="D960" i="1"/>
  <c r="C960" i="1"/>
  <c r="A960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B959" i="1"/>
  <c r="H959" i="1"/>
  <c r="G959" i="1"/>
  <c r="F959" i="1"/>
  <c r="E959" i="1"/>
  <c r="N959" i="1"/>
  <c r="M959" i="1"/>
  <c r="L959" i="1"/>
  <c r="K959" i="1"/>
  <c r="J959" i="1"/>
  <c r="I959" i="1"/>
  <c r="D959" i="1"/>
  <c r="C959" i="1"/>
  <c r="A959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B958" i="1"/>
  <c r="H958" i="1"/>
  <c r="G958" i="1"/>
  <c r="F958" i="1"/>
  <c r="E958" i="1"/>
  <c r="M958" i="1"/>
  <c r="L958" i="1"/>
  <c r="K958" i="1"/>
  <c r="J958" i="1"/>
  <c r="I958" i="1"/>
  <c r="D958" i="1"/>
  <c r="C958" i="1"/>
  <c r="A958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B957" i="1"/>
  <c r="H957" i="1"/>
  <c r="G957" i="1"/>
  <c r="F957" i="1"/>
  <c r="E957" i="1"/>
  <c r="N957" i="1"/>
  <c r="M957" i="1"/>
  <c r="L957" i="1"/>
  <c r="K957" i="1"/>
  <c r="J957" i="1"/>
  <c r="I957" i="1"/>
  <c r="D957" i="1"/>
  <c r="C957" i="1"/>
  <c r="A957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B956" i="1"/>
  <c r="H956" i="1"/>
  <c r="G956" i="1"/>
  <c r="F956" i="1"/>
  <c r="E956" i="1"/>
  <c r="N956" i="1"/>
  <c r="M956" i="1"/>
  <c r="L956" i="1"/>
  <c r="K956" i="1"/>
  <c r="J956" i="1"/>
  <c r="I956" i="1"/>
  <c r="D956" i="1"/>
  <c r="C956" i="1"/>
  <c r="A956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B955" i="1"/>
  <c r="H955" i="1"/>
  <c r="G955" i="1"/>
  <c r="F955" i="1"/>
  <c r="E955" i="1"/>
  <c r="N955" i="1"/>
  <c r="M955" i="1"/>
  <c r="L955" i="1"/>
  <c r="K955" i="1"/>
  <c r="J955" i="1"/>
  <c r="I955" i="1"/>
  <c r="D955" i="1"/>
  <c r="C955" i="1"/>
  <c r="A955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B954" i="1"/>
  <c r="H954" i="1"/>
  <c r="G954" i="1"/>
  <c r="F954" i="1"/>
  <c r="E954" i="1"/>
  <c r="N954" i="1"/>
  <c r="M954" i="1"/>
  <c r="L954" i="1"/>
  <c r="K954" i="1"/>
  <c r="J954" i="1"/>
  <c r="I954" i="1"/>
  <c r="D954" i="1"/>
  <c r="C954" i="1"/>
  <c r="A954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B953" i="1"/>
  <c r="H953" i="1"/>
  <c r="G953" i="1"/>
  <c r="F953" i="1"/>
  <c r="E953" i="1"/>
  <c r="N953" i="1"/>
  <c r="M953" i="1"/>
  <c r="L953" i="1"/>
  <c r="K953" i="1"/>
  <c r="J953" i="1"/>
  <c r="I953" i="1"/>
  <c r="D953" i="1"/>
  <c r="C953" i="1"/>
  <c r="A953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B952" i="1"/>
  <c r="H952" i="1"/>
  <c r="G952" i="1"/>
  <c r="F952" i="1"/>
  <c r="E952" i="1"/>
  <c r="N952" i="1"/>
  <c r="M952" i="1"/>
  <c r="L952" i="1"/>
  <c r="K952" i="1"/>
  <c r="J952" i="1"/>
  <c r="I952" i="1"/>
  <c r="D952" i="1"/>
  <c r="C952" i="1"/>
  <c r="A952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B951" i="1"/>
  <c r="H951" i="1"/>
  <c r="G951" i="1"/>
  <c r="F951" i="1"/>
  <c r="E951" i="1"/>
  <c r="N951" i="1"/>
  <c r="M951" i="1"/>
  <c r="L951" i="1"/>
  <c r="K951" i="1"/>
  <c r="J951" i="1"/>
  <c r="I951" i="1"/>
  <c r="D951" i="1"/>
  <c r="C951" i="1"/>
  <c r="A951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B950" i="1"/>
  <c r="H950" i="1"/>
  <c r="G950" i="1"/>
  <c r="F950" i="1"/>
  <c r="E950" i="1"/>
  <c r="M950" i="1"/>
  <c r="L950" i="1"/>
  <c r="K950" i="1"/>
  <c r="J950" i="1"/>
  <c r="I950" i="1"/>
  <c r="D950" i="1"/>
  <c r="C950" i="1"/>
  <c r="A950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B949" i="1"/>
  <c r="H949" i="1"/>
  <c r="G949" i="1"/>
  <c r="F949" i="1"/>
  <c r="E949" i="1"/>
  <c r="N949" i="1"/>
  <c r="M949" i="1"/>
  <c r="L949" i="1"/>
  <c r="K949" i="1"/>
  <c r="J949" i="1"/>
  <c r="I949" i="1"/>
  <c r="D949" i="1"/>
  <c r="C949" i="1"/>
  <c r="A949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B948" i="1"/>
  <c r="H948" i="1"/>
  <c r="G948" i="1"/>
  <c r="F948" i="1"/>
  <c r="E948" i="1"/>
  <c r="N948" i="1"/>
  <c r="M948" i="1"/>
  <c r="L948" i="1"/>
  <c r="K948" i="1"/>
  <c r="J948" i="1"/>
  <c r="I948" i="1"/>
  <c r="D948" i="1"/>
  <c r="C948" i="1"/>
  <c r="A948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B947" i="1"/>
  <c r="H947" i="1"/>
  <c r="G947" i="1"/>
  <c r="F947" i="1"/>
  <c r="E947" i="1"/>
  <c r="N947" i="1"/>
  <c r="M947" i="1"/>
  <c r="L947" i="1"/>
  <c r="K947" i="1"/>
  <c r="J947" i="1"/>
  <c r="I947" i="1"/>
  <c r="D947" i="1"/>
  <c r="C947" i="1"/>
  <c r="A947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B946" i="1"/>
  <c r="H946" i="1"/>
  <c r="G946" i="1"/>
  <c r="F946" i="1"/>
  <c r="E946" i="1"/>
  <c r="N946" i="1"/>
  <c r="M946" i="1"/>
  <c r="L946" i="1"/>
  <c r="K946" i="1"/>
  <c r="J946" i="1"/>
  <c r="I946" i="1"/>
  <c r="D946" i="1"/>
  <c r="C946" i="1"/>
  <c r="A946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B945" i="1"/>
  <c r="H945" i="1"/>
  <c r="G945" i="1"/>
  <c r="F945" i="1"/>
  <c r="E945" i="1"/>
  <c r="N945" i="1"/>
  <c r="M945" i="1"/>
  <c r="L945" i="1"/>
  <c r="K945" i="1"/>
  <c r="J945" i="1"/>
  <c r="I945" i="1"/>
  <c r="D945" i="1"/>
  <c r="C945" i="1"/>
  <c r="A945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B944" i="1"/>
  <c r="H944" i="1"/>
  <c r="G944" i="1"/>
  <c r="F944" i="1"/>
  <c r="E944" i="1"/>
  <c r="N944" i="1"/>
  <c r="M944" i="1"/>
  <c r="L944" i="1"/>
  <c r="K944" i="1"/>
  <c r="J944" i="1"/>
  <c r="I944" i="1"/>
  <c r="D944" i="1"/>
  <c r="C944" i="1"/>
  <c r="A944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B943" i="1"/>
  <c r="H943" i="1"/>
  <c r="G943" i="1"/>
  <c r="F943" i="1"/>
  <c r="E943" i="1"/>
  <c r="N943" i="1"/>
  <c r="M943" i="1"/>
  <c r="L943" i="1"/>
  <c r="K943" i="1"/>
  <c r="J943" i="1"/>
  <c r="I943" i="1"/>
  <c r="D943" i="1"/>
  <c r="C943" i="1"/>
  <c r="A943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B942" i="1"/>
  <c r="H942" i="1"/>
  <c r="G942" i="1"/>
  <c r="F942" i="1"/>
  <c r="E942" i="1"/>
  <c r="M942" i="1"/>
  <c r="L942" i="1"/>
  <c r="K942" i="1"/>
  <c r="J942" i="1"/>
  <c r="I942" i="1"/>
  <c r="D942" i="1"/>
  <c r="C942" i="1"/>
  <c r="A942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B941" i="1"/>
  <c r="H941" i="1"/>
  <c r="G941" i="1"/>
  <c r="F941" i="1"/>
  <c r="E941" i="1"/>
  <c r="N941" i="1"/>
  <c r="M941" i="1"/>
  <c r="L941" i="1"/>
  <c r="K941" i="1"/>
  <c r="J941" i="1"/>
  <c r="I941" i="1"/>
  <c r="D941" i="1"/>
  <c r="C941" i="1"/>
  <c r="A941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B940" i="1"/>
  <c r="H940" i="1"/>
  <c r="G940" i="1"/>
  <c r="F940" i="1"/>
  <c r="E940" i="1"/>
  <c r="N940" i="1"/>
  <c r="M940" i="1"/>
  <c r="L940" i="1"/>
  <c r="K940" i="1"/>
  <c r="J940" i="1"/>
  <c r="I940" i="1"/>
  <c r="D940" i="1"/>
  <c r="C940" i="1"/>
  <c r="A940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B939" i="1"/>
  <c r="H939" i="1"/>
  <c r="G939" i="1"/>
  <c r="F939" i="1"/>
  <c r="E939" i="1"/>
  <c r="N939" i="1"/>
  <c r="M939" i="1"/>
  <c r="L939" i="1"/>
  <c r="K939" i="1"/>
  <c r="J939" i="1"/>
  <c r="I939" i="1"/>
  <c r="D939" i="1"/>
  <c r="C939" i="1"/>
  <c r="A939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B938" i="1"/>
  <c r="H938" i="1"/>
  <c r="G938" i="1"/>
  <c r="F938" i="1"/>
  <c r="E938" i="1"/>
  <c r="N938" i="1"/>
  <c r="M938" i="1"/>
  <c r="L938" i="1"/>
  <c r="K938" i="1"/>
  <c r="J938" i="1"/>
  <c r="I938" i="1"/>
  <c r="D938" i="1"/>
  <c r="C938" i="1"/>
  <c r="A938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B937" i="1"/>
  <c r="H937" i="1"/>
  <c r="G937" i="1"/>
  <c r="F937" i="1"/>
  <c r="E937" i="1"/>
  <c r="M937" i="1"/>
  <c r="L937" i="1"/>
  <c r="K937" i="1"/>
  <c r="J937" i="1"/>
  <c r="I937" i="1"/>
  <c r="D937" i="1"/>
  <c r="C937" i="1"/>
  <c r="A937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B936" i="1"/>
  <c r="H936" i="1"/>
  <c r="G936" i="1"/>
  <c r="F936" i="1"/>
  <c r="E936" i="1"/>
  <c r="N936" i="1"/>
  <c r="M936" i="1"/>
  <c r="L936" i="1"/>
  <c r="K936" i="1"/>
  <c r="J936" i="1"/>
  <c r="I936" i="1"/>
  <c r="D936" i="1"/>
  <c r="C936" i="1"/>
  <c r="A936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B935" i="1"/>
  <c r="H935" i="1"/>
  <c r="G935" i="1"/>
  <c r="F935" i="1"/>
  <c r="E935" i="1"/>
  <c r="N935" i="1"/>
  <c r="M935" i="1"/>
  <c r="L935" i="1"/>
  <c r="K935" i="1"/>
  <c r="J935" i="1"/>
  <c r="I935" i="1"/>
  <c r="D935" i="1"/>
  <c r="C935" i="1"/>
  <c r="A935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B934" i="1"/>
  <c r="H934" i="1"/>
  <c r="G934" i="1"/>
  <c r="F934" i="1"/>
  <c r="E934" i="1"/>
  <c r="N934" i="1"/>
  <c r="M934" i="1"/>
  <c r="L934" i="1"/>
  <c r="K934" i="1"/>
  <c r="J934" i="1"/>
  <c r="I934" i="1"/>
  <c r="D934" i="1"/>
  <c r="C934" i="1"/>
  <c r="A934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B933" i="1"/>
  <c r="H933" i="1"/>
  <c r="G933" i="1"/>
  <c r="F933" i="1"/>
  <c r="E933" i="1"/>
  <c r="N933" i="1"/>
  <c r="M933" i="1"/>
  <c r="L933" i="1"/>
  <c r="K933" i="1"/>
  <c r="J933" i="1"/>
  <c r="I933" i="1"/>
  <c r="D933" i="1"/>
  <c r="C933" i="1"/>
  <c r="A933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B932" i="1"/>
  <c r="H932" i="1"/>
  <c r="G932" i="1"/>
  <c r="F932" i="1"/>
  <c r="E932" i="1"/>
  <c r="N932" i="1"/>
  <c r="M932" i="1"/>
  <c r="L932" i="1"/>
  <c r="K932" i="1"/>
  <c r="J932" i="1"/>
  <c r="I932" i="1"/>
  <c r="D932" i="1"/>
  <c r="C932" i="1"/>
  <c r="A932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B931" i="1"/>
  <c r="H931" i="1"/>
  <c r="G931" i="1"/>
  <c r="F931" i="1"/>
  <c r="E931" i="1"/>
  <c r="N931" i="1"/>
  <c r="M931" i="1"/>
  <c r="L931" i="1"/>
  <c r="K931" i="1"/>
  <c r="J931" i="1"/>
  <c r="I931" i="1"/>
  <c r="D931" i="1"/>
  <c r="C931" i="1"/>
  <c r="A931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B930" i="1"/>
  <c r="H930" i="1"/>
  <c r="G930" i="1"/>
  <c r="F930" i="1"/>
  <c r="E930" i="1"/>
  <c r="N930" i="1"/>
  <c r="M930" i="1"/>
  <c r="L930" i="1"/>
  <c r="K930" i="1"/>
  <c r="J930" i="1"/>
  <c r="I930" i="1"/>
  <c r="D930" i="1"/>
  <c r="C930" i="1"/>
  <c r="A930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B929" i="1"/>
  <c r="H929" i="1"/>
  <c r="G929" i="1"/>
  <c r="F929" i="1"/>
  <c r="E929" i="1"/>
  <c r="N929" i="1"/>
  <c r="M929" i="1"/>
  <c r="L929" i="1"/>
  <c r="K929" i="1"/>
  <c r="J929" i="1"/>
  <c r="I929" i="1"/>
  <c r="D929" i="1"/>
  <c r="C929" i="1"/>
  <c r="A929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B928" i="1"/>
  <c r="H928" i="1"/>
  <c r="G928" i="1"/>
  <c r="F928" i="1"/>
  <c r="E928" i="1"/>
  <c r="N928" i="1"/>
  <c r="M928" i="1"/>
  <c r="L928" i="1"/>
  <c r="K928" i="1"/>
  <c r="J928" i="1"/>
  <c r="I928" i="1"/>
  <c r="D928" i="1"/>
  <c r="C928" i="1"/>
  <c r="A928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B927" i="1"/>
  <c r="H927" i="1"/>
  <c r="G927" i="1"/>
  <c r="F927" i="1"/>
  <c r="E927" i="1"/>
  <c r="N927" i="1"/>
  <c r="M927" i="1"/>
  <c r="L927" i="1"/>
  <c r="K927" i="1"/>
  <c r="J927" i="1"/>
  <c r="I927" i="1"/>
  <c r="D927" i="1"/>
  <c r="C927" i="1"/>
  <c r="A927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B926" i="1"/>
  <c r="H926" i="1"/>
  <c r="G926" i="1"/>
  <c r="F926" i="1"/>
  <c r="E926" i="1"/>
  <c r="N926" i="1"/>
  <c r="M926" i="1"/>
  <c r="L926" i="1"/>
  <c r="K926" i="1"/>
  <c r="J926" i="1"/>
  <c r="I926" i="1"/>
  <c r="D926" i="1"/>
  <c r="C926" i="1"/>
  <c r="A926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B925" i="1"/>
  <c r="H925" i="1"/>
  <c r="G925" i="1"/>
  <c r="F925" i="1"/>
  <c r="E925" i="1"/>
  <c r="N925" i="1"/>
  <c r="M925" i="1"/>
  <c r="L925" i="1"/>
  <c r="K925" i="1"/>
  <c r="J925" i="1"/>
  <c r="I925" i="1"/>
  <c r="D925" i="1"/>
  <c r="C925" i="1"/>
  <c r="A925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B924" i="1"/>
  <c r="H924" i="1"/>
  <c r="G924" i="1"/>
  <c r="F924" i="1"/>
  <c r="E924" i="1"/>
  <c r="N924" i="1"/>
  <c r="M924" i="1"/>
  <c r="L924" i="1"/>
  <c r="K924" i="1"/>
  <c r="J924" i="1"/>
  <c r="I924" i="1"/>
  <c r="D924" i="1"/>
  <c r="C924" i="1"/>
  <c r="A924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B923" i="1"/>
  <c r="H923" i="1"/>
  <c r="G923" i="1"/>
  <c r="F923" i="1"/>
  <c r="E923" i="1"/>
  <c r="N923" i="1"/>
  <c r="M923" i="1"/>
  <c r="L923" i="1"/>
  <c r="K923" i="1"/>
  <c r="J923" i="1"/>
  <c r="I923" i="1"/>
  <c r="D923" i="1"/>
  <c r="C923" i="1"/>
  <c r="A923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B922" i="1"/>
  <c r="H922" i="1"/>
  <c r="G922" i="1"/>
  <c r="F922" i="1"/>
  <c r="E922" i="1"/>
  <c r="N922" i="1"/>
  <c r="M922" i="1"/>
  <c r="L922" i="1"/>
  <c r="K922" i="1"/>
  <c r="J922" i="1"/>
  <c r="I922" i="1"/>
  <c r="D922" i="1"/>
  <c r="C922" i="1"/>
  <c r="A922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B921" i="1"/>
  <c r="H921" i="1"/>
  <c r="G921" i="1"/>
  <c r="F921" i="1"/>
  <c r="E921" i="1"/>
  <c r="N921" i="1"/>
  <c r="M921" i="1"/>
  <c r="L921" i="1"/>
  <c r="K921" i="1"/>
  <c r="J921" i="1"/>
  <c r="I921" i="1"/>
  <c r="D921" i="1"/>
  <c r="C921" i="1"/>
  <c r="A921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B920" i="1"/>
  <c r="H920" i="1"/>
  <c r="G920" i="1"/>
  <c r="F920" i="1"/>
  <c r="E920" i="1"/>
  <c r="N920" i="1"/>
  <c r="M920" i="1"/>
  <c r="L920" i="1"/>
  <c r="K920" i="1"/>
  <c r="J920" i="1"/>
  <c r="I920" i="1"/>
  <c r="D920" i="1"/>
  <c r="C920" i="1"/>
  <c r="A920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B919" i="1"/>
  <c r="H919" i="1"/>
  <c r="G919" i="1"/>
  <c r="F919" i="1"/>
  <c r="E919" i="1"/>
  <c r="N919" i="1"/>
  <c r="M919" i="1"/>
  <c r="L919" i="1"/>
  <c r="K919" i="1"/>
  <c r="J919" i="1"/>
  <c r="I919" i="1"/>
  <c r="D919" i="1"/>
  <c r="C919" i="1"/>
  <c r="A919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B918" i="1"/>
  <c r="H918" i="1"/>
  <c r="G918" i="1"/>
  <c r="F918" i="1"/>
  <c r="E918" i="1"/>
  <c r="N918" i="1"/>
  <c r="M918" i="1"/>
  <c r="L918" i="1"/>
  <c r="K918" i="1"/>
  <c r="J918" i="1"/>
  <c r="I918" i="1"/>
  <c r="D918" i="1"/>
  <c r="C918" i="1"/>
  <c r="A918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B917" i="1"/>
  <c r="H917" i="1"/>
  <c r="G917" i="1"/>
  <c r="F917" i="1"/>
  <c r="E917" i="1"/>
  <c r="N917" i="1"/>
  <c r="M917" i="1"/>
  <c r="L917" i="1"/>
  <c r="K917" i="1"/>
  <c r="J917" i="1"/>
  <c r="I917" i="1"/>
  <c r="D917" i="1"/>
  <c r="C917" i="1"/>
  <c r="A917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B916" i="1"/>
  <c r="H916" i="1"/>
  <c r="G916" i="1"/>
  <c r="F916" i="1"/>
  <c r="E916" i="1"/>
  <c r="N916" i="1"/>
  <c r="M916" i="1"/>
  <c r="L916" i="1"/>
  <c r="K916" i="1"/>
  <c r="J916" i="1"/>
  <c r="I916" i="1"/>
  <c r="D916" i="1"/>
  <c r="C916" i="1"/>
  <c r="A916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B915" i="1"/>
  <c r="H915" i="1"/>
  <c r="G915" i="1"/>
  <c r="F915" i="1"/>
  <c r="E915" i="1"/>
  <c r="N915" i="1"/>
  <c r="M915" i="1"/>
  <c r="L915" i="1"/>
  <c r="K915" i="1"/>
  <c r="J915" i="1"/>
  <c r="I915" i="1"/>
  <c r="D915" i="1"/>
  <c r="C915" i="1"/>
  <c r="A915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B914" i="1"/>
  <c r="H914" i="1"/>
  <c r="G914" i="1"/>
  <c r="F914" i="1"/>
  <c r="E914" i="1"/>
  <c r="N914" i="1"/>
  <c r="M914" i="1"/>
  <c r="L914" i="1"/>
  <c r="K914" i="1"/>
  <c r="J914" i="1"/>
  <c r="I914" i="1"/>
  <c r="D914" i="1"/>
  <c r="C914" i="1"/>
  <c r="A914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B913" i="1"/>
  <c r="H913" i="1"/>
  <c r="G913" i="1"/>
  <c r="F913" i="1"/>
  <c r="E913" i="1"/>
  <c r="N913" i="1"/>
  <c r="M913" i="1"/>
  <c r="L913" i="1"/>
  <c r="K913" i="1"/>
  <c r="J913" i="1"/>
  <c r="I913" i="1"/>
  <c r="D913" i="1"/>
  <c r="C913" i="1"/>
  <c r="A913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B912" i="1"/>
  <c r="H912" i="1"/>
  <c r="G912" i="1"/>
  <c r="F912" i="1"/>
  <c r="E912" i="1"/>
  <c r="N912" i="1"/>
  <c r="M912" i="1"/>
  <c r="L912" i="1"/>
  <c r="K912" i="1"/>
  <c r="J912" i="1"/>
  <c r="I912" i="1"/>
  <c r="D912" i="1"/>
  <c r="C912" i="1"/>
  <c r="A912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B911" i="1"/>
  <c r="H911" i="1"/>
  <c r="G911" i="1"/>
  <c r="F911" i="1"/>
  <c r="E911" i="1"/>
  <c r="N911" i="1"/>
  <c r="M911" i="1"/>
  <c r="L911" i="1"/>
  <c r="K911" i="1"/>
  <c r="J911" i="1"/>
  <c r="I911" i="1"/>
  <c r="D911" i="1"/>
  <c r="C911" i="1"/>
  <c r="A911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B910" i="1"/>
  <c r="H910" i="1"/>
  <c r="G910" i="1"/>
  <c r="F910" i="1"/>
  <c r="E910" i="1"/>
  <c r="N910" i="1"/>
  <c r="M910" i="1"/>
  <c r="L910" i="1"/>
  <c r="K910" i="1"/>
  <c r="J910" i="1"/>
  <c r="I910" i="1"/>
  <c r="D910" i="1"/>
  <c r="C910" i="1"/>
  <c r="A910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B909" i="1"/>
  <c r="H909" i="1"/>
  <c r="G909" i="1"/>
  <c r="F909" i="1"/>
  <c r="E909" i="1"/>
  <c r="N909" i="1"/>
  <c r="M909" i="1"/>
  <c r="L909" i="1"/>
  <c r="K909" i="1"/>
  <c r="J909" i="1"/>
  <c r="I909" i="1"/>
  <c r="D909" i="1"/>
  <c r="C909" i="1"/>
  <c r="A909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B908" i="1"/>
  <c r="H908" i="1"/>
  <c r="G908" i="1"/>
  <c r="F908" i="1"/>
  <c r="E908" i="1"/>
  <c r="N908" i="1"/>
  <c r="M908" i="1"/>
  <c r="L908" i="1"/>
  <c r="K908" i="1"/>
  <c r="J908" i="1"/>
  <c r="I908" i="1"/>
  <c r="D908" i="1"/>
  <c r="C908" i="1"/>
  <c r="A908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B907" i="1"/>
  <c r="H907" i="1"/>
  <c r="G907" i="1"/>
  <c r="F907" i="1"/>
  <c r="E907" i="1"/>
  <c r="N907" i="1"/>
  <c r="M907" i="1"/>
  <c r="L907" i="1"/>
  <c r="K907" i="1"/>
  <c r="J907" i="1"/>
  <c r="I907" i="1"/>
  <c r="D907" i="1"/>
  <c r="C907" i="1"/>
  <c r="A907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B906" i="1"/>
  <c r="H906" i="1"/>
  <c r="G906" i="1"/>
  <c r="F906" i="1"/>
  <c r="E906" i="1"/>
  <c r="M906" i="1"/>
  <c r="L906" i="1"/>
  <c r="K906" i="1"/>
  <c r="J906" i="1"/>
  <c r="I906" i="1"/>
  <c r="D906" i="1"/>
  <c r="C906" i="1"/>
  <c r="A906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B905" i="1"/>
  <c r="H905" i="1"/>
  <c r="G905" i="1"/>
  <c r="F905" i="1"/>
  <c r="E905" i="1"/>
  <c r="N905" i="1"/>
  <c r="M905" i="1"/>
  <c r="L905" i="1"/>
  <c r="K905" i="1"/>
  <c r="J905" i="1"/>
  <c r="I905" i="1"/>
  <c r="D905" i="1"/>
  <c r="C905" i="1"/>
  <c r="A905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B904" i="1"/>
  <c r="H904" i="1"/>
  <c r="G904" i="1"/>
  <c r="F904" i="1"/>
  <c r="E904" i="1"/>
  <c r="N904" i="1"/>
  <c r="M904" i="1"/>
  <c r="L904" i="1"/>
  <c r="K904" i="1"/>
  <c r="J904" i="1"/>
  <c r="I904" i="1"/>
  <c r="D904" i="1"/>
  <c r="C904" i="1"/>
  <c r="A904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B903" i="1"/>
  <c r="H903" i="1"/>
  <c r="G903" i="1"/>
  <c r="F903" i="1"/>
  <c r="E903" i="1"/>
  <c r="N903" i="1"/>
  <c r="M903" i="1"/>
  <c r="L903" i="1"/>
  <c r="K903" i="1"/>
  <c r="J903" i="1"/>
  <c r="I903" i="1"/>
  <c r="D903" i="1"/>
  <c r="C903" i="1"/>
  <c r="A903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B902" i="1"/>
  <c r="H902" i="1"/>
  <c r="G902" i="1"/>
  <c r="F902" i="1"/>
  <c r="E902" i="1"/>
  <c r="N902" i="1"/>
  <c r="M902" i="1"/>
  <c r="L902" i="1"/>
  <c r="K902" i="1"/>
  <c r="J902" i="1"/>
  <c r="I902" i="1"/>
  <c r="D902" i="1"/>
  <c r="C902" i="1"/>
  <c r="A902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B901" i="1"/>
  <c r="H901" i="1"/>
  <c r="G901" i="1"/>
  <c r="F901" i="1"/>
  <c r="E901" i="1"/>
  <c r="N901" i="1"/>
  <c r="M901" i="1"/>
  <c r="L901" i="1"/>
  <c r="K901" i="1"/>
  <c r="J901" i="1"/>
  <c r="I901" i="1"/>
  <c r="D901" i="1"/>
  <c r="C901" i="1"/>
  <c r="A901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B900" i="1"/>
  <c r="H900" i="1"/>
  <c r="G900" i="1"/>
  <c r="F900" i="1"/>
  <c r="E900" i="1"/>
  <c r="N900" i="1"/>
  <c r="M900" i="1"/>
  <c r="L900" i="1"/>
  <c r="K900" i="1"/>
  <c r="J900" i="1"/>
  <c r="I900" i="1"/>
  <c r="D900" i="1"/>
  <c r="C900" i="1"/>
  <c r="A900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B899" i="1"/>
  <c r="H899" i="1"/>
  <c r="G899" i="1"/>
  <c r="F899" i="1"/>
  <c r="E899" i="1"/>
  <c r="N899" i="1"/>
  <c r="M899" i="1"/>
  <c r="L899" i="1"/>
  <c r="K899" i="1"/>
  <c r="J899" i="1"/>
  <c r="I899" i="1"/>
  <c r="D899" i="1"/>
  <c r="C899" i="1"/>
  <c r="A899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B898" i="1"/>
  <c r="H898" i="1"/>
  <c r="G898" i="1"/>
  <c r="F898" i="1"/>
  <c r="E898" i="1"/>
  <c r="N898" i="1"/>
  <c r="M898" i="1"/>
  <c r="L898" i="1"/>
  <c r="K898" i="1"/>
  <c r="J898" i="1"/>
  <c r="I898" i="1"/>
  <c r="D898" i="1"/>
  <c r="C898" i="1"/>
  <c r="A898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B897" i="1"/>
  <c r="H897" i="1"/>
  <c r="G897" i="1"/>
  <c r="F897" i="1"/>
  <c r="E897" i="1"/>
  <c r="N897" i="1"/>
  <c r="M897" i="1"/>
  <c r="L897" i="1"/>
  <c r="K897" i="1"/>
  <c r="J897" i="1"/>
  <c r="I897" i="1"/>
  <c r="D897" i="1"/>
  <c r="C897" i="1"/>
  <c r="A897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B896" i="1"/>
  <c r="H896" i="1"/>
  <c r="G896" i="1"/>
  <c r="F896" i="1"/>
  <c r="E896" i="1"/>
  <c r="N896" i="1"/>
  <c r="M896" i="1"/>
  <c r="L896" i="1"/>
  <c r="K896" i="1"/>
  <c r="J896" i="1"/>
  <c r="I896" i="1"/>
  <c r="D896" i="1"/>
  <c r="C896" i="1"/>
  <c r="A896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B895" i="1"/>
  <c r="H895" i="1"/>
  <c r="G895" i="1"/>
  <c r="F895" i="1"/>
  <c r="E895" i="1"/>
  <c r="N895" i="1"/>
  <c r="M895" i="1"/>
  <c r="L895" i="1"/>
  <c r="K895" i="1"/>
  <c r="J895" i="1"/>
  <c r="I895" i="1"/>
  <c r="D895" i="1"/>
  <c r="C895" i="1"/>
  <c r="A895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B894" i="1"/>
  <c r="H894" i="1"/>
  <c r="G894" i="1"/>
  <c r="F894" i="1"/>
  <c r="E894" i="1"/>
  <c r="N894" i="1"/>
  <c r="M894" i="1"/>
  <c r="L894" i="1"/>
  <c r="K894" i="1"/>
  <c r="J894" i="1"/>
  <c r="I894" i="1"/>
  <c r="D894" i="1"/>
  <c r="C894" i="1"/>
  <c r="A894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B893" i="1"/>
  <c r="H893" i="1"/>
  <c r="G893" i="1"/>
  <c r="F893" i="1"/>
  <c r="E893" i="1"/>
  <c r="M893" i="1"/>
  <c r="L893" i="1"/>
  <c r="K893" i="1"/>
  <c r="J893" i="1"/>
  <c r="I893" i="1"/>
  <c r="D893" i="1"/>
  <c r="C893" i="1"/>
  <c r="A893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B892" i="1"/>
  <c r="H892" i="1"/>
  <c r="G892" i="1"/>
  <c r="F892" i="1"/>
  <c r="E892" i="1"/>
  <c r="N892" i="1"/>
  <c r="M892" i="1"/>
  <c r="L892" i="1"/>
  <c r="K892" i="1"/>
  <c r="J892" i="1"/>
  <c r="I892" i="1"/>
  <c r="D892" i="1"/>
  <c r="C892" i="1"/>
  <c r="A892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B891" i="1"/>
  <c r="H891" i="1"/>
  <c r="G891" i="1"/>
  <c r="F891" i="1"/>
  <c r="E891" i="1"/>
  <c r="N891" i="1"/>
  <c r="M891" i="1"/>
  <c r="L891" i="1"/>
  <c r="K891" i="1"/>
  <c r="J891" i="1"/>
  <c r="I891" i="1"/>
  <c r="D891" i="1"/>
  <c r="C891" i="1"/>
  <c r="A891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B890" i="1"/>
  <c r="H890" i="1"/>
  <c r="G890" i="1"/>
  <c r="F890" i="1"/>
  <c r="E890" i="1"/>
  <c r="N890" i="1"/>
  <c r="M890" i="1"/>
  <c r="L890" i="1"/>
  <c r="K890" i="1"/>
  <c r="J890" i="1"/>
  <c r="I890" i="1"/>
  <c r="D890" i="1"/>
  <c r="C890" i="1"/>
  <c r="A890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B889" i="1"/>
  <c r="H889" i="1"/>
  <c r="G889" i="1"/>
  <c r="F889" i="1"/>
  <c r="E889" i="1"/>
  <c r="N889" i="1"/>
  <c r="M889" i="1"/>
  <c r="L889" i="1"/>
  <c r="K889" i="1"/>
  <c r="J889" i="1"/>
  <c r="I889" i="1"/>
  <c r="D889" i="1"/>
  <c r="C889" i="1"/>
  <c r="A889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B888" i="1"/>
  <c r="H888" i="1"/>
  <c r="G888" i="1"/>
  <c r="F888" i="1"/>
  <c r="E888" i="1"/>
  <c r="N888" i="1"/>
  <c r="M888" i="1"/>
  <c r="L888" i="1"/>
  <c r="K888" i="1"/>
  <c r="J888" i="1"/>
  <c r="I888" i="1"/>
  <c r="D888" i="1"/>
  <c r="C888" i="1"/>
  <c r="A888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B887" i="1"/>
  <c r="H887" i="1"/>
  <c r="G887" i="1"/>
  <c r="F887" i="1"/>
  <c r="E887" i="1"/>
  <c r="N887" i="1"/>
  <c r="M887" i="1"/>
  <c r="L887" i="1"/>
  <c r="K887" i="1"/>
  <c r="J887" i="1"/>
  <c r="I887" i="1"/>
  <c r="D887" i="1"/>
  <c r="C887" i="1"/>
  <c r="A887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B886" i="1"/>
  <c r="H886" i="1"/>
  <c r="G886" i="1"/>
  <c r="F886" i="1"/>
  <c r="E886" i="1"/>
  <c r="N886" i="1"/>
  <c r="M886" i="1"/>
  <c r="L886" i="1"/>
  <c r="K886" i="1"/>
  <c r="J886" i="1"/>
  <c r="I886" i="1"/>
  <c r="D886" i="1"/>
  <c r="C886" i="1"/>
  <c r="A886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B885" i="1"/>
  <c r="H885" i="1"/>
  <c r="G885" i="1"/>
  <c r="F885" i="1"/>
  <c r="E885" i="1"/>
  <c r="N885" i="1"/>
  <c r="M885" i="1"/>
  <c r="L885" i="1"/>
  <c r="K885" i="1"/>
  <c r="J885" i="1"/>
  <c r="I885" i="1"/>
  <c r="D885" i="1"/>
  <c r="C885" i="1"/>
  <c r="A885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B884" i="1"/>
  <c r="H884" i="1"/>
  <c r="G884" i="1"/>
  <c r="F884" i="1"/>
  <c r="E884" i="1"/>
  <c r="N884" i="1"/>
  <c r="M884" i="1"/>
  <c r="L884" i="1"/>
  <c r="K884" i="1"/>
  <c r="J884" i="1"/>
  <c r="I884" i="1"/>
  <c r="D884" i="1"/>
  <c r="C884" i="1"/>
  <c r="A884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B883" i="1"/>
  <c r="H883" i="1"/>
  <c r="G883" i="1"/>
  <c r="F883" i="1"/>
  <c r="E883" i="1"/>
  <c r="N883" i="1"/>
  <c r="M883" i="1"/>
  <c r="L883" i="1"/>
  <c r="K883" i="1"/>
  <c r="J883" i="1"/>
  <c r="I883" i="1"/>
  <c r="D883" i="1"/>
  <c r="C883" i="1"/>
  <c r="A883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B882" i="1"/>
  <c r="H882" i="1"/>
  <c r="G882" i="1"/>
  <c r="F882" i="1"/>
  <c r="E882" i="1"/>
  <c r="M882" i="1"/>
  <c r="L882" i="1"/>
  <c r="K882" i="1"/>
  <c r="J882" i="1"/>
  <c r="I882" i="1"/>
  <c r="D882" i="1"/>
  <c r="C882" i="1"/>
  <c r="A882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B881" i="1"/>
  <c r="H881" i="1"/>
  <c r="G881" i="1"/>
  <c r="F881" i="1"/>
  <c r="E881" i="1"/>
  <c r="N881" i="1"/>
  <c r="M881" i="1"/>
  <c r="L881" i="1"/>
  <c r="K881" i="1"/>
  <c r="J881" i="1"/>
  <c r="I881" i="1"/>
  <c r="D881" i="1"/>
  <c r="C881" i="1"/>
  <c r="A881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B880" i="1"/>
  <c r="H880" i="1"/>
  <c r="G880" i="1"/>
  <c r="F880" i="1"/>
  <c r="E880" i="1"/>
  <c r="N880" i="1"/>
  <c r="M880" i="1"/>
  <c r="L880" i="1"/>
  <c r="K880" i="1"/>
  <c r="J880" i="1"/>
  <c r="I880" i="1"/>
  <c r="D880" i="1"/>
  <c r="C880" i="1"/>
  <c r="A880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B879" i="1"/>
  <c r="H879" i="1"/>
  <c r="G879" i="1"/>
  <c r="F879" i="1"/>
  <c r="E879" i="1"/>
  <c r="N879" i="1"/>
  <c r="M879" i="1"/>
  <c r="L879" i="1"/>
  <c r="K879" i="1"/>
  <c r="J879" i="1"/>
  <c r="I879" i="1"/>
  <c r="D879" i="1"/>
  <c r="C879" i="1"/>
  <c r="A879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B878" i="1"/>
  <c r="H878" i="1"/>
  <c r="G878" i="1"/>
  <c r="F878" i="1"/>
  <c r="E878" i="1"/>
  <c r="N878" i="1"/>
  <c r="M878" i="1"/>
  <c r="L878" i="1"/>
  <c r="K878" i="1"/>
  <c r="J878" i="1"/>
  <c r="I878" i="1"/>
  <c r="D878" i="1"/>
  <c r="C878" i="1"/>
  <c r="A878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B877" i="1"/>
  <c r="H877" i="1"/>
  <c r="G877" i="1"/>
  <c r="F877" i="1"/>
  <c r="E877" i="1"/>
  <c r="N877" i="1"/>
  <c r="M877" i="1"/>
  <c r="L877" i="1"/>
  <c r="K877" i="1"/>
  <c r="J877" i="1"/>
  <c r="I877" i="1"/>
  <c r="D877" i="1"/>
  <c r="C877" i="1"/>
  <c r="A877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B876" i="1"/>
  <c r="H876" i="1"/>
  <c r="G876" i="1"/>
  <c r="F876" i="1"/>
  <c r="E876" i="1"/>
  <c r="N876" i="1"/>
  <c r="M876" i="1"/>
  <c r="L876" i="1"/>
  <c r="K876" i="1"/>
  <c r="J876" i="1"/>
  <c r="I876" i="1"/>
  <c r="D876" i="1"/>
  <c r="C876" i="1"/>
  <c r="A876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B875" i="1"/>
  <c r="H875" i="1"/>
  <c r="G875" i="1"/>
  <c r="F875" i="1"/>
  <c r="E875" i="1"/>
  <c r="N875" i="1"/>
  <c r="M875" i="1"/>
  <c r="L875" i="1"/>
  <c r="K875" i="1"/>
  <c r="J875" i="1"/>
  <c r="I875" i="1"/>
  <c r="D875" i="1"/>
  <c r="C875" i="1"/>
  <c r="A875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B874" i="1"/>
  <c r="H874" i="1"/>
  <c r="G874" i="1"/>
  <c r="F874" i="1"/>
  <c r="E874" i="1"/>
  <c r="N874" i="1"/>
  <c r="M874" i="1"/>
  <c r="L874" i="1"/>
  <c r="K874" i="1"/>
  <c r="J874" i="1"/>
  <c r="I874" i="1"/>
  <c r="D874" i="1"/>
  <c r="C874" i="1"/>
  <c r="A874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B873" i="1"/>
  <c r="H873" i="1"/>
  <c r="G873" i="1"/>
  <c r="F873" i="1"/>
  <c r="E873" i="1"/>
  <c r="N873" i="1"/>
  <c r="M873" i="1"/>
  <c r="L873" i="1"/>
  <c r="K873" i="1"/>
  <c r="J873" i="1"/>
  <c r="I873" i="1"/>
  <c r="D873" i="1"/>
  <c r="C873" i="1"/>
  <c r="A873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B872" i="1"/>
  <c r="H872" i="1"/>
  <c r="G872" i="1"/>
  <c r="F872" i="1"/>
  <c r="E872" i="1"/>
  <c r="N872" i="1"/>
  <c r="M872" i="1"/>
  <c r="L872" i="1"/>
  <c r="K872" i="1"/>
  <c r="J872" i="1"/>
  <c r="I872" i="1"/>
  <c r="D872" i="1"/>
  <c r="C872" i="1"/>
  <c r="A872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B871" i="1"/>
  <c r="H871" i="1"/>
  <c r="G871" i="1"/>
  <c r="F871" i="1"/>
  <c r="E871" i="1"/>
  <c r="N871" i="1"/>
  <c r="M871" i="1"/>
  <c r="L871" i="1"/>
  <c r="K871" i="1"/>
  <c r="J871" i="1"/>
  <c r="I871" i="1"/>
  <c r="D871" i="1"/>
  <c r="C871" i="1"/>
  <c r="A871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B870" i="1"/>
  <c r="H870" i="1"/>
  <c r="G870" i="1"/>
  <c r="F870" i="1"/>
  <c r="E870" i="1"/>
  <c r="N870" i="1"/>
  <c r="M870" i="1"/>
  <c r="L870" i="1"/>
  <c r="K870" i="1"/>
  <c r="J870" i="1"/>
  <c r="I870" i="1"/>
  <c r="D870" i="1"/>
  <c r="C870" i="1"/>
  <c r="A870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B869" i="1"/>
  <c r="H869" i="1"/>
  <c r="G869" i="1"/>
  <c r="F869" i="1"/>
  <c r="E869" i="1"/>
  <c r="N869" i="1"/>
  <c r="M869" i="1"/>
  <c r="L869" i="1"/>
  <c r="K869" i="1"/>
  <c r="J869" i="1"/>
  <c r="I869" i="1"/>
  <c r="D869" i="1"/>
  <c r="C869" i="1"/>
  <c r="A869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B868" i="1"/>
  <c r="H868" i="1"/>
  <c r="G868" i="1"/>
  <c r="F868" i="1"/>
  <c r="E868" i="1"/>
  <c r="N868" i="1"/>
  <c r="M868" i="1"/>
  <c r="L868" i="1"/>
  <c r="K868" i="1"/>
  <c r="J868" i="1"/>
  <c r="I868" i="1"/>
  <c r="D868" i="1"/>
  <c r="C868" i="1"/>
  <c r="A868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B867" i="1"/>
  <c r="H867" i="1"/>
  <c r="G867" i="1"/>
  <c r="F867" i="1"/>
  <c r="E867" i="1"/>
  <c r="N867" i="1"/>
  <c r="M867" i="1"/>
  <c r="L867" i="1"/>
  <c r="K867" i="1"/>
  <c r="J867" i="1"/>
  <c r="I867" i="1"/>
  <c r="D867" i="1"/>
  <c r="C867" i="1"/>
  <c r="A867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B866" i="1"/>
  <c r="H866" i="1"/>
  <c r="G866" i="1"/>
  <c r="F866" i="1"/>
  <c r="E866" i="1"/>
  <c r="N866" i="1"/>
  <c r="M866" i="1"/>
  <c r="L866" i="1"/>
  <c r="K866" i="1"/>
  <c r="J866" i="1"/>
  <c r="I866" i="1"/>
  <c r="D866" i="1"/>
  <c r="C866" i="1"/>
  <c r="A866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B865" i="1"/>
  <c r="H865" i="1"/>
  <c r="G865" i="1"/>
  <c r="F865" i="1"/>
  <c r="E865" i="1"/>
  <c r="M865" i="1"/>
  <c r="L865" i="1"/>
  <c r="K865" i="1"/>
  <c r="J865" i="1"/>
  <c r="I865" i="1"/>
  <c r="D865" i="1"/>
  <c r="C865" i="1"/>
  <c r="A865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B864" i="1"/>
  <c r="H864" i="1"/>
  <c r="G864" i="1"/>
  <c r="F864" i="1"/>
  <c r="E864" i="1"/>
  <c r="N864" i="1"/>
  <c r="M864" i="1"/>
  <c r="L864" i="1"/>
  <c r="K864" i="1"/>
  <c r="J864" i="1"/>
  <c r="I864" i="1"/>
  <c r="D864" i="1"/>
  <c r="C864" i="1"/>
  <c r="A864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B863" i="1"/>
  <c r="H863" i="1"/>
  <c r="G863" i="1"/>
  <c r="F863" i="1"/>
  <c r="E863" i="1"/>
  <c r="N863" i="1"/>
  <c r="M863" i="1"/>
  <c r="L863" i="1"/>
  <c r="K863" i="1"/>
  <c r="J863" i="1"/>
  <c r="I863" i="1"/>
  <c r="D863" i="1"/>
  <c r="C863" i="1"/>
  <c r="A863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B862" i="1"/>
  <c r="H862" i="1"/>
  <c r="G862" i="1"/>
  <c r="F862" i="1"/>
  <c r="E862" i="1"/>
  <c r="N862" i="1"/>
  <c r="M862" i="1"/>
  <c r="L862" i="1"/>
  <c r="K862" i="1"/>
  <c r="J862" i="1"/>
  <c r="I862" i="1"/>
  <c r="D862" i="1"/>
  <c r="C862" i="1"/>
  <c r="A862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B861" i="1"/>
  <c r="H861" i="1"/>
  <c r="G861" i="1"/>
  <c r="F861" i="1"/>
  <c r="E861" i="1"/>
  <c r="M861" i="1"/>
  <c r="L861" i="1"/>
  <c r="K861" i="1"/>
  <c r="J861" i="1"/>
  <c r="I861" i="1"/>
  <c r="D861" i="1"/>
  <c r="C861" i="1"/>
  <c r="A861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B860" i="1"/>
  <c r="H860" i="1"/>
  <c r="G860" i="1"/>
  <c r="F860" i="1"/>
  <c r="E860" i="1"/>
  <c r="M860" i="1"/>
  <c r="L860" i="1"/>
  <c r="K860" i="1"/>
  <c r="J860" i="1"/>
  <c r="I860" i="1"/>
  <c r="D860" i="1"/>
  <c r="C860" i="1"/>
  <c r="A860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B859" i="1"/>
  <c r="H859" i="1"/>
  <c r="G859" i="1"/>
  <c r="F859" i="1"/>
  <c r="E859" i="1"/>
  <c r="N859" i="1"/>
  <c r="M859" i="1"/>
  <c r="L859" i="1"/>
  <c r="K859" i="1"/>
  <c r="J859" i="1"/>
  <c r="I859" i="1"/>
  <c r="D859" i="1"/>
  <c r="C859" i="1"/>
  <c r="A859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B858" i="1"/>
  <c r="H858" i="1"/>
  <c r="G858" i="1"/>
  <c r="F858" i="1"/>
  <c r="E858" i="1"/>
  <c r="N858" i="1"/>
  <c r="M858" i="1"/>
  <c r="L858" i="1"/>
  <c r="K858" i="1"/>
  <c r="J858" i="1"/>
  <c r="I858" i="1"/>
  <c r="D858" i="1"/>
  <c r="C858" i="1"/>
  <c r="A858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B857" i="1"/>
  <c r="H857" i="1"/>
  <c r="G857" i="1"/>
  <c r="F857" i="1"/>
  <c r="E857" i="1"/>
  <c r="N857" i="1"/>
  <c r="M857" i="1"/>
  <c r="L857" i="1"/>
  <c r="K857" i="1"/>
  <c r="J857" i="1"/>
  <c r="I857" i="1"/>
  <c r="D857" i="1"/>
  <c r="C857" i="1"/>
  <c r="A857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B856" i="1"/>
  <c r="H856" i="1"/>
  <c r="G856" i="1"/>
  <c r="F856" i="1"/>
  <c r="E856" i="1"/>
  <c r="N856" i="1"/>
  <c r="M856" i="1"/>
  <c r="L856" i="1"/>
  <c r="K856" i="1"/>
  <c r="J856" i="1"/>
  <c r="I856" i="1"/>
  <c r="D856" i="1"/>
  <c r="C856" i="1"/>
  <c r="A856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B855" i="1"/>
  <c r="H855" i="1"/>
  <c r="G855" i="1"/>
  <c r="F855" i="1"/>
  <c r="E855" i="1"/>
  <c r="N855" i="1"/>
  <c r="M855" i="1"/>
  <c r="L855" i="1"/>
  <c r="K855" i="1"/>
  <c r="J855" i="1"/>
  <c r="I855" i="1"/>
  <c r="D855" i="1"/>
  <c r="C855" i="1"/>
  <c r="A855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B854" i="1"/>
  <c r="H854" i="1"/>
  <c r="G854" i="1"/>
  <c r="F854" i="1"/>
  <c r="E854" i="1"/>
  <c r="N854" i="1"/>
  <c r="M854" i="1"/>
  <c r="L854" i="1"/>
  <c r="K854" i="1"/>
  <c r="J854" i="1"/>
  <c r="I854" i="1"/>
  <c r="D854" i="1"/>
  <c r="C854" i="1"/>
  <c r="A854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B853" i="1"/>
  <c r="H853" i="1"/>
  <c r="G853" i="1"/>
  <c r="F853" i="1"/>
  <c r="E853" i="1"/>
  <c r="N853" i="1"/>
  <c r="M853" i="1"/>
  <c r="L853" i="1"/>
  <c r="K853" i="1"/>
  <c r="J853" i="1"/>
  <c r="I853" i="1"/>
  <c r="D853" i="1"/>
  <c r="C853" i="1"/>
  <c r="A853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B852" i="1"/>
  <c r="H852" i="1"/>
  <c r="G852" i="1"/>
  <c r="F852" i="1"/>
  <c r="E852" i="1"/>
  <c r="M852" i="1"/>
  <c r="L852" i="1"/>
  <c r="K852" i="1"/>
  <c r="J852" i="1"/>
  <c r="I852" i="1"/>
  <c r="D852" i="1"/>
  <c r="C852" i="1"/>
  <c r="A852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B851" i="1"/>
  <c r="H851" i="1"/>
  <c r="G851" i="1"/>
  <c r="F851" i="1"/>
  <c r="E851" i="1"/>
  <c r="N851" i="1"/>
  <c r="M851" i="1"/>
  <c r="L851" i="1"/>
  <c r="K851" i="1"/>
  <c r="J851" i="1"/>
  <c r="I851" i="1"/>
  <c r="D851" i="1"/>
  <c r="C851" i="1"/>
  <c r="A851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B850" i="1"/>
  <c r="H850" i="1"/>
  <c r="G850" i="1"/>
  <c r="F850" i="1"/>
  <c r="E850" i="1"/>
  <c r="N850" i="1"/>
  <c r="M850" i="1"/>
  <c r="L850" i="1"/>
  <c r="K850" i="1"/>
  <c r="J850" i="1"/>
  <c r="I850" i="1"/>
  <c r="D850" i="1"/>
  <c r="C850" i="1"/>
  <c r="A850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B849" i="1"/>
  <c r="H849" i="1"/>
  <c r="G849" i="1"/>
  <c r="F849" i="1"/>
  <c r="E849" i="1"/>
  <c r="N849" i="1"/>
  <c r="M849" i="1"/>
  <c r="L849" i="1"/>
  <c r="K849" i="1"/>
  <c r="J849" i="1"/>
  <c r="I849" i="1"/>
  <c r="D849" i="1"/>
  <c r="C849" i="1"/>
  <c r="A849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B848" i="1"/>
  <c r="H848" i="1"/>
  <c r="G848" i="1"/>
  <c r="F848" i="1"/>
  <c r="E848" i="1"/>
  <c r="N848" i="1"/>
  <c r="M848" i="1"/>
  <c r="L848" i="1"/>
  <c r="K848" i="1"/>
  <c r="J848" i="1"/>
  <c r="I848" i="1"/>
  <c r="D848" i="1"/>
  <c r="C848" i="1"/>
  <c r="A848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B847" i="1"/>
  <c r="H847" i="1"/>
  <c r="G847" i="1"/>
  <c r="F847" i="1"/>
  <c r="E847" i="1"/>
  <c r="N847" i="1"/>
  <c r="M847" i="1"/>
  <c r="L847" i="1"/>
  <c r="K847" i="1"/>
  <c r="J847" i="1"/>
  <c r="I847" i="1"/>
  <c r="D847" i="1"/>
  <c r="C847" i="1"/>
  <c r="A847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B846" i="1"/>
  <c r="H846" i="1"/>
  <c r="G846" i="1"/>
  <c r="F846" i="1"/>
  <c r="E846" i="1"/>
  <c r="N846" i="1"/>
  <c r="M846" i="1"/>
  <c r="L846" i="1"/>
  <c r="K846" i="1"/>
  <c r="J846" i="1"/>
  <c r="I846" i="1"/>
  <c r="D846" i="1"/>
  <c r="C846" i="1"/>
  <c r="A846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B845" i="1"/>
  <c r="H845" i="1"/>
  <c r="G845" i="1"/>
  <c r="F845" i="1"/>
  <c r="E845" i="1"/>
  <c r="N845" i="1"/>
  <c r="M845" i="1"/>
  <c r="L845" i="1"/>
  <c r="K845" i="1"/>
  <c r="J845" i="1"/>
  <c r="I845" i="1"/>
  <c r="D845" i="1"/>
  <c r="C845" i="1"/>
  <c r="A845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B844" i="1"/>
  <c r="H844" i="1"/>
  <c r="G844" i="1"/>
  <c r="F844" i="1"/>
  <c r="E844" i="1"/>
  <c r="N844" i="1"/>
  <c r="M844" i="1"/>
  <c r="L844" i="1"/>
  <c r="K844" i="1"/>
  <c r="J844" i="1"/>
  <c r="I844" i="1"/>
  <c r="D844" i="1"/>
  <c r="C844" i="1"/>
  <c r="A844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B843" i="1"/>
  <c r="H843" i="1"/>
  <c r="G843" i="1"/>
  <c r="F843" i="1"/>
  <c r="E843" i="1"/>
  <c r="N843" i="1"/>
  <c r="M843" i="1"/>
  <c r="L843" i="1"/>
  <c r="K843" i="1"/>
  <c r="J843" i="1"/>
  <c r="I843" i="1"/>
  <c r="D843" i="1"/>
  <c r="C843" i="1"/>
  <c r="A843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B842" i="1"/>
  <c r="H842" i="1"/>
  <c r="G842" i="1"/>
  <c r="F842" i="1"/>
  <c r="E842" i="1"/>
  <c r="N842" i="1"/>
  <c r="M842" i="1"/>
  <c r="L842" i="1"/>
  <c r="K842" i="1"/>
  <c r="J842" i="1"/>
  <c r="I842" i="1"/>
  <c r="D842" i="1"/>
  <c r="C842" i="1"/>
  <c r="A842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B841" i="1"/>
  <c r="H841" i="1"/>
  <c r="G841" i="1"/>
  <c r="F841" i="1"/>
  <c r="E841" i="1"/>
  <c r="N841" i="1"/>
  <c r="M841" i="1"/>
  <c r="L841" i="1"/>
  <c r="K841" i="1"/>
  <c r="J841" i="1"/>
  <c r="I841" i="1"/>
  <c r="D841" i="1"/>
  <c r="C841" i="1"/>
  <c r="A841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B840" i="1"/>
  <c r="H840" i="1"/>
  <c r="G840" i="1"/>
  <c r="F840" i="1"/>
  <c r="E840" i="1"/>
  <c r="N840" i="1"/>
  <c r="M840" i="1"/>
  <c r="L840" i="1"/>
  <c r="K840" i="1"/>
  <c r="J840" i="1"/>
  <c r="I840" i="1"/>
  <c r="D840" i="1"/>
  <c r="C840" i="1"/>
  <c r="A840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B839" i="1"/>
  <c r="H839" i="1"/>
  <c r="G839" i="1"/>
  <c r="F839" i="1"/>
  <c r="E839" i="1"/>
  <c r="N839" i="1"/>
  <c r="M839" i="1"/>
  <c r="L839" i="1"/>
  <c r="K839" i="1"/>
  <c r="J839" i="1"/>
  <c r="I839" i="1"/>
  <c r="D839" i="1"/>
  <c r="C839" i="1"/>
  <c r="A839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B838" i="1"/>
  <c r="H838" i="1"/>
  <c r="G838" i="1"/>
  <c r="F838" i="1"/>
  <c r="E838" i="1"/>
  <c r="N838" i="1"/>
  <c r="M838" i="1"/>
  <c r="L838" i="1"/>
  <c r="K838" i="1"/>
  <c r="J838" i="1"/>
  <c r="I838" i="1"/>
  <c r="D838" i="1"/>
  <c r="C838" i="1"/>
  <c r="A838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B837" i="1"/>
  <c r="H837" i="1"/>
  <c r="G837" i="1"/>
  <c r="F837" i="1"/>
  <c r="E837" i="1"/>
  <c r="N837" i="1"/>
  <c r="M837" i="1"/>
  <c r="L837" i="1"/>
  <c r="K837" i="1"/>
  <c r="J837" i="1"/>
  <c r="I837" i="1"/>
  <c r="D837" i="1"/>
  <c r="C837" i="1"/>
  <c r="A837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B836" i="1"/>
  <c r="H836" i="1"/>
  <c r="G836" i="1"/>
  <c r="F836" i="1"/>
  <c r="E836" i="1"/>
  <c r="N836" i="1"/>
  <c r="M836" i="1"/>
  <c r="L836" i="1"/>
  <c r="K836" i="1"/>
  <c r="J836" i="1"/>
  <c r="I836" i="1"/>
  <c r="D836" i="1"/>
  <c r="C836" i="1"/>
  <c r="A836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B835" i="1"/>
  <c r="H835" i="1"/>
  <c r="G835" i="1"/>
  <c r="F835" i="1"/>
  <c r="E835" i="1"/>
  <c r="M835" i="1"/>
  <c r="L835" i="1"/>
  <c r="K835" i="1"/>
  <c r="J835" i="1"/>
  <c r="I835" i="1"/>
  <c r="D835" i="1"/>
  <c r="C835" i="1"/>
  <c r="A835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B834" i="1"/>
  <c r="H834" i="1"/>
  <c r="G834" i="1"/>
  <c r="F834" i="1"/>
  <c r="E834" i="1"/>
  <c r="N834" i="1"/>
  <c r="M834" i="1"/>
  <c r="L834" i="1"/>
  <c r="K834" i="1"/>
  <c r="J834" i="1"/>
  <c r="I834" i="1"/>
  <c r="D834" i="1"/>
  <c r="C834" i="1"/>
  <c r="A834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B833" i="1"/>
  <c r="H833" i="1"/>
  <c r="G833" i="1"/>
  <c r="F833" i="1"/>
  <c r="E833" i="1"/>
  <c r="N833" i="1"/>
  <c r="M833" i="1"/>
  <c r="L833" i="1"/>
  <c r="K833" i="1"/>
  <c r="J833" i="1"/>
  <c r="I833" i="1"/>
  <c r="D833" i="1"/>
  <c r="C833" i="1"/>
  <c r="A833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B832" i="1"/>
  <c r="H832" i="1"/>
  <c r="G832" i="1"/>
  <c r="F832" i="1"/>
  <c r="E832" i="1"/>
  <c r="N832" i="1"/>
  <c r="M832" i="1"/>
  <c r="L832" i="1"/>
  <c r="K832" i="1"/>
  <c r="J832" i="1"/>
  <c r="I832" i="1"/>
  <c r="D832" i="1"/>
  <c r="C832" i="1"/>
  <c r="A832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B831" i="1"/>
  <c r="H831" i="1"/>
  <c r="G831" i="1"/>
  <c r="F831" i="1"/>
  <c r="E831" i="1"/>
  <c r="N831" i="1"/>
  <c r="M831" i="1"/>
  <c r="L831" i="1"/>
  <c r="K831" i="1"/>
  <c r="J831" i="1"/>
  <c r="I831" i="1"/>
  <c r="D831" i="1"/>
  <c r="C831" i="1"/>
  <c r="A831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B830" i="1"/>
  <c r="H830" i="1"/>
  <c r="G830" i="1"/>
  <c r="F830" i="1"/>
  <c r="E830" i="1"/>
  <c r="N830" i="1"/>
  <c r="M830" i="1"/>
  <c r="L830" i="1"/>
  <c r="K830" i="1"/>
  <c r="J830" i="1"/>
  <c r="I830" i="1"/>
  <c r="D830" i="1"/>
  <c r="C830" i="1"/>
  <c r="A830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B829" i="1"/>
  <c r="H829" i="1"/>
  <c r="G829" i="1"/>
  <c r="F829" i="1"/>
  <c r="E829" i="1"/>
  <c r="N829" i="1"/>
  <c r="M829" i="1"/>
  <c r="L829" i="1"/>
  <c r="K829" i="1"/>
  <c r="J829" i="1"/>
  <c r="I829" i="1"/>
  <c r="D829" i="1"/>
  <c r="C829" i="1"/>
  <c r="A829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B828" i="1"/>
  <c r="H828" i="1"/>
  <c r="G828" i="1"/>
  <c r="F828" i="1"/>
  <c r="E828" i="1"/>
  <c r="N828" i="1"/>
  <c r="M828" i="1"/>
  <c r="L828" i="1"/>
  <c r="K828" i="1"/>
  <c r="J828" i="1"/>
  <c r="I828" i="1"/>
  <c r="D828" i="1"/>
  <c r="C828" i="1"/>
  <c r="A828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B827" i="1"/>
  <c r="H827" i="1"/>
  <c r="G827" i="1"/>
  <c r="F827" i="1"/>
  <c r="E827" i="1"/>
  <c r="N827" i="1"/>
  <c r="M827" i="1"/>
  <c r="L827" i="1"/>
  <c r="K827" i="1"/>
  <c r="J827" i="1"/>
  <c r="I827" i="1"/>
  <c r="D827" i="1"/>
  <c r="C827" i="1"/>
  <c r="A827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B826" i="1"/>
  <c r="H826" i="1"/>
  <c r="G826" i="1"/>
  <c r="F826" i="1"/>
  <c r="E826" i="1"/>
  <c r="N826" i="1"/>
  <c r="M826" i="1"/>
  <c r="L826" i="1"/>
  <c r="K826" i="1"/>
  <c r="J826" i="1"/>
  <c r="I826" i="1"/>
  <c r="D826" i="1"/>
  <c r="C826" i="1"/>
  <c r="A826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B825" i="1"/>
  <c r="H825" i="1"/>
  <c r="G825" i="1"/>
  <c r="F825" i="1"/>
  <c r="E825" i="1"/>
  <c r="N825" i="1"/>
  <c r="M825" i="1"/>
  <c r="L825" i="1"/>
  <c r="K825" i="1"/>
  <c r="J825" i="1"/>
  <c r="I825" i="1"/>
  <c r="D825" i="1"/>
  <c r="C825" i="1"/>
  <c r="A825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B824" i="1"/>
  <c r="H824" i="1"/>
  <c r="G824" i="1"/>
  <c r="F824" i="1"/>
  <c r="E824" i="1"/>
  <c r="N824" i="1"/>
  <c r="M824" i="1"/>
  <c r="L824" i="1"/>
  <c r="K824" i="1"/>
  <c r="J824" i="1"/>
  <c r="I824" i="1"/>
  <c r="D824" i="1"/>
  <c r="C824" i="1"/>
  <c r="A824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B823" i="1"/>
  <c r="H823" i="1"/>
  <c r="G823" i="1"/>
  <c r="F823" i="1"/>
  <c r="E823" i="1"/>
  <c r="M823" i="1"/>
  <c r="L823" i="1"/>
  <c r="K823" i="1"/>
  <c r="J823" i="1"/>
  <c r="I823" i="1"/>
  <c r="D823" i="1"/>
  <c r="C823" i="1"/>
  <c r="A823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B822" i="1"/>
  <c r="H822" i="1"/>
  <c r="G822" i="1"/>
  <c r="F822" i="1"/>
  <c r="E822" i="1"/>
  <c r="N822" i="1"/>
  <c r="M822" i="1"/>
  <c r="L822" i="1"/>
  <c r="K822" i="1"/>
  <c r="J822" i="1"/>
  <c r="I822" i="1"/>
  <c r="D822" i="1"/>
  <c r="C822" i="1"/>
  <c r="A822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B821" i="1"/>
  <c r="H821" i="1"/>
  <c r="G821" i="1"/>
  <c r="F821" i="1"/>
  <c r="E821" i="1"/>
  <c r="N821" i="1"/>
  <c r="M821" i="1"/>
  <c r="L821" i="1"/>
  <c r="K821" i="1"/>
  <c r="J821" i="1"/>
  <c r="I821" i="1"/>
  <c r="D821" i="1"/>
  <c r="C821" i="1"/>
  <c r="A821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B820" i="1"/>
  <c r="H820" i="1"/>
  <c r="G820" i="1"/>
  <c r="F820" i="1"/>
  <c r="E820" i="1"/>
  <c r="N820" i="1"/>
  <c r="M820" i="1"/>
  <c r="L820" i="1"/>
  <c r="K820" i="1"/>
  <c r="J820" i="1"/>
  <c r="I820" i="1"/>
  <c r="D820" i="1"/>
  <c r="C820" i="1"/>
  <c r="A820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B819" i="1"/>
  <c r="H819" i="1"/>
  <c r="G819" i="1"/>
  <c r="F819" i="1"/>
  <c r="E819" i="1"/>
  <c r="N819" i="1"/>
  <c r="M819" i="1"/>
  <c r="L819" i="1"/>
  <c r="K819" i="1"/>
  <c r="J819" i="1"/>
  <c r="I819" i="1"/>
  <c r="D819" i="1"/>
  <c r="C819" i="1"/>
  <c r="A819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B818" i="1"/>
  <c r="H818" i="1"/>
  <c r="G818" i="1"/>
  <c r="F818" i="1"/>
  <c r="E818" i="1"/>
  <c r="N818" i="1"/>
  <c r="M818" i="1"/>
  <c r="L818" i="1"/>
  <c r="K818" i="1"/>
  <c r="J818" i="1"/>
  <c r="I818" i="1"/>
  <c r="D818" i="1"/>
  <c r="C818" i="1"/>
  <c r="A818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B817" i="1"/>
  <c r="H817" i="1"/>
  <c r="G817" i="1"/>
  <c r="F817" i="1"/>
  <c r="E817" i="1"/>
  <c r="N817" i="1"/>
  <c r="M817" i="1"/>
  <c r="L817" i="1"/>
  <c r="K817" i="1"/>
  <c r="J817" i="1"/>
  <c r="I817" i="1"/>
  <c r="D817" i="1"/>
  <c r="C817" i="1"/>
  <c r="A817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B816" i="1"/>
  <c r="H816" i="1"/>
  <c r="G816" i="1"/>
  <c r="F816" i="1"/>
  <c r="E816" i="1"/>
  <c r="N816" i="1"/>
  <c r="M816" i="1"/>
  <c r="L816" i="1"/>
  <c r="K816" i="1"/>
  <c r="J816" i="1"/>
  <c r="I816" i="1"/>
  <c r="D816" i="1"/>
  <c r="C816" i="1"/>
  <c r="A816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B815" i="1"/>
  <c r="H815" i="1"/>
  <c r="G815" i="1"/>
  <c r="F815" i="1"/>
  <c r="E815" i="1"/>
  <c r="N815" i="1"/>
  <c r="M815" i="1"/>
  <c r="L815" i="1"/>
  <c r="K815" i="1"/>
  <c r="J815" i="1"/>
  <c r="I815" i="1"/>
  <c r="D815" i="1"/>
  <c r="C815" i="1"/>
  <c r="A815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B814" i="1"/>
  <c r="H814" i="1"/>
  <c r="G814" i="1"/>
  <c r="F814" i="1"/>
  <c r="E814" i="1"/>
  <c r="N814" i="1"/>
  <c r="M814" i="1"/>
  <c r="L814" i="1"/>
  <c r="K814" i="1"/>
  <c r="J814" i="1"/>
  <c r="I814" i="1"/>
  <c r="D814" i="1"/>
  <c r="C814" i="1"/>
  <c r="A814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B813" i="1"/>
  <c r="H813" i="1"/>
  <c r="G813" i="1"/>
  <c r="F813" i="1"/>
  <c r="E813" i="1"/>
  <c r="N813" i="1"/>
  <c r="M813" i="1"/>
  <c r="L813" i="1"/>
  <c r="K813" i="1"/>
  <c r="J813" i="1"/>
  <c r="I813" i="1"/>
  <c r="D813" i="1"/>
  <c r="C813" i="1"/>
  <c r="A813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B812" i="1"/>
  <c r="H812" i="1"/>
  <c r="G812" i="1"/>
  <c r="F812" i="1"/>
  <c r="E812" i="1"/>
  <c r="N812" i="1"/>
  <c r="M812" i="1"/>
  <c r="L812" i="1"/>
  <c r="K812" i="1"/>
  <c r="J812" i="1"/>
  <c r="I812" i="1"/>
  <c r="D812" i="1"/>
  <c r="C812" i="1"/>
  <c r="A812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B811" i="1"/>
  <c r="H811" i="1"/>
  <c r="G811" i="1"/>
  <c r="F811" i="1"/>
  <c r="E811" i="1"/>
  <c r="N811" i="1"/>
  <c r="M811" i="1"/>
  <c r="L811" i="1"/>
  <c r="K811" i="1"/>
  <c r="J811" i="1"/>
  <c r="I811" i="1"/>
  <c r="D811" i="1"/>
  <c r="C811" i="1"/>
  <c r="A811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B810" i="1"/>
  <c r="H810" i="1"/>
  <c r="G810" i="1"/>
  <c r="F810" i="1"/>
  <c r="E810" i="1"/>
  <c r="N810" i="1"/>
  <c r="M810" i="1"/>
  <c r="L810" i="1"/>
  <c r="K810" i="1"/>
  <c r="J810" i="1"/>
  <c r="I810" i="1"/>
  <c r="D810" i="1"/>
  <c r="C810" i="1"/>
  <c r="A810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B809" i="1"/>
  <c r="H809" i="1"/>
  <c r="G809" i="1"/>
  <c r="F809" i="1"/>
  <c r="E809" i="1"/>
  <c r="N809" i="1"/>
  <c r="M809" i="1"/>
  <c r="L809" i="1"/>
  <c r="K809" i="1"/>
  <c r="J809" i="1"/>
  <c r="I809" i="1"/>
  <c r="D809" i="1"/>
  <c r="C809" i="1"/>
  <c r="A809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B808" i="1"/>
  <c r="H808" i="1"/>
  <c r="G808" i="1"/>
  <c r="F808" i="1"/>
  <c r="E808" i="1"/>
  <c r="N808" i="1"/>
  <c r="M808" i="1"/>
  <c r="L808" i="1"/>
  <c r="K808" i="1"/>
  <c r="J808" i="1"/>
  <c r="I808" i="1"/>
  <c r="D808" i="1"/>
  <c r="C808" i="1"/>
  <c r="A808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B807" i="1"/>
  <c r="H807" i="1"/>
  <c r="G807" i="1"/>
  <c r="F807" i="1"/>
  <c r="E807" i="1"/>
  <c r="N807" i="1"/>
  <c r="M807" i="1"/>
  <c r="L807" i="1"/>
  <c r="K807" i="1"/>
  <c r="J807" i="1"/>
  <c r="I807" i="1"/>
  <c r="D807" i="1"/>
  <c r="C807" i="1"/>
  <c r="A807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B806" i="1"/>
  <c r="H806" i="1"/>
  <c r="G806" i="1"/>
  <c r="F806" i="1"/>
  <c r="E806" i="1"/>
  <c r="N806" i="1"/>
  <c r="M806" i="1"/>
  <c r="L806" i="1"/>
  <c r="K806" i="1"/>
  <c r="J806" i="1"/>
  <c r="I806" i="1"/>
  <c r="D806" i="1"/>
  <c r="C806" i="1"/>
  <c r="A806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B805" i="1"/>
  <c r="H805" i="1"/>
  <c r="G805" i="1"/>
  <c r="F805" i="1"/>
  <c r="E805" i="1"/>
  <c r="N805" i="1"/>
  <c r="M805" i="1"/>
  <c r="L805" i="1"/>
  <c r="K805" i="1"/>
  <c r="J805" i="1"/>
  <c r="I805" i="1"/>
  <c r="D805" i="1"/>
  <c r="C805" i="1"/>
  <c r="A805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B804" i="1"/>
  <c r="H804" i="1"/>
  <c r="G804" i="1"/>
  <c r="F804" i="1"/>
  <c r="E804" i="1"/>
  <c r="N804" i="1"/>
  <c r="M804" i="1"/>
  <c r="L804" i="1"/>
  <c r="K804" i="1"/>
  <c r="J804" i="1"/>
  <c r="I804" i="1"/>
  <c r="D804" i="1"/>
  <c r="C804" i="1"/>
  <c r="A804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B803" i="1"/>
  <c r="H803" i="1"/>
  <c r="G803" i="1"/>
  <c r="F803" i="1"/>
  <c r="E803" i="1"/>
  <c r="N803" i="1"/>
  <c r="M803" i="1"/>
  <c r="L803" i="1"/>
  <c r="K803" i="1"/>
  <c r="J803" i="1"/>
  <c r="I803" i="1"/>
  <c r="D803" i="1"/>
  <c r="C803" i="1"/>
  <c r="A803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B802" i="1"/>
  <c r="H802" i="1"/>
  <c r="G802" i="1"/>
  <c r="F802" i="1"/>
  <c r="E802" i="1"/>
  <c r="N802" i="1"/>
  <c r="M802" i="1"/>
  <c r="L802" i="1"/>
  <c r="K802" i="1"/>
  <c r="J802" i="1"/>
  <c r="I802" i="1"/>
  <c r="D802" i="1"/>
  <c r="C802" i="1"/>
  <c r="A802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B801" i="1"/>
  <c r="H801" i="1"/>
  <c r="G801" i="1"/>
  <c r="F801" i="1"/>
  <c r="E801" i="1"/>
  <c r="N801" i="1"/>
  <c r="M801" i="1"/>
  <c r="L801" i="1"/>
  <c r="K801" i="1"/>
  <c r="J801" i="1"/>
  <c r="I801" i="1"/>
  <c r="D801" i="1"/>
  <c r="C801" i="1"/>
  <c r="A801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B800" i="1"/>
  <c r="H800" i="1"/>
  <c r="G800" i="1"/>
  <c r="F800" i="1"/>
  <c r="E800" i="1"/>
  <c r="N800" i="1"/>
  <c r="M800" i="1"/>
  <c r="L800" i="1"/>
  <c r="K800" i="1"/>
  <c r="J800" i="1"/>
  <c r="I800" i="1"/>
  <c r="D800" i="1"/>
  <c r="C800" i="1"/>
  <c r="A800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B799" i="1"/>
  <c r="H799" i="1"/>
  <c r="G799" i="1"/>
  <c r="F799" i="1"/>
  <c r="E799" i="1"/>
  <c r="M799" i="1"/>
  <c r="L799" i="1"/>
  <c r="K799" i="1"/>
  <c r="J799" i="1"/>
  <c r="I799" i="1"/>
  <c r="D799" i="1"/>
  <c r="C799" i="1"/>
  <c r="A799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B798" i="1"/>
  <c r="H798" i="1"/>
  <c r="G798" i="1"/>
  <c r="F798" i="1"/>
  <c r="E798" i="1"/>
  <c r="N798" i="1"/>
  <c r="M798" i="1"/>
  <c r="L798" i="1"/>
  <c r="K798" i="1"/>
  <c r="J798" i="1"/>
  <c r="I798" i="1"/>
  <c r="D798" i="1"/>
  <c r="C798" i="1"/>
  <c r="A798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B797" i="1"/>
  <c r="H797" i="1"/>
  <c r="G797" i="1"/>
  <c r="F797" i="1"/>
  <c r="E797" i="1"/>
  <c r="N797" i="1"/>
  <c r="M797" i="1"/>
  <c r="L797" i="1"/>
  <c r="K797" i="1"/>
  <c r="J797" i="1"/>
  <c r="I797" i="1"/>
  <c r="D797" i="1"/>
  <c r="C797" i="1"/>
  <c r="A797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B796" i="1"/>
  <c r="H796" i="1"/>
  <c r="G796" i="1"/>
  <c r="F796" i="1"/>
  <c r="E796" i="1"/>
  <c r="N796" i="1"/>
  <c r="M796" i="1"/>
  <c r="L796" i="1"/>
  <c r="K796" i="1"/>
  <c r="J796" i="1"/>
  <c r="I796" i="1"/>
  <c r="D796" i="1"/>
  <c r="C796" i="1"/>
  <c r="A796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B795" i="1"/>
  <c r="H795" i="1"/>
  <c r="G795" i="1"/>
  <c r="F795" i="1"/>
  <c r="E795" i="1"/>
  <c r="N795" i="1"/>
  <c r="M795" i="1"/>
  <c r="L795" i="1"/>
  <c r="K795" i="1"/>
  <c r="J795" i="1"/>
  <c r="I795" i="1"/>
  <c r="D795" i="1"/>
  <c r="C795" i="1"/>
  <c r="A795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B794" i="1"/>
  <c r="H794" i="1"/>
  <c r="G794" i="1"/>
  <c r="F794" i="1"/>
  <c r="E794" i="1"/>
  <c r="N794" i="1"/>
  <c r="M794" i="1"/>
  <c r="L794" i="1"/>
  <c r="K794" i="1"/>
  <c r="J794" i="1"/>
  <c r="I794" i="1"/>
  <c r="D794" i="1"/>
  <c r="C794" i="1"/>
  <c r="A794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B793" i="1"/>
  <c r="H793" i="1"/>
  <c r="G793" i="1"/>
  <c r="F793" i="1"/>
  <c r="E793" i="1"/>
  <c r="N793" i="1"/>
  <c r="M793" i="1"/>
  <c r="L793" i="1"/>
  <c r="K793" i="1"/>
  <c r="J793" i="1"/>
  <c r="I793" i="1"/>
  <c r="D793" i="1"/>
  <c r="C793" i="1"/>
  <c r="A793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B792" i="1"/>
  <c r="H792" i="1"/>
  <c r="G792" i="1"/>
  <c r="F792" i="1"/>
  <c r="E792" i="1"/>
  <c r="N792" i="1"/>
  <c r="M792" i="1"/>
  <c r="L792" i="1"/>
  <c r="K792" i="1"/>
  <c r="J792" i="1"/>
  <c r="I792" i="1"/>
  <c r="D792" i="1"/>
  <c r="C792" i="1"/>
  <c r="A792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B791" i="1"/>
  <c r="H791" i="1"/>
  <c r="G791" i="1"/>
  <c r="F791" i="1"/>
  <c r="E791" i="1"/>
  <c r="N791" i="1"/>
  <c r="M791" i="1"/>
  <c r="L791" i="1"/>
  <c r="K791" i="1"/>
  <c r="J791" i="1"/>
  <c r="I791" i="1"/>
  <c r="D791" i="1"/>
  <c r="C791" i="1"/>
  <c r="A791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B790" i="1"/>
  <c r="H790" i="1"/>
  <c r="G790" i="1"/>
  <c r="F790" i="1"/>
  <c r="E790" i="1"/>
  <c r="N790" i="1"/>
  <c r="M790" i="1"/>
  <c r="L790" i="1"/>
  <c r="K790" i="1"/>
  <c r="J790" i="1"/>
  <c r="I790" i="1"/>
  <c r="D790" i="1"/>
  <c r="C790" i="1"/>
  <c r="A790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B789" i="1"/>
  <c r="H789" i="1"/>
  <c r="G789" i="1"/>
  <c r="F789" i="1"/>
  <c r="E789" i="1"/>
  <c r="N789" i="1"/>
  <c r="M789" i="1"/>
  <c r="L789" i="1"/>
  <c r="K789" i="1"/>
  <c r="J789" i="1"/>
  <c r="I789" i="1"/>
  <c r="D789" i="1"/>
  <c r="C789" i="1"/>
  <c r="A789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B788" i="1"/>
  <c r="H788" i="1"/>
  <c r="G788" i="1"/>
  <c r="F788" i="1"/>
  <c r="E788" i="1"/>
  <c r="N788" i="1"/>
  <c r="M788" i="1"/>
  <c r="L788" i="1"/>
  <c r="K788" i="1"/>
  <c r="J788" i="1"/>
  <c r="I788" i="1"/>
  <c r="D788" i="1"/>
  <c r="C788" i="1"/>
  <c r="A788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B787" i="1"/>
  <c r="H787" i="1"/>
  <c r="G787" i="1"/>
  <c r="F787" i="1"/>
  <c r="E787" i="1"/>
  <c r="M787" i="1"/>
  <c r="L787" i="1"/>
  <c r="K787" i="1"/>
  <c r="J787" i="1"/>
  <c r="I787" i="1"/>
  <c r="D787" i="1"/>
  <c r="C787" i="1"/>
  <c r="A787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B786" i="1"/>
  <c r="H786" i="1"/>
  <c r="G786" i="1"/>
  <c r="F786" i="1"/>
  <c r="E786" i="1"/>
  <c r="N786" i="1"/>
  <c r="M786" i="1"/>
  <c r="L786" i="1"/>
  <c r="K786" i="1"/>
  <c r="J786" i="1"/>
  <c r="I786" i="1"/>
  <c r="D786" i="1"/>
  <c r="C786" i="1"/>
  <c r="A786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B785" i="1"/>
  <c r="H785" i="1"/>
  <c r="G785" i="1"/>
  <c r="F785" i="1"/>
  <c r="E785" i="1"/>
  <c r="N785" i="1"/>
  <c r="M785" i="1"/>
  <c r="L785" i="1"/>
  <c r="K785" i="1"/>
  <c r="J785" i="1"/>
  <c r="I785" i="1"/>
  <c r="D785" i="1"/>
  <c r="C785" i="1"/>
  <c r="A785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B784" i="1"/>
  <c r="H784" i="1"/>
  <c r="G784" i="1"/>
  <c r="F784" i="1"/>
  <c r="E784" i="1"/>
  <c r="N784" i="1"/>
  <c r="M784" i="1"/>
  <c r="L784" i="1"/>
  <c r="K784" i="1"/>
  <c r="J784" i="1"/>
  <c r="I784" i="1"/>
  <c r="D784" i="1"/>
  <c r="C784" i="1"/>
  <c r="A784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B783" i="1"/>
  <c r="H783" i="1"/>
  <c r="G783" i="1"/>
  <c r="F783" i="1"/>
  <c r="E783" i="1"/>
  <c r="N783" i="1"/>
  <c r="M783" i="1"/>
  <c r="L783" i="1"/>
  <c r="K783" i="1"/>
  <c r="J783" i="1"/>
  <c r="I783" i="1"/>
  <c r="D783" i="1"/>
  <c r="C783" i="1"/>
  <c r="A783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B782" i="1"/>
  <c r="H782" i="1"/>
  <c r="G782" i="1"/>
  <c r="F782" i="1"/>
  <c r="E782" i="1"/>
  <c r="N782" i="1"/>
  <c r="M782" i="1"/>
  <c r="L782" i="1"/>
  <c r="K782" i="1"/>
  <c r="J782" i="1"/>
  <c r="I782" i="1"/>
  <c r="D782" i="1"/>
  <c r="C782" i="1"/>
  <c r="A782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B781" i="1"/>
  <c r="H781" i="1"/>
  <c r="G781" i="1"/>
  <c r="F781" i="1"/>
  <c r="E781" i="1"/>
  <c r="N781" i="1"/>
  <c r="M781" i="1"/>
  <c r="L781" i="1"/>
  <c r="K781" i="1"/>
  <c r="J781" i="1"/>
  <c r="I781" i="1"/>
  <c r="D781" i="1"/>
  <c r="C781" i="1"/>
  <c r="A781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B780" i="1"/>
  <c r="H780" i="1"/>
  <c r="G780" i="1"/>
  <c r="F780" i="1"/>
  <c r="E780" i="1"/>
  <c r="N780" i="1"/>
  <c r="M780" i="1"/>
  <c r="L780" i="1"/>
  <c r="K780" i="1"/>
  <c r="J780" i="1"/>
  <c r="I780" i="1"/>
  <c r="D780" i="1"/>
  <c r="C780" i="1"/>
  <c r="A780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B779" i="1"/>
  <c r="H779" i="1"/>
  <c r="G779" i="1"/>
  <c r="F779" i="1"/>
  <c r="E779" i="1"/>
  <c r="N779" i="1"/>
  <c r="M779" i="1"/>
  <c r="L779" i="1"/>
  <c r="K779" i="1"/>
  <c r="J779" i="1"/>
  <c r="I779" i="1"/>
  <c r="D779" i="1"/>
  <c r="C779" i="1"/>
  <c r="A779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B778" i="1"/>
  <c r="H778" i="1"/>
  <c r="G778" i="1"/>
  <c r="F778" i="1"/>
  <c r="E778" i="1"/>
  <c r="N778" i="1"/>
  <c r="M778" i="1"/>
  <c r="L778" i="1"/>
  <c r="K778" i="1"/>
  <c r="J778" i="1"/>
  <c r="I778" i="1"/>
  <c r="D778" i="1"/>
  <c r="C778" i="1"/>
  <c r="A778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B777" i="1"/>
  <c r="H777" i="1"/>
  <c r="G777" i="1"/>
  <c r="F777" i="1"/>
  <c r="E777" i="1"/>
  <c r="N777" i="1"/>
  <c r="M777" i="1"/>
  <c r="L777" i="1"/>
  <c r="K777" i="1"/>
  <c r="J777" i="1"/>
  <c r="I777" i="1"/>
  <c r="D777" i="1"/>
  <c r="C777" i="1"/>
  <c r="A777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B776" i="1"/>
  <c r="H776" i="1"/>
  <c r="G776" i="1"/>
  <c r="F776" i="1"/>
  <c r="E776" i="1"/>
  <c r="N776" i="1"/>
  <c r="M776" i="1"/>
  <c r="L776" i="1"/>
  <c r="K776" i="1"/>
  <c r="J776" i="1"/>
  <c r="I776" i="1"/>
  <c r="D776" i="1"/>
  <c r="C776" i="1"/>
  <c r="A776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B775" i="1"/>
  <c r="H775" i="1"/>
  <c r="G775" i="1"/>
  <c r="F775" i="1"/>
  <c r="E775" i="1"/>
  <c r="N775" i="1"/>
  <c r="M775" i="1"/>
  <c r="L775" i="1"/>
  <c r="K775" i="1"/>
  <c r="J775" i="1"/>
  <c r="I775" i="1"/>
  <c r="D775" i="1"/>
  <c r="C775" i="1"/>
  <c r="A775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B774" i="1"/>
  <c r="H774" i="1"/>
  <c r="G774" i="1"/>
  <c r="F774" i="1"/>
  <c r="E774" i="1"/>
  <c r="N774" i="1"/>
  <c r="M774" i="1"/>
  <c r="L774" i="1"/>
  <c r="K774" i="1"/>
  <c r="J774" i="1"/>
  <c r="I774" i="1"/>
  <c r="D774" i="1"/>
  <c r="C774" i="1"/>
  <c r="A774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B773" i="1"/>
  <c r="H773" i="1"/>
  <c r="G773" i="1"/>
  <c r="F773" i="1"/>
  <c r="E773" i="1"/>
  <c r="N773" i="1"/>
  <c r="M773" i="1"/>
  <c r="L773" i="1"/>
  <c r="K773" i="1"/>
  <c r="J773" i="1"/>
  <c r="I773" i="1"/>
  <c r="D773" i="1"/>
  <c r="C773" i="1"/>
  <c r="A773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B772" i="1"/>
  <c r="H772" i="1"/>
  <c r="G772" i="1"/>
  <c r="F772" i="1"/>
  <c r="E772" i="1"/>
  <c r="N772" i="1"/>
  <c r="M772" i="1"/>
  <c r="L772" i="1"/>
  <c r="K772" i="1"/>
  <c r="J772" i="1"/>
  <c r="I772" i="1"/>
  <c r="D772" i="1"/>
  <c r="C772" i="1"/>
  <c r="A772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B771" i="1"/>
  <c r="H771" i="1"/>
  <c r="G771" i="1"/>
  <c r="F771" i="1"/>
  <c r="E771" i="1"/>
  <c r="N771" i="1"/>
  <c r="M771" i="1"/>
  <c r="L771" i="1"/>
  <c r="K771" i="1"/>
  <c r="J771" i="1"/>
  <c r="I771" i="1"/>
  <c r="D771" i="1"/>
  <c r="C771" i="1"/>
  <c r="A771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B770" i="1"/>
  <c r="H770" i="1"/>
  <c r="G770" i="1"/>
  <c r="F770" i="1"/>
  <c r="E770" i="1"/>
  <c r="N770" i="1"/>
  <c r="M770" i="1"/>
  <c r="L770" i="1"/>
  <c r="K770" i="1"/>
  <c r="J770" i="1"/>
  <c r="I770" i="1"/>
  <c r="D770" i="1"/>
  <c r="C770" i="1"/>
  <c r="A770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B769" i="1"/>
  <c r="H769" i="1"/>
  <c r="G769" i="1"/>
  <c r="F769" i="1"/>
  <c r="E769" i="1"/>
  <c r="N769" i="1"/>
  <c r="M769" i="1"/>
  <c r="L769" i="1"/>
  <c r="K769" i="1"/>
  <c r="J769" i="1"/>
  <c r="I769" i="1"/>
  <c r="D769" i="1"/>
  <c r="C769" i="1"/>
  <c r="A769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B768" i="1"/>
  <c r="H768" i="1"/>
  <c r="G768" i="1"/>
  <c r="F768" i="1"/>
  <c r="E768" i="1"/>
  <c r="N768" i="1"/>
  <c r="M768" i="1"/>
  <c r="L768" i="1"/>
  <c r="K768" i="1"/>
  <c r="J768" i="1"/>
  <c r="I768" i="1"/>
  <c r="D768" i="1"/>
  <c r="C768" i="1"/>
  <c r="A768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B767" i="1"/>
  <c r="H767" i="1"/>
  <c r="G767" i="1"/>
  <c r="F767" i="1"/>
  <c r="E767" i="1"/>
  <c r="N767" i="1"/>
  <c r="M767" i="1"/>
  <c r="L767" i="1"/>
  <c r="K767" i="1"/>
  <c r="J767" i="1"/>
  <c r="I767" i="1"/>
  <c r="D767" i="1"/>
  <c r="C767" i="1"/>
  <c r="A767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B766" i="1"/>
  <c r="H766" i="1"/>
  <c r="G766" i="1"/>
  <c r="F766" i="1"/>
  <c r="E766" i="1"/>
  <c r="N766" i="1"/>
  <c r="M766" i="1"/>
  <c r="L766" i="1"/>
  <c r="K766" i="1"/>
  <c r="J766" i="1"/>
  <c r="I766" i="1"/>
  <c r="D766" i="1"/>
  <c r="C766" i="1"/>
  <c r="A766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B765" i="1"/>
  <c r="H765" i="1"/>
  <c r="G765" i="1"/>
  <c r="F765" i="1"/>
  <c r="E765" i="1"/>
  <c r="N765" i="1"/>
  <c r="M765" i="1"/>
  <c r="L765" i="1"/>
  <c r="K765" i="1"/>
  <c r="J765" i="1"/>
  <c r="I765" i="1"/>
  <c r="D765" i="1"/>
  <c r="C765" i="1"/>
  <c r="A765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B764" i="1"/>
  <c r="H764" i="1"/>
  <c r="G764" i="1"/>
  <c r="F764" i="1"/>
  <c r="E764" i="1"/>
  <c r="N764" i="1"/>
  <c r="M764" i="1"/>
  <c r="L764" i="1"/>
  <c r="K764" i="1"/>
  <c r="J764" i="1"/>
  <c r="I764" i="1"/>
  <c r="D764" i="1"/>
  <c r="C764" i="1"/>
  <c r="A764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B763" i="1"/>
  <c r="H763" i="1"/>
  <c r="G763" i="1"/>
  <c r="F763" i="1"/>
  <c r="E763" i="1"/>
  <c r="N763" i="1"/>
  <c r="M763" i="1"/>
  <c r="L763" i="1"/>
  <c r="K763" i="1"/>
  <c r="J763" i="1"/>
  <c r="I763" i="1"/>
  <c r="D763" i="1"/>
  <c r="C763" i="1"/>
  <c r="A763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B762" i="1"/>
  <c r="H762" i="1"/>
  <c r="G762" i="1"/>
  <c r="F762" i="1"/>
  <c r="E762" i="1"/>
  <c r="N762" i="1"/>
  <c r="M762" i="1"/>
  <c r="L762" i="1"/>
  <c r="K762" i="1"/>
  <c r="J762" i="1"/>
  <c r="I762" i="1"/>
  <c r="D762" i="1"/>
  <c r="C762" i="1"/>
  <c r="A762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B761" i="1"/>
  <c r="H761" i="1"/>
  <c r="G761" i="1"/>
  <c r="F761" i="1"/>
  <c r="E761" i="1"/>
  <c r="N761" i="1"/>
  <c r="M761" i="1"/>
  <c r="L761" i="1"/>
  <c r="K761" i="1"/>
  <c r="J761" i="1"/>
  <c r="I761" i="1"/>
  <c r="D761" i="1"/>
  <c r="C761" i="1"/>
  <c r="A761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B760" i="1"/>
  <c r="H760" i="1"/>
  <c r="G760" i="1"/>
  <c r="F760" i="1"/>
  <c r="E760" i="1"/>
  <c r="N760" i="1"/>
  <c r="M760" i="1"/>
  <c r="L760" i="1"/>
  <c r="K760" i="1"/>
  <c r="J760" i="1"/>
  <c r="I760" i="1"/>
  <c r="D760" i="1"/>
  <c r="C760" i="1"/>
  <c r="A760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B759" i="1"/>
  <c r="H759" i="1"/>
  <c r="G759" i="1"/>
  <c r="F759" i="1"/>
  <c r="E759" i="1"/>
  <c r="N759" i="1"/>
  <c r="M759" i="1"/>
  <c r="L759" i="1"/>
  <c r="K759" i="1"/>
  <c r="J759" i="1"/>
  <c r="I759" i="1"/>
  <c r="D759" i="1"/>
  <c r="C759" i="1"/>
  <c r="A759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B758" i="1"/>
  <c r="H758" i="1"/>
  <c r="G758" i="1"/>
  <c r="F758" i="1"/>
  <c r="E758" i="1"/>
  <c r="N758" i="1"/>
  <c r="M758" i="1"/>
  <c r="L758" i="1"/>
  <c r="K758" i="1"/>
  <c r="J758" i="1"/>
  <c r="I758" i="1"/>
  <c r="D758" i="1"/>
  <c r="C758" i="1"/>
  <c r="A758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B757" i="1"/>
  <c r="H757" i="1"/>
  <c r="G757" i="1"/>
  <c r="F757" i="1"/>
  <c r="E757" i="1"/>
  <c r="N757" i="1"/>
  <c r="M757" i="1"/>
  <c r="L757" i="1"/>
  <c r="K757" i="1"/>
  <c r="J757" i="1"/>
  <c r="I757" i="1"/>
  <c r="D757" i="1"/>
  <c r="C757" i="1"/>
  <c r="A757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B756" i="1"/>
  <c r="H756" i="1"/>
  <c r="G756" i="1"/>
  <c r="F756" i="1"/>
  <c r="E756" i="1"/>
  <c r="N756" i="1"/>
  <c r="M756" i="1"/>
  <c r="L756" i="1"/>
  <c r="K756" i="1"/>
  <c r="J756" i="1"/>
  <c r="I756" i="1"/>
  <c r="D756" i="1"/>
  <c r="C756" i="1"/>
  <c r="A756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B755" i="1"/>
  <c r="H755" i="1"/>
  <c r="G755" i="1"/>
  <c r="F755" i="1"/>
  <c r="E755" i="1"/>
  <c r="N755" i="1"/>
  <c r="M755" i="1"/>
  <c r="L755" i="1"/>
  <c r="K755" i="1"/>
  <c r="J755" i="1"/>
  <c r="I755" i="1"/>
  <c r="D755" i="1"/>
  <c r="C755" i="1"/>
  <c r="A755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B754" i="1"/>
  <c r="H754" i="1"/>
  <c r="G754" i="1"/>
  <c r="F754" i="1"/>
  <c r="E754" i="1"/>
  <c r="N754" i="1"/>
  <c r="M754" i="1"/>
  <c r="L754" i="1"/>
  <c r="K754" i="1"/>
  <c r="J754" i="1"/>
  <c r="I754" i="1"/>
  <c r="D754" i="1"/>
  <c r="C754" i="1"/>
  <c r="A754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B753" i="1"/>
  <c r="H753" i="1"/>
  <c r="G753" i="1"/>
  <c r="F753" i="1"/>
  <c r="E753" i="1"/>
  <c r="N753" i="1"/>
  <c r="M753" i="1"/>
  <c r="L753" i="1"/>
  <c r="K753" i="1"/>
  <c r="J753" i="1"/>
  <c r="I753" i="1"/>
  <c r="D753" i="1"/>
  <c r="C753" i="1"/>
  <c r="A753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B752" i="1"/>
  <c r="H752" i="1"/>
  <c r="G752" i="1"/>
  <c r="F752" i="1"/>
  <c r="E752" i="1"/>
  <c r="N752" i="1"/>
  <c r="M752" i="1"/>
  <c r="L752" i="1"/>
  <c r="K752" i="1"/>
  <c r="J752" i="1"/>
  <c r="I752" i="1"/>
  <c r="D752" i="1"/>
  <c r="C752" i="1"/>
  <c r="A752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B751" i="1"/>
  <c r="H751" i="1"/>
  <c r="G751" i="1"/>
  <c r="F751" i="1"/>
  <c r="E751" i="1"/>
  <c r="N751" i="1"/>
  <c r="M751" i="1"/>
  <c r="L751" i="1"/>
  <c r="K751" i="1"/>
  <c r="J751" i="1"/>
  <c r="I751" i="1"/>
  <c r="D751" i="1"/>
  <c r="C751" i="1"/>
  <c r="A751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B750" i="1"/>
  <c r="H750" i="1"/>
  <c r="G750" i="1"/>
  <c r="F750" i="1"/>
  <c r="E750" i="1"/>
  <c r="N750" i="1"/>
  <c r="M750" i="1"/>
  <c r="L750" i="1"/>
  <c r="K750" i="1"/>
  <c r="J750" i="1"/>
  <c r="I750" i="1"/>
  <c r="D750" i="1"/>
  <c r="C750" i="1"/>
  <c r="A750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B749" i="1"/>
  <c r="H749" i="1"/>
  <c r="G749" i="1"/>
  <c r="F749" i="1"/>
  <c r="E749" i="1"/>
  <c r="N749" i="1"/>
  <c r="M749" i="1"/>
  <c r="L749" i="1"/>
  <c r="K749" i="1"/>
  <c r="J749" i="1"/>
  <c r="I749" i="1"/>
  <c r="D749" i="1"/>
  <c r="C749" i="1"/>
  <c r="A749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B748" i="1"/>
  <c r="H748" i="1"/>
  <c r="G748" i="1"/>
  <c r="F748" i="1"/>
  <c r="E748" i="1"/>
  <c r="N748" i="1"/>
  <c r="M748" i="1"/>
  <c r="L748" i="1"/>
  <c r="K748" i="1"/>
  <c r="J748" i="1"/>
  <c r="I748" i="1"/>
  <c r="D748" i="1"/>
  <c r="C748" i="1"/>
  <c r="A748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B747" i="1"/>
  <c r="H747" i="1"/>
  <c r="G747" i="1"/>
  <c r="F747" i="1"/>
  <c r="E747" i="1"/>
  <c r="N747" i="1"/>
  <c r="M747" i="1"/>
  <c r="L747" i="1"/>
  <c r="K747" i="1"/>
  <c r="J747" i="1"/>
  <c r="I747" i="1"/>
  <c r="D747" i="1"/>
  <c r="C747" i="1"/>
  <c r="A747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B746" i="1"/>
  <c r="H746" i="1"/>
  <c r="G746" i="1"/>
  <c r="F746" i="1"/>
  <c r="E746" i="1"/>
  <c r="N746" i="1"/>
  <c r="M746" i="1"/>
  <c r="L746" i="1"/>
  <c r="K746" i="1"/>
  <c r="J746" i="1"/>
  <c r="I746" i="1"/>
  <c r="D746" i="1"/>
  <c r="C746" i="1"/>
  <c r="A746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B745" i="1"/>
  <c r="H745" i="1"/>
  <c r="G745" i="1"/>
  <c r="F745" i="1"/>
  <c r="E745" i="1"/>
  <c r="N745" i="1"/>
  <c r="M745" i="1"/>
  <c r="L745" i="1"/>
  <c r="K745" i="1"/>
  <c r="J745" i="1"/>
  <c r="I745" i="1"/>
  <c r="D745" i="1"/>
  <c r="C745" i="1"/>
  <c r="A745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B744" i="1"/>
  <c r="H744" i="1"/>
  <c r="G744" i="1"/>
  <c r="F744" i="1"/>
  <c r="E744" i="1"/>
  <c r="N744" i="1"/>
  <c r="M744" i="1"/>
  <c r="L744" i="1"/>
  <c r="K744" i="1"/>
  <c r="J744" i="1"/>
  <c r="I744" i="1"/>
  <c r="D744" i="1"/>
  <c r="C744" i="1"/>
  <c r="A744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B743" i="1"/>
  <c r="H743" i="1"/>
  <c r="G743" i="1"/>
  <c r="F743" i="1"/>
  <c r="E743" i="1"/>
  <c r="N743" i="1"/>
  <c r="M743" i="1"/>
  <c r="L743" i="1"/>
  <c r="K743" i="1"/>
  <c r="J743" i="1"/>
  <c r="I743" i="1"/>
  <c r="D743" i="1"/>
  <c r="C743" i="1"/>
  <c r="A743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B742" i="1"/>
  <c r="H742" i="1"/>
  <c r="G742" i="1"/>
  <c r="F742" i="1"/>
  <c r="E742" i="1"/>
  <c r="N742" i="1"/>
  <c r="M742" i="1"/>
  <c r="L742" i="1"/>
  <c r="K742" i="1"/>
  <c r="J742" i="1"/>
  <c r="I742" i="1"/>
  <c r="D742" i="1"/>
  <c r="C742" i="1"/>
  <c r="A742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B741" i="1"/>
  <c r="H741" i="1"/>
  <c r="G741" i="1"/>
  <c r="F741" i="1"/>
  <c r="E741" i="1"/>
  <c r="N741" i="1"/>
  <c r="M741" i="1"/>
  <c r="L741" i="1"/>
  <c r="K741" i="1"/>
  <c r="J741" i="1"/>
  <c r="I741" i="1"/>
  <c r="D741" i="1"/>
  <c r="C741" i="1"/>
  <c r="A741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B740" i="1"/>
  <c r="H740" i="1"/>
  <c r="G740" i="1"/>
  <c r="F740" i="1"/>
  <c r="E740" i="1"/>
  <c r="N740" i="1"/>
  <c r="M740" i="1"/>
  <c r="L740" i="1"/>
  <c r="K740" i="1"/>
  <c r="J740" i="1"/>
  <c r="I740" i="1"/>
  <c r="D740" i="1"/>
  <c r="C740" i="1"/>
  <c r="A740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B739" i="1"/>
  <c r="H739" i="1"/>
  <c r="G739" i="1"/>
  <c r="F739" i="1"/>
  <c r="E739" i="1"/>
  <c r="N739" i="1"/>
  <c r="M739" i="1"/>
  <c r="L739" i="1"/>
  <c r="K739" i="1"/>
  <c r="J739" i="1"/>
  <c r="I739" i="1"/>
  <c r="D739" i="1"/>
  <c r="C739" i="1"/>
  <c r="A739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B738" i="1"/>
  <c r="H738" i="1"/>
  <c r="G738" i="1"/>
  <c r="F738" i="1"/>
  <c r="E738" i="1"/>
  <c r="N738" i="1"/>
  <c r="M738" i="1"/>
  <c r="L738" i="1"/>
  <c r="K738" i="1"/>
  <c r="J738" i="1"/>
  <c r="I738" i="1"/>
  <c r="D738" i="1"/>
  <c r="C738" i="1"/>
  <c r="A738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B737" i="1"/>
  <c r="H737" i="1"/>
  <c r="G737" i="1"/>
  <c r="F737" i="1"/>
  <c r="E737" i="1"/>
  <c r="N737" i="1"/>
  <c r="M737" i="1"/>
  <c r="L737" i="1"/>
  <c r="K737" i="1"/>
  <c r="J737" i="1"/>
  <c r="I737" i="1"/>
  <c r="D737" i="1"/>
  <c r="C737" i="1"/>
  <c r="A737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B736" i="1"/>
  <c r="H736" i="1"/>
  <c r="G736" i="1"/>
  <c r="F736" i="1"/>
  <c r="E736" i="1"/>
  <c r="N736" i="1"/>
  <c r="M736" i="1"/>
  <c r="L736" i="1"/>
  <c r="K736" i="1"/>
  <c r="J736" i="1"/>
  <c r="I736" i="1"/>
  <c r="D736" i="1"/>
  <c r="C736" i="1"/>
  <c r="A736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B735" i="1"/>
  <c r="H735" i="1"/>
  <c r="G735" i="1"/>
  <c r="F735" i="1"/>
  <c r="E735" i="1"/>
  <c r="N735" i="1"/>
  <c r="M735" i="1"/>
  <c r="L735" i="1"/>
  <c r="K735" i="1"/>
  <c r="J735" i="1"/>
  <c r="I735" i="1"/>
  <c r="D735" i="1"/>
  <c r="C735" i="1"/>
  <c r="A735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B734" i="1"/>
  <c r="H734" i="1"/>
  <c r="G734" i="1"/>
  <c r="F734" i="1"/>
  <c r="E734" i="1"/>
  <c r="N734" i="1"/>
  <c r="M734" i="1"/>
  <c r="L734" i="1"/>
  <c r="K734" i="1"/>
  <c r="J734" i="1"/>
  <c r="I734" i="1"/>
  <c r="D734" i="1"/>
  <c r="C734" i="1"/>
  <c r="A734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B733" i="1"/>
  <c r="H733" i="1"/>
  <c r="G733" i="1"/>
  <c r="F733" i="1"/>
  <c r="E733" i="1"/>
  <c r="N733" i="1"/>
  <c r="M733" i="1"/>
  <c r="L733" i="1"/>
  <c r="K733" i="1"/>
  <c r="J733" i="1"/>
  <c r="I733" i="1"/>
  <c r="D733" i="1"/>
  <c r="C733" i="1"/>
  <c r="A733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B732" i="1"/>
  <c r="H732" i="1"/>
  <c r="G732" i="1"/>
  <c r="F732" i="1"/>
  <c r="E732" i="1"/>
  <c r="N732" i="1"/>
  <c r="M732" i="1"/>
  <c r="L732" i="1"/>
  <c r="K732" i="1"/>
  <c r="J732" i="1"/>
  <c r="I732" i="1"/>
  <c r="D732" i="1"/>
  <c r="C732" i="1"/>
  <c r="A732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B731" i="1"/>
  <c r="H731" i="1"/>
  <c r="G731" i="1"/>
  <c r="F731" i="1"/>
  <c r="E731" i="1"/>
  <c r="N731" i="1"/>
  <c r="M731" i="1"/>
  <c r="L731" i="1"/>
  <c r="K731" i="1"/>
  <c r="J731" i="1"/>
  <c r="I731" i="1"/>
  <c r="D731" i="1"/>
  <c r="C731" i="1"/>
  <c r="A731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B730" i="1"/>
  <c r="H730" i="1"/>
  <c r="G730" i="1"/>
  <c r="F730" i="1"/>
  <c r="E730" i="1"/>
  <c r="N730" i="1"/>
  <c r="M730" i="1"/>
  <c r="L730" i="1"/>
  <c r="K730" i="1"/>
  <c r="J730" i="1"/>
  <c r="I730" i="1"/>
  <c r="D730" i="1"/>
  <c r="C730" i="1"/>
  <c r="A730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B729" i="1"/>
  <c r="H729" i="1"/>
  <c r="G729" i="1"/>
  <c r="F729" i="1"/>
  <c r="E729" i="1"/>
  <c r="N729" i="1"/>
  <c r="M729" i="1"/>
  <c r="L729" i="1"/>
  <c r="K729" i="1"/>
  <c r="J729" i="1"/>
  <c r="I729" i="1"/>
  <c r="D729" i="1"/>
  <c r="C729" i="1"/>
  <c r="A729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B728" i="1"/>
  <c r="H728" i="1"/>
  <c r="G728" i="1"/>
  <c r="F728" i="1"/>
  <c r="E728" i="1"/>
  <c r="M728" i="1"/>
  <c r="L728" i="1"/>
  <c r="K728" i="1"/>
  <c r="J728" i="1"/>
  <c r="I728" i="1"/>
  <c r="D728" i="1"/>
  <c r="C728" i="1"/>
  <c r="A728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B727" i="1"/>
  <c r="H727" i="1"/>
  <c r="G727" i="1"/>
  <c r="F727" i="1"/>
  <c r="E727" i="1"/>
  <c r="N727" i="1"/>
  <c r="M727" i="1"/>
  <c r="L727" i="1"/>
  <c r="K727" i="1"/>
  <c r="J727" i="1"/>
  <c r="I727" i="1"/>
  <c r="D727" i="1"/>
  <c r="C727" i="1"/>
  <c r="A727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B726" i="1"/>
  <c r="H726" i="1"/>
  <c r="G726" i="1"/>
  <c r="F726" i="1"/>
  <c r="E726" i="1"/>
  <c r="N726" i="1"/>
  <c r="M726" i="1"/>
  <c r="L726" i="1"/>
  <c r="K726" i="1"/>
  <c r="J726" i="1"/>
  <c r="I726" i="1"/>
  <c r="D726" i="1"/>
  <c r="C726" i="1"/>
  <c r="A726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B725" i="1"/>
  <c r="H725" i="1"/>
  <c r="G725" i="1"/>
  <c r="F725" i="1"/>
  <c r="E725" i="1"/>
  <c r="N725" i="1"/>
  <c r="M725" i="1"/>
  <c r="L725" i="1"/>
  <c r="K725" i="1"/>
  <c r="J725" i="1"/>
  <c r="I725" i="1"/>
  <c r="D725" i="1"/>
  <c r="C725" i="1"/>
  <c r="A725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B724" i="1"/>
  <c r="H724" i="1"/>
  <c r="G724" i="1"/>
  <c r="F724" i="1"/>
  <c r="E724" i="1"/>
  <c r="N724" i="1"/>
  <c r="M724" i="1"/>
  <c r="L724" i="1"/>
  <c r="K724" i="1"/>
  <c r="J724" i="1"/>
  <c r="I724" i="1"/>
  <c r="D724" i="1"/>
  <c r="C724" i="1"/>
  <c r="A724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B723" i="1"/>
  <c r="H723" i="1"/>
  <c r="G723" i="1"/>
  <c r="F723" i="1"/>
  <c r="E723" i="1"/>
  <c r="N723" i="1"/>
  <c r="M723" i="1"/>
  <c r="L723" i="1"/>
  <c r="K723" i="1"/>
  <c r="J723" i="1"/>
  <c r="I723" i="1"/>
  <c r="D723" i="1"/>
  <c r="C723" i="1"/>
  <c r="A723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B722" i="1"/>
  <c r="H722" i="1"/>
  <c r="G722" i="1"/>
  <c r="F722" i="1"/>
  <c r="E722" i="1"/>
  <c r="N722" i="1"/>
  <c r="M722" i="1"/>
  <c r="L722" i="1"/>
  <c r="K722" i="1"/>
  <c r="J722" i="1"/>
  <c r="I722" i="1"/>
  <c r="D722" i="1"/>
  <c r="C722" i="1"/>
  <c r="A722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B721" i="1"/>
  <c r="H721" i="1"/>
  <c r="G721" i="1"/>
  <c r="F721" i="1"/>
  <c r="E721" i="1"/>
  <c r="N721" i="1"/>
  <c r="M721" i="1"/>
  <c r="L721" i="1"/>
  <c r="K721" i="1"/>
  <c r="J721" i="1"/>
  <c r="I721" i="1"/>
  <c r="D721" i="1"/>
  <c r="C721" i="1"/>
  <c r="A721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B720" i="1"/>
  <c r="H720" i="1"/>
  <c r="G720" i="1"/>
  <c r="F720" i="1"/>
  <c r="E720" i="1"/>
  <c r="N720" i="1"/>
  <c r="M720" i="1"/>
  <c r="L720" i="1"/>
  <c r="K720" i="1"/>
  <c r="J720" i="1"/>
  <c r="I720" i="1"/>
  <c r="D720" i="1"/>
  <c r="C720" i="1"/>
  <c r="A720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B719" i="1"/>
  <c r="H719" i="1"/>
  <c r="G719" i="1"/>
  <c r="F719" i="1"/>
  <c r="E719" i="1"/>
  <c r="N719" i="1"/>
  <c r="M719" i="1"/>
  <c r="L719" i="1"/>
  <c r="K719" i="1"/>
  <c r="J719" i="1"/>
  <c r="I719" i="1"/>
  <c r="D719" i="1"/>
  <c r="C719" i="1"/>
  <c r="A719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B718" i="1"/>
  <c r="H718" i="1"/>
  <c r="G718" i="1"/>
  <c r="F718" i="1"/>
  <c r="E718" i="1"/>
  <c r="N718" i="1"/>
  <c r="M718" i="1"/>
  <c r="L718" i="1"/>
  <c r="K718" i="1"/>
  <c r="J718" i="1"/>
  <c r="I718" i="1"/>
  <c r="D718" i="1"/>
  <c r="C718" i="1"/>
  <c r="A718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B717" i="1"/>
  <c r="H717" i="1"/>
  <c r="G717" i="1"/>
  <c r="F717" i="1"/>
  <c r="E717" i="1"/>
  <c r="N717" i="1"/>
  <c r="M717" i="1"/>
  <c r="L717" i="1"/>
  <c r="K717" i="1"/>
  <c r="J717" i="1"/>
  <c r="I717" i="1"/>
  <c r="D717" i="1"/>
  <c r="C717" i="1"/>
  <c r="A717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B716" i="1"/>
  <c r="H716" i="1"/>
  <c r="G716" i="1"/>
  <c r="F716" i="1"/>
  <c r="E716" i="1"/>
  <c r="N716" i="1"/>
  <c r="M716" i="1"/>
  <c r="L716" i="1"/>
  <c r="K716" i="1"/>
  <c r="J716" i="1"/>
  <c r="I716" i="1"/>
  <c r="D716" i="1"/>
  <c r="C716" i="1"/>
  <c r="A716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B715" i="1"/>
  <c r="H715" i="1"/>
  <c r="G715" i="1"/>
  <c r="F715" i="1"/>
  <c r="E715" i="1"/>
  <c r="N715" i="1"/>
  <c r="M715" i="1"/>
  <c r="L715" i="1"/>
  <c r="K715" i="1"/>
  <c r="J715" i="1"/>
  <c r="I715" i="1"/>
  <c r="D715" i="1"/>
  <c r="C715" i="1"/>
  <c r="A715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B714" i="1"/>
  <c r="H714" i="1"/>
  <c r="G714" i="1"/>
  <c r="F714" i="1"/>
  <c r="E714" i="1"/>
  <c r="N714" i="1"/>
  <c r="M714" i="1"/>
  <c r="L714" i="1"/>
  <c r="K714" i="1"/>
  <c r="J714" i="1"/>
  <c r="I714" i="1"/>
  <c r="D714" i="1"/>
  <c r="C714" i="1"/>
  <c r="A714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B713" i="1"/>
  <c r="H713" i="1"/>
  <c r="G713" i="1"/>
  <c r="F713" i="1"/>
  <c r="E713" i="1"/>
  <c r="N713" i="1"/>
  <c r="M713" i="1"/>
  <c r="L713" i="1"/>
  <c r="K713" i="1"/>
  <c r="J713" i="1"/>
  <c r="I713" i="1"/>
  <c r="D713" i="1"/>
  <c r="C713" i="1"/>
  <c r="A713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B712" i="1"/>
  <c r="H712" i="1"/>
  <c r="G712" i="1"/>
  <c r="F712" i="1"/>
  <c r="E712" i="1"/>
  <c r="N712" i="1"/>
  <c r="M712" i="1"/>
  <c r="L712" i="1"/>
  <c r="K712" i="1"/>
  <c r="J712" i="1"/>
  <c r="I712" i="1"/>
  <c r="D712" i="1"/>
  <c r="C712" i="1"/>
  <c r="A712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B711" i="1"/>
  <c r="H711" i="1"/>
  <c r="G711" i="1"/>
  <c r="F711" i="1"/>
  <c r="E711" i="1"/>
  <c r="N711" i="1"/>
  <c r="M711" i="1"/>
  <c r="L711" i="1"/>
  <c r="K711" i="1"/>
  <c r="J711" i="1"/>
  <c r="I711" i="1"/>
  <c r="D711" i="1"/>
  <c r="C711" i="1"/>
  <c r="A711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B710" i="1"/>
  <c r="H710" i="1"/>
  <c r="G710" i="1"/>
  <c r="F710" i="1"/>
  <c r="E710" i="1"/>
  <c r="N710" i="1"/>
  <c r="M710" i="1"/>
  <c r="L710" i="1"/>
  <c r="K710" i="1"/>
  <c r="J710" i="1"/>
  <c r="I710" i="1"/>
  <c r="D710" i="1"/>
  <c r="C710" i="1"/>
  <c r="A710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B709" i="1"/>
  <c r="H709" i="1"/>
  <c r="G709" i="1"/>
  <c r="F709" i="1"/>
  <c r="E709" i="1"/>
  <c r="N709" i="1"/>
  <c r="M709" i="1"/>
  <c r="L709" i="1"/>
  <c r="K709" i="1"/>
  <c r="J709" i="1"/>
  <c r="I709" i="1"/>
  <c r="D709" i="1"/>
  <c r="C709" i="1"/>
  <c r="A709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B708" i="1"/>
  <c r="H708" i="1"/>
  <c r="G708" i="1"/>
  <c r="F708" i="1"/>
  <c r="E708" i="1"/>
  <c r="N708" i="1"/>
  <c r="M708" i="1"/>
  <c r="L708" i="1"/>
  <c r="K708" i="1"/>
  <c r="J708" i="1"/>
  <c r="I708" i="1"/>
  <c r="D708" i="1"/>
  <c r="C708" i="1"/>
  <c r="A708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B707" i="1"/>
  <c r="H707" i="1"/>
  <c r="G707" i="1"/>
  <c r="F707" i="1"/>
  <c r="E707" i="1"/>
  <c r="N707" i="1"/>
  <c r="M707" i="1"/>
  <c r="L707" i="1"/>
  <c r="K707" i="1"/>
  <c r="J707" i="1"/>
  <c r="I707" i="1"/>
  <c r="D707" i="1"/>
  <c r="C707" i="1"/>
  <c r="A707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B706" i="1"/>
  <c r="H706" i="1"/>
  <c r="G706" i="1"/>
  <c r="F706" i="1"/>
  <c r="E706" i="1"/>
  <c r="N706" i="1"/>
  <c r="M706" i="1"/>
  <c r="L706" i="1"/>
  <c r="K706" i="1"/>
  <c r="J706" i="1"/>
  <c r="I706" i="1"/>
  <c r="D706" i="1"/>
  <c r="C706" i="1"/>
  <c r="A706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B705" i="1"/>
  <c r="H705" i="1"/>
  <c r="G705" i="1"/>
  <c r="F705" i="1"/>
  <c r="E705" i="1"/>
  <c r="N705" i="1"/>
  <c r="M705" i="1"/>
  <c r="L705" i="1"/>
  <c r="K705" i="1"/>
  <c r="J705" i="1"/>
  <c r="I705" i="1"/>
  <c r="D705" i="1"/>
  <c r="C705" i="1"/>
  <c r="A705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B704" i="1"/>
  <c r="H704" i="1"/>
  <c r="G704" i="1"/>
  <c r="F704" i="1"/>
  <c r="E704" i="1"/>
  <c r="N704" i="1"/>
  <c r="M704" i="1"/>
  <c r="L704" i="1"/>
  <c r="K704" i="1"/>
  <c r="J704" i="1"/>
  <c r="I704" i="1"/>
  <c r="D704" i="1"/>
  <c r="C704" i="1"/>
  <c r="A704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B703" i="1"/>
  <c r="H703" i="1"/>
  <c r="G703" i="1"/>
  <c r="F703" i="1"/>
  <c r="E703" i="1"/>
  <c r="N703" i="1"/>
  <c r="M703" i="1"/>
  <c r="L703" i="1"/>
  <c r="K703" i="1"/>
  <c r="J703" i="1"/>
  <c r="I703" i="1"/>
  <c r="D703" i="1"/>
  <c r="C703" i="1"/>
  <c r="A703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B702" i="1"/>
  <c r="H702" i="1"/>
  <c r="G702" i="1"/>
  <c r="F702" i="1"/>
  <c r="E702" i="1"/>
  <c r="N702" i="1"/>
  <c r="M702" i="1"/>
  <c r="L702" i="1"/>
  <c r="K702" i="1"/>
  <c r="J702" i="1"/>
  <c r="I702" i="1"/>
  <c r="D702" i="1"/>
  <c r="C702" i="1"/>
  <c r="A702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B701" i="1"/>
  <c r="H701" i="1"/>
  <c r="G701" i="1"/>
  <c r="F701" i="1"/>
  <c r="E701" i="1"/>
  <c r="N701" i="1"/>
  <c r="M701" i="1"/>
  <c r="L701" i="1"/>
  <c r="K701" i="1"/>
  <c r="J701" i="1"/>
  <c r="I701" i="1"/>
  <c r="D701" i="1"/>
  <c r="C701" i="1"/>
  <c r="A701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B700" i="1"/>
  <c r="H700" i="1"/>
  <c r="G700" i="1"/>
  <c r="F700" i="1"/>
  <c r="E700" i="1"/>
  <c r="M700" i="1"/>
  <c r="L700" i="1"/>
  <c r="K700" i="1"/>
  <c r="J700" i="1"/>
  <c r="I700" i="1"/>
  <c r="D700" i="1"/>
  <c r="C700" i="1"/>
  <c r="A700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B699" i="1"/>
  <c r="H699" i="1"/>
  <c r="G699" i="1"/>
  <c r="F699" i="1"/>
  <c r="E699" i="1"/>
  <c r="N699" i="1"/>
  <c r="M699" i="1"/>
  <c r="L699" i="1"/>
  <c r="K699" i="1"/>
  <c r="J699" i="1"/>
  <c r="I699" i="1"/>
  <c r="D699" i="1"/>
  <c r="C699" i="1"/>
  <c r="A699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B698" i="1"/>
  <c r="H698" i="1"/>
  <c r="G698" i="1"/>
  <c r="F698" i="1"/>
  <c r="E698" i="1"/>
  <c r="N698" i="1"/>
  <c r="M698" i="1"/>
  <c r="L698" i="1"/>
  <c r="K698" i="1"/>
  <c r="J698" i="1"/>
  <c r="I698" i="1"/>
  <c r="D698" i="1"/>
  <c r="C698" i="1"/>
  <c r="A698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B697" i="1"/>
  <c r="H697" i="1"/>
  <c r="G697" i="1"/>
  <c r="F697" i="1"/>
  <c r="E697" i="1"/>
  <c r="N697" i="1"/>
  <c r="M697" i="1"/>
  <c r="L697" i="1"/>
  <c r="K697" i="1"/>
  <c r="J697" i="1"/>
  <c r="I697" i="1"/>
  <c r="D697" i="1"/>
  <c r="C697" i="1"/>
  <c r="A697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B696" i="1"/>
  <c r="H696" i="1"/>
  <c r="G696" i="1"/>
  <c r="F696" i="1"/>
  <c r="E696" i="1"/>
  <c r="N696" i="1"/>
  <c r="M696" i="1"/>
  <c r="L696" i="1"/>
  <c r="K696" i="1"/>
  <c r="J696" i="1"/>
  <c r="I696" i="1"/>
  <c r="D696" i="1"/>
  <c r="C696" i="1"/>
  <c r="A696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B695" i="1"/>
  <c r="H695" i="1"/>
  <c r="G695" i="1"/>
  <c r="F695" i="1"/>
  <c r="E695" i="1"/>
  <c r="N695" i="1"/>
  <c r="M695" i="1"/>
  <c r="L695" i="1"/>
  <c r="K695" i="1"/>
  <c r="J695" i="1"/>
  <c r="I695" i="1"/>
  <c r="D695" i="1"/>
  <c r="C695" i="1"/>
  <c r="A695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B694" i="1"/>
  <c r="H694" i="1"/>
  <c r="G694" i="1"/>
  <c r="F694" i="1"/>
  <c r="E694" i="1"/>
  <c r="N694" i="1"/>
  <c r="M694" i="1"/>
  <c r="L694" i="1"/>
  <c r="K694" i="1"/>
  <c r="J694" i="1"/>
  <c r="I694" i="1"/>
  <c r="D694" i="1"/>
  <c r="C694" i="1"/>
  <c r="A694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B693" i="1"/>
  <c r="H693" i="1"/>
  <c r="G693" i="1"/>
  <c r="F693" i="1"/>
  <c r="E693" i="1"/>
  <c r="N693" i="1"/>
  <c r="M693" i="1"/>
  <c r="L693" i="1"/>
  <c r="K693" i="1"/>
  <c r="J693" i="1"/>
  <c r="I693" i="1"/>
  <c r="D693" i="1"/>
  <c r="C693" i="1"/>
  <c r="A693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B692" i="1"/>
  <c r="H692" i="1"/>
  <c r="G692" i="1"/>
  <c r="F692" i="1"/>
  <c r="E692" i="1"/>
  <c r="N692" i="1"/>
  <c r="M692" i="1"/>
  <c r="L692" i="1"/>
  <c r="K692" i="1"/>
  <c r="J692" i="1"/>
  <c r="I692" i="1"/>
  <c r="D692" i="1"/>
  <c r="C692" i="1"/>
  <c r="A692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B691" i="1"/>
  <c r="H691" i="1"/>
  <c r="G691" i="1"/>
  <c r="F691" i="1"/>
  <c r="E691" i="1"/>
  <c r="N691" i="1"/>
  <c r="M691" i="1"/>
  <c r="L691" i="1"/>
  <c r="K691" i="1"/>
  <c r="J691" i="1"/>
  <c r="I691" i="1"/>
  <c r="D691" i="1"/>
  <c r="C691" i="1"/>
  <c r="A691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B690" i="1"/>
  <c r="H690" i="1"/>
  <c r="G690" i="1"/>
  <c r="F690" i="1"/>
  <c r="E690" i="1"/>
  <c r="N690" i="1"/>
  <c r="M690" i="1"/>
  <c r="L690" i="1"/>
  <c r="K690" i="1"/>
  <c r="J690" i="1"/>
  <c r="I690" i="1"/>
  <c r="D690" i="1"/>
  <c r="C690" i="1"/>
  <c r="A690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B689" i="1"/>
  <c r="H689" i="1"/>
  <c r="G689" i="1"/>
  <c r="F689" i="1"/>
  <c r="E689" i="1"/>
  <c r="N689" i="1"/>
  <c r="M689" i="1"/>
  <c r="L689" i="1"/>
  <c r="K689" i="1"/>
  <c r="J689" i="1"/>
  <c r="I689" i="1"/>
  <c r="D689" i="1"/>
  <c r="C689" i="1"/>
  <c r="A689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B688" i="1"/>
  <c r="H688" i="1"/>
  <c r="G688" i="1"/>
  <c r="F688" i="1"/>
  <c r="E688" i="1"/>
  <c r="N688" i="1"/>
  <c r="M688" i="1"/>
  <c r="L688" i="1"/>
  <c r="K688" i="1"/>
  <c r="J688" i="1"/>
  <c r="I688" i="1"/>
  <c r="D688" i="1"/>
  <c r="C688" i="1"/>
  <c r="A688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B687" i="1"/>
  <c r="H687" i="1"/>
  <c r="G687" i="1"/>
  <c r="F687" i="1"/>
  <c r="E687" i="1"/>
  <c r="N687" i="1"/>
  <c r="M687" i="1"/>
  <c r="L687" i="1"/>
  <c r="K687" i="1"/>
  <c r="J687" i="1"/>
  <c r="I687" i="1"/>
  <c r="D687" i="1"/>
  <c r="C687" i="1"/>
  <c r="A687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B686" i="1"/>
  <c r="H686" i="1"/>
  <c r="G686" i="1"/>
  <c r="F686" i="1"/>
  <c r="E686" i="1"/>
  <c r="N686" i="1"/>
  <c r="M686" i="1"/>
  <c r="L686" i="1"/>
  <c r="K686" i="1"/>
  <c r="J686" i="1"/>
  <c r="I686" i="1"/>
  <c r="D686" i="1"/>
  <c r="C686" i="1"/>
  <c r="A686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B685" i="1"/>
  <c r="H685" i="1"/>
  <c r="G685" i="1"/>
  <c r="F685" i="1"/>
  <c r="E685" i="1"/>
  <c r="N685" i="1"/>
  <c r="M685" i="1"/>
  <c r="L685" i="1"/>
  <c r="K685" i="1"/>
  <c r="J685" i="1"/>
  <c r="I685" i="1"/>
  <c r="D685" i="1"/>
  <c r="C685" i="1"/>
  <c r="A685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B684" i="1"/>
  <c r="H684" i="1"/>
  <c r="G684" i="1"/>
  <c r="F684" i="1"/>
  <c r="E684" i="1"/>
  <c r="N684" i="1"/>
  <c r="M684" i="1"/>
  <c r="L684" i="1"/>
  <c r="K684" i="1"/>
  <c r="J684" i="1"/>
  <c r="I684" i="1"/>
  <c r="D684" i="1"/>
  <c r="C684" i="1"/>
  <c r="A684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B683" i="1"/>
  <c r="H683" i="1"/>
  <c r="G683" i="1"/>
  <c r="F683" i="1"/>
  <c r="E683" i="1"/>
  <c r="M683" i="1"/>
  <c r="L683" i="1"/>
  <c r="K683" i="1"/>
  <c r="J683" i="1"/>
  <c r="I683" i="1"/>
  <c r="D683" i="1"/>
  <c r="C683" i="1"/>
  <c r="A683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B682" i="1"/>
  <c r="H682" i="1"/>
  <c r="G682" i="1"/>
  <c r="F682" i="1"/>
  <c r="E682" i="1"/>
  <c r="N682" i="1"/>
  <c r="M682" i="1"/>
  <c r="L682" i="1"/>
  <c r="K682" i="1"/>
  <c r="J682" i="1"/>
  <c r="I682" i="1"/>
  <c r="D682" i="1"/>
  <c r="C682" i="1"/>
  <c r="A682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B681" i="1"/>
  <c r="H681" i="1"/>
  <c r="G681" i="1"/>
  <c r="F681" i="1"/>
  <c r="E681" i="1"/>
  <c r="N681" i="1"/>
  <c r="M681" i="1"/>
  <c r="L681" i="1"/>
  <c r="K681" i="1"/>
  <c r="J681" i="1"/>
  <c r="I681" i="1"/>
  <c r="D681" i="1"/>
  <c r="C681" i="1"/>
  <c r="A681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B680" i="1"/>
  <c r="H680" i="1"/>
  <c r="G680" i="1"/>
  <c r="F680" i="1"/>
  <c r="E680" i="1"/>
  <c r="N680" i="1"/>
  <c r="M680" i="1"/>
  <c r="L680" i="1"/>
  <c r="K680" i="1"/>
  <c r="J680" i="1"/>
  <c r="I680" i="1"/>
  <c r="D680" i="1"/>
  <c r="C680" i="1"/>
  <c r="A680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B679" i="1"/>
  <c r="H679" i="1"/>
  <c r="G679" i="1"/>
  <c r="F679" i="1"/>
  <c r="E679" i="1"/>
  <c r="N679" i="1"/>
  <c r="M679" i="1"/>
  <c r="L679" i="1"/>
  <c r="K679" i="1"/>
  <c r="J679" i="1"/>
  <c r="I679" i="1"/>
  <c r="D679" i="1"/>
  <c r="C679" i="1"/>
  <c r="A679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B678" i="1"/>
  <c r="H678" i="1"/>
  <c r="G678" i="1"/>
  <c r="F678" i="1"/>
  <c r="E678" i="1"/>
  <c r="N678" i="1"/>
  <c r="M678" i="1"/>
  <c r="L678" i="1"/>
  <c r="K678" i="1"/>
  <c r="J678" i="1"/>
  <c r="I678" i="1"/>
  <c r="D678" i="1"/>
  <c r="C678" i="1"/>
  <c r="A678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B677" i="1"/>
  <c r="H677" i="1"/>
  <c r="G677" i="1"/>
  <c r="F677" i="1"/>
  <c r="E677" i="1"/>
  <c r="N677" i="1"/>
  <c r="M677" i="1"/>
  <c r="L677" i="1"/>
  <c r="K677" i="1"/>
  <c r="J677" i="1"/>
  <c r="I677" i="1"/>
  <c r="D677" i="1"/>
  <c r="C677" i="1"/>
  <c r="A677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B676" i="1"/>
  <c r="H676" i="1"/>
  <c r="G676" i="1"/>
  <c r="F676" i="1"/>
  <c r="E676" i="1"/>
  <c r="N676" i="1"/>
  <c r="M676" i="1"/>
  <c r="L676" i="1"/>
  <c r="K676" i="1"/>
  <c r="J676" i="1"/>
  <c r="I676" i="1"/>
  <c r="D676" i="1"/>
  <c r="C676" i="1"/>
  <c r="A676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B675" i="1"/>
  <c r="H675" i="1"/>
  <c r="G675" i="1"/>
  <c r="F675" i="1"/>
  <c r="E675" i="1"/>
  <c r="N675" i="1"/>
  <c r="M675" i="1"/>
  <c r="L675" i="1"/>
  <c r="K675" i="1"/>
  <c r="J675" i="1"/>
  <c r="I675" i="1"/>
  <c r="D675" i="1"/>
  <c r="C675" i="1"/>
  <c r="A675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B674" i="1"/>
  <c r="H674" i="1"/>
  <c r="G674" i="1"/>
  <c r="F674" i="1"/>
  <c r="E674" i="1"/>
  <c r="N674" i="1"/>
  <c r="M674" i="1"/>
  <c r="L674" i="1"/>
  <c r="K674" i="1"/>
  <c r="J674" i="1"/>
  <c r="I674" i="1"/>
  <c r="D674" i="1"/>
  <c r="C674" i="1"/>
  <c r="A674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B673" i="1"/>
  <c r="H673" i="1"/>
  <c r="G673" i="1"/>
  <c r="F673" i="1"/>
  <c r="E673" i="1"/>
  <c r="N673" i="1"/>
  <c r="M673" i="1"/>
  <c r="L673" i="1"/>
  <c r="K673" i="1"/>
  <c r="J673" i="1"/>
  <c r="I673" i="1"/>
  <c r="D673" i="1"/>
  <c r="C673" i="1"/>
  <c r="A673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B672" i="1"/>
  <c r="H672" i="1"/>
  <c r="G672" i="1"/>
  <c r="F672" i="1"/>
  <c r="E672" i="1"/>
  <c r="N672" i="1"/>
  <c r="M672" i="1"/>
  <c r="L672" i="1"/>
  <c r="K672" i="1"/>
  <c r="J672" i="1"/>
  <c r="I672" i="1"/>
  <c r="D672" i="1"/>
  <c r="C672" i="1"/>
  <c r="A672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B671" i="1"/>
  <c r="H671" i="1"/>
  <c r="G671" i="1"/>
  <c r="F671" i="1"/>
  <c r="E671" i="1"/>
  <c r="N671" i="1"/>
  <c r="M671" i="1"/>
  <c r="L671" i="1"/>
  <c r="K671" i="1"/>
  <c r="J671" i="1"/>
  <c r="I671" i="1"/>
  <c r="D671" i="1"/>
  <c r="C671" i="1"/>
  <c r="A671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B670" i="1"/>
  <c r="H670" i="1"/>
  <c r="G670" i="1"/>
  <c r="F670" i="1"/>
  <c r="E670" i="1"/>
  <c r="N670" i="1"/>
  <c r="M670" i="1"/>
  <c r="L670" i="1"/>
  <c r="K670" i="1"/>
  <c r="J670" i="1"/>
  <c r="I670" i="1"/>
  <c r="D670" i="1"/>
  <c r="C670" i="1"/>
  <c r="A670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B669" i="1"/>
  <c r="H669" i="1"/>
  <c r="G669" i="1"/>
  <c r="F669" i="1"/>
  <c r="E669" i="1"/>
  <c r="N669" i="1"/>
  <c r="M669" i="1"/>
  <c r="L669" i="1"/>
  <c r="K669" i="1"/>
  <c r="J669" i="1"/>
  <c r="I669" i="1"/>
  <c r="D669" i="1"/>
  <c r="C669" i="1"/>
  <c r="A669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B668" i="1"/>
  <c r="H668" i="1"/>
  <c r="G668" i="1"/>
  <c r="F668" i="1"/>
  <c r="E668" i="1"/>
  <c r="N668" i="1"/>
  <c r="M668" i="1"/>
  <c r="L668" i="1"/>
  <c r="K668" i="1"/>
  <c r="J668" i="1"/>
  <c r="I668" i="1"/>
  <c r="D668" i="1"/>
  <c r="C668" i="1"/>
  <c r="A668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B667" i="1"/>
  <c r="H667" i="1"/>
  <c r="G667" i="1"/>
  <c r="F667" i="1"/>
  <c r="E667" i="1"/>
  <c r="N667" i="1"/>
  <c r="M667" i="1"/>
  <c r="L667" i="1"/>
  <c r="K667" i="1"/>
  <c r="J667" i="1"/>
  <c r="I667" i="1"/>
  <c r="D667" i="1"/>
  <c r="C667" i="1"/>
  <c r="A667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B666" i="1"/>
  <c r="H666" i="1"/>
  <c r="G666" i="1"/>
  <c r="F666" i="1"/>
  <c r="E666" i="1"/>
  <c r="N666" i="1"/>
  <c r="M666" i="1"/>
  <c r="L666" i="1"/>
  <c r="K666" i="1"/>
  <c r="J666" i="1"/>
  <c r="I666" i="1"/>
  <c r="D666" i="1"/>
  <c r="C666" i="1"/>
  <c r="A666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B665" i="1"/>
  <c r="H665" i="1"/>
  <c r="G665" i="1"/>
  <c r="F665" i="1"/>
  <c r="E665" i="1"/>
  <c r="N665" i="1"/>
  <c r="M665" i="1"/>
  <c r="L665" i="1"/>
  <c r="K665" i="1"/>
  <c r="J665" i="1"/>
  <c r="I665" i="1"/>
  <c r="D665" i="1"/>
  <c r="C665" i="1"/>
  <c r="A665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B664" i="1"/>
  <c r="H664" i="1"/>
  <c r="G664" i="1"/>
  <c r="F664" i="1"/>
  <c r="E664" i="1"/>
  <c r="N664" i="1"/>
  <c r="M664" i="1"/>
  <c r="L664" i="1"/>
  <c r="K664" i="1"/>
  <c r="J664" i="1"/>
  <c r="I664" i="1"/>
  <c r="D664" i="1"/>
  <c r="C664" i="1"/>
  <c r="A664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B663" i="1"/>
  <c r="H663" i="1"/>
  <c r="G663" i="1"/>
  <c r="F663" i="1"/>
  <c r="E663" i="1"/>
  <c r="N663" i="1"/>
  <c r="M663" i="1"/>
  <c r="L663" i="1"/>
  <c r="K663" i="1"/>
  <c r="J663" i="1"/>
  <c r="I663" i="1"/>
  <c r="D663" i="1"/>
  <c r="C663" i="1"/>
  <c r="A663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B662" i="1"/>
  <c r="H662" i="1"/>
  <c r="G662" i="1"/>
  <c r="F662" i="1"/>
  <c r="E662" i="1"/>
  <c r="N662" i="1"/>
  <c r="M662" i="1"/>
  <c r="L662" i="1"/>
  <c r="K662" i="1"/>
  <c r="J662" i="1"/>
  <c r="I662" i="1"/>
  <c r="D662" i="1"/>
  <c r="C662" i="1"/>
  <c r="A662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B661" i="1"/>
  <c r="H661" i="1"/>
  <c r="G661" i="1"/>
  <c r="F661" i="1"/>
  <c r="E661" i="1"/>
  <c r="N661" i="1"/>
  <c r="M661" i="1"/>
  <c r="L661" i="1"/>
  <c r="K661" i="1"/>
  <c r="J661" i="1"/>
  <c r="I661" i="1"/>
  <c r="D661" i="1"/>
  <c r="C661" i="1"/>
  <c r="A661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B660" i="1"/>
  <c r="H660" i="1"/>
  <c r="G660" i="1"/>
  <c r="F660" i="1"/>
  <c r="E660" i="1"/>
  <c r="N660" i="1"/>
  <c r="M660" i="1"/>
  <c r="L660" i="1"/>
  <c r="K660" i="1"/>
  <c r="J660" i="1"/>
  <c r="I660" i="1"/>
  <c r="D660" i="1"/>
  <c r="C660" i="1"/>
  <c r="A660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B659" i="1"/>
  <c r="H659" i="1"/>
  <c r="G659" i="1"/>
  <c r="F659" i="1"/>
  <c r="E659" i="1"/>
  <c r="N659" i="1"/>
  <c r="M659" i="1"/>
  <c r="L659" i="1"/>
  <c r="K659" i="1"/>
  <c r="J659" i="1"/>
  <c r="I659" i="1"/>
  <c r="D659" i="1"/>
  <c r="C659" i="1"/>
  <c r="A659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B658" i="1"/>
  <c r="H658" i="1"/>
  <c r="G658" i="1"/>
  <c r="F658" i="1"/>
  <c r="E658" i="1"/>
  <c r="N658" i="1"/>
  <c r="M658" i="1"/>
  <c r="L658" i="1"/>
  <c r="K658" i="1"/>
  <c r="J658" i="1"/>
  <c r="I658" i="1"/>
  <c r="D658" i="1"/>
  <c r="C658" i="1"/>
  <c r="A658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B657" i="1"/>
  <c r="H657" i="1"/>
  <c r="G657" i="1"/>
  <c r="F657" i="1"/>
  <c r="E657" i="1"/>
  <c r="N657" i="1"/>
  <c r="M657" i="1"/>
  <c r="L657" i="1"/>
  <c r="K657" i="1"/>
  <c r="J657" i="1"/>
  <c r="I657" i="1"/>
  <c r="D657" i="1"/>
  <c r="C657" i="1"/>
  <c r="A657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B656" i="1"/>
  <c r="H656" i="1"/>
  <c r="G656" i="1"/>
  <c r="F656" i="1"/>
  <c r="E656" i="1"/>
  <c r="N656" i="1"/>
  <c r="M656" i="1"/>
  <c r="L656" i="1"/>
  <c r="K656" i="1"/>
  <c r="J656" i="1"/>
  <c r="I656" i="1"/>
  <c r="D656" i="1"/>
  <c r="C656" i="1"/>
  <c r="A656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B655" i="1"/>
  <c r="H655" i="1"/>
  <c r="G655" i="1"/>
  <c r="F655" i="1"/>
  <c r="E655" i="1"/>
  <c r="N655" i="1"/>
  <c r="M655" i="1"/>
  <c r="L655" i="1"/>
  <c r="K655" i="1"/>
  <c r="J655" i="1"/>
  <c r="I655" i="1"/>
  <c r="D655" i="1"/>
  <c r="C655" i="1"/>
  <c r="A655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B654" i="1"/>
  <c r="H654" i="1"/>
  <c r="G654" i="1"/>
  <c r="F654" i="1"/>
  <c r="E654" i="1"/>
  <c r="N654" i="1"/>
  <c r="M654" i="1"/>
  <c r="L654" i="1"/>
  <c r="K654" i="1"/>
  <c r="J654" i="1"/>
  <c r="I654" i="1"/>
  <c r="D654" i="1"/>
  <c r="C654" i="1"/>
  <c r="A654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B653" i="1"/>
  <c r="H653" i="1"/>
  <c r="G653" i="1"/>
  <c r="F653" i="1"/>
  <c r="E653" i="1"/>
  <c r="N653" i="1"/>
  <c r="M653" i="1"/>
  <c r="L653" i="1"/>
  <c r="K653" i="1"/>
  <c r="J653" i="1"/>
  <c r="I653" i="1"/>
  <c r="D653" i="1"/>
  <c r="C653" i="1"/>
  <c r="A653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B652" i="1"/>
  <c r="H652" i="1"/>
  <c r="G652" i="1"/>
  <c r="F652" i="1"/>
  <c r="E652" i="1"/>
  <c r="N652" i="1"/>
  <c r="M652" i="1"/>
  <c r="L652" i="1"/>
  <c r="K652" i="1"/>
  <c r="J652" i="1"/>
  <c r="I652" i="1"/>
  <c r="D652" i="1"/>
  <c r="C652" i="1"/>
  <c r="A652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B651" i="1"/>
  <c r="H651" i="1"/>
  <c r="G651" i="1"/>
  <c r="F651" i="1"/>
  <c r="E651" i="1"/>
  <c r="N651" i="1"/>
  <c r="M651" i="1"/>
  <c r="L651" i="1"/>
  <c r="K651" i="1"/>
  <c r="J651" i="1"/>
  <c r="I651" i="1"/>
  <c r="D651" i="1"/>
  <c r="C651" i="1"/>
  <c r="A651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B650" i="1"/>
  <c r="H650" i="1"/>
  <c r="G650" i="1"/>
  <c r="F650" i="1"/>
  <c r="E650" i="1"/>
  <c r="N650" i="1"/>
  <c r="M650" i="1"/>
  <c r="L650" i="1"/>
  <c r="K650" i="1"/>
  <c r="J650" i="1"/>
  <c r="I650" i="1"/>
  <c r="D650" i="1"/>
  <c r="C650" i="1"/>
  <c r="A650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B649" i="1"/>
  <c r="H649" i="1"/>
  <c r="G649" i="1"/>
  <c r="F649" i="1"/>
  <c r="E649" i="1"/>
  <c r="N649" i="1"/>
  <c r="M649" i="1"/>
  <c r="L649" i="1"/>
  <c r="K649" i="1"/>
  <c r="J649" i="1"/>
  <c r="I649" i="1"/>
  <c r="D649" i="1"/>
  <c r="C649" i="1"/>
  <c r="A649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B648" i="1"/>
  <c r="H648" i="1"/>
  <c r="G648" i="1"/>
  <c r="F648" i="1"/>
  <c r="E648" i="1"/>
  <c r="N648" i="1"/>
  <c r="M648" i="1"/>
  <c r="L648" i="1"/>
  <c r="K648" i="1"/>
  <c r="J648" i="1"/>
  <c r="I648" i="1"/>
  <c r="D648" i="1"/>
  <c r="C648" i="1"/>
  <c r="A648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B647" i="1"/>
  <c r="H647" i="1"/>
  <c r="G647" i="1"/>
  <c r="F647" i="1"/>
  <c r="E647" i="1"/>
  <c r="M647" i="1"/>
  <c r="L647" i="1"/>
  <c r="K647" i="1"/>
  <c r="J647" i="1"/>
  <c r="I647" i="1"/>
  <c r="D647" i="1"/>
  <c r="C647" i="1"/>
  <c r="A647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B646" i="1"/>
  <c r="H646" i="1"/>
  <c r="G646" i="1"/>
  <c r="F646" i="1"/>
  <c r="E646" i="1"/>
  <c r="N646" i="1"/>
  <c r="M646" i="1"/>
  <c r="L646" i="1"/>
  <c r="K646" i="1"/>
  <c r="J646" i="1"/>
  <c r="I646" i="1"/>
  <c r="D646" i="1"/>
  <c r="C646" i="1"/>
  <c r="A646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B645" i="1"/>
  <c r="H645" i="1"/>
  <c r="G645" i="1"/>
  <c r="F645" i="1"/>
  <c r="E645" i="1"/>
  <c r="N645" i="1"/>
  <c r="M645" i="1"/>
  <c r="L645" i="1"/>
  <c r="K645" i="1"/>
  <c r="J645" i="1"/>
  <c r="I645" i="1"/>
  <c r="D645" i="1"/>
  <c r="C645" i="1"/>
  <c r="A645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B644" i="1"/>
  <c r="H644" i="1"/>
  <c r="G644" i="1"/>
  <c r="F644" i="1"/>
  <c r="E644" i="1"/>
  <c r="N644" i="1"/>
  <c r="M644" i="1"/>
  <c r="L644" i="1"/>
  <c r="K644" i="1"/>
  <c r="J644" i="1"/>
  <c r="I644" i="1"/>
  <c r="D644" i="1"/>
  <c r="C644" i="1"/>
  <c r="A644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B643" i="1"/>
  <c r="H643" i="1"/>
  <c r="G643" i="1"/>
  <c r="F643" i="1"/>
  <c r="E643" i="1"/>
  <c r="N643" i="1"/>
  <c r="M643" i="1"/>
  <c r="L643" i="1"/>
  <c r="K643" i="1"/>
  <c r="J643" i="1"/>
  <c r="I643" i="1"/>
  <c r="D643" i="1"/>
  <c r="C643" i="1"/>
  <c r="A643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B642" i="1"/>
  <c r="H642" i="1"/>
  <c r="G642" i="1"/>
  <c r="F642" i="1"/>
  <c r="E642" i="1"/>
  <c r="N642" i="1"/>
  <c r="M642" i="1"/>
  <c r="L642" i="1"/>
  <c r="K642" i="1"/>
  <c r="J642" i="1"/>
  <c r="I642" i="1"/>
  <c r="D642" i="1"/>
  <c r="C642" i="1"/>
  <c r="A642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B641" i="1"/>
  <c r="H641" i="1"/>
  <c r="G641" i="1"/>
  <c r="F641" i="1"/>
  <c r="E641" i="1"/>
  <c r="N641" i="1"/>
  <c r="M641" i="1"/>
  <c r="L641" i="1"/>
  <c r="K641" i="1"/>
  <c r="J641" i="1"/>
  <c r="I641" i="1"/>
  <c r="D641" i="1"/>
  <c r="C641" i="1"/>
  <c r="A641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B640" i="1"/>
  <c r="H640" i="1"/>
  <c r="G640" i="1"/>
  <c r="F640" i="1"/>
  <c r="E640" i="1"/>
  <c r="N640" i="1"/>
  <c r="M640" i="1"/>
  <c r="L640" i="1"/>
  <c r="K640" i="1"/>
  <c r="J640" i="1"/>
  <c r="I640" i="1"/>
  <c r="D640" i="1"/>
  <c r="C640" i="1"/>
  <c r="A640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B639" i="1"/>
  <c r="H639" i="1"/>
  <c r="G639" i="1"/>
  <c r="F639" i="1"/>
  <c r="E639" i="1"/>
  <c r="N639" i="1"/>
  <c r="M639" i="1"/>
  <c r="L639" i="1"/>
  <c r="K639" i="1"/>
  <c r="J639" i="1"/>
  <c r="I639" i="1"/>
  <c r="D639" i="1"/>
  <c r="C639" i="1"/>
  <c r="A639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B638" i="1"/>
  <c r="H638" i="1"/>
  <c r="G638" i="1"/>
  <c r="F638" i="1"/>
  <c r="E638" i="1"/>
  <c r="N638" i="1"/>
  <c r="M638" i="1"/>
  <c r="L638" i="1"/>
  <c r="K638" i="1"/>
  <c r="J638" i="1"/>
  <c r="I638" i="1"/>
  <c r="D638" i="1"/>
  <c r="C638" i="1"/>
  <c r="A638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B637" i="1"/>
  <c r="H637" i="1"/>
  <c r="G637" i="1"/>
  <c r="F637" i="1"/>
  <c r="E637" i="1"/>
  <c r="M637" i="1"/>
  <c r="L637" i="1"/>
  <c r="K637" i="1"/>
  <c r="J637" i="1"/>
  <c r="I637" i="1"/>
  <c r="D637" i="1"/>
  <c r="C637" i="1"/>
  <c r="A637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B636" i="1"/>
  <c r="H636" i="1"/>
  <c r="G636" i="1"/>
  <c r="F636" i="1"/>
  <c r="E636" i="1"/>
  <c r="N636" i="1"/>
  <c r="M636" i="1"/>
  <c r="L636" i="1"/>
  <c r="K636" i="1"/>
  <c r="J636" i="1"/>
  <c r="I636" i="1"/>
  <c r="D636" i="1"/>
  <c r="C636" i="1"/>
  <c r="A636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B635" i="1"/>
  <c r="H635" i="1"/>
  <c r="G635" i="1"/>
  <c r="F635" i="1"/>
  <c r="E635" i="1"/>
  <c r="N635" i="1"/>
  <c r="M635" i="1"/>
  <c r="L635" i="1"/>
  <c r="K635" i="1"/>
  <c r="J635" i="1"/>
  <c r="I635" i="1"/>
  <c r="D635" i="1"/>
  <c r="C635" i="1"/>
  <c r="A635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B634" i="1"/>
  <c r="H634" i="1"/>
  <c r="G634" i="1"/>
  <c r="F634" i="1"/>
  <c r="E634" i="1"/>
  <c r="N634" i="1"/>
  <c r="M634" i="1"/>
  <c r="L634" i="1"/>
  <c r="K634" i="1"/>
  <c r="J634" i="1"/>
  <c r="I634" i="1"/>
  <c r="D634" i="1"/>
  <c r="C634" i="1"/>
  <c r="A634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B633" i="1"/>
  <c r="H633" i="1"/>
  <c r="G633" i="1"/>
  <c r="F633" i="1"/>
  <c r="E633" i="1"/>
  <c r="N633" i="1"/>
  <c r="M633" i="1"/>
  <c r="L633" i="1"/>
  <c r="K633" i="1"/>
  <c r="J633" i="1"/>
  <c r="I633" i="1"/>
  <c r="D633" i="1"/>
  <c r="C633" i="1"/>
  <c r="A633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B632" i="1"/>
  <c r="H632" i="1"/>
  <c r="G632" i="1"/>
  <c r="F632" i="1"/>
  <c r="E632" i="1"/>
  <c r="N632" i="1"/>
  <c r="M632" i="1"/>
  <c r="L632" i="1"/>
  <c r="K632" i="1"/>
  <c r="J632" i="1"/>
  <c r="I632" i="1"/>
  <c r="D632" i="1"/>
  <c r="C632" i="1"/>
  <c r="A632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B631" i="1"/>
  <c r="H631" i="1"/>
  <c r="G631" i="1"/>
  <c r="F631" i="1"/>
  <c r="E631" i="1"/>
  <c r="N631" i="1"/>
  <c r="M631" i="1"/>
  <c r="L631" i="1"/>
  <c r="K631" i="1"/>
  <c r="J631" i="1"/>
  <c r="I631" i="1"/>
  <c r="D631" i="1"/>
  <c r="C631" i="1"/>
  <c r="A631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B630" i="1"/>
  <c r="H630" i="1"/>
  <c r="G630" i="1"/>
  <c r="F630" i="1"/>
  <c r="E630" i="1"/>
  <c r="N630" i="1"/>
  <c r="M630" i="1"/>
  <c r="L630" i="1"/>
  <c r="K630" i="1"/>
  <c r="J630" i="1"/>
  <c r="I630" i="1"/>
  <c r="D630" i="1"/>
  <c r="C630" i="1"/>
  <c r="A630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B629" i="1"/>
  <c r="H629" i="1"/>
  <c r="G629" i="1"/>
  <c r="F629" i="1"/>
  <c r="E629" i="1"/>
  <c r="N629" i="1"/>
  <c r="M629" i="1"/>
  <c r="L629" i="1"/>
  <c r="K629" i="1"/>
  <c r="J629" i="1"/>
  <c r="I629" i="1"/>
  <c r="D629" i="1"/>
  <c r="C629" i="1"/>
  <c r="A629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B628" i="1"/>
  <c r="H628" i="1"/>
  <c r="G628" i="1"/>
  <c r="F628" i="1"/>
  <c r="E628" i="1"/>
  <c r="N628" i="1"/>
  <c r="M628" i="1"/>
  <c r="L628" i="1"/>
  <c r="K628" i="1"/>
  <c r="J628" i="1"/>
  <c r="I628" i="1"/>
  <c r="D628" i="1"/>
  <c r="C628" i="1"/>
  <c r="A628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B627" i="1"/>
  <c r="H627" i="1"/>
  <c r="G627" i="1"/>
  <c r="F627" i="1"/>
  <c r="E627" i="1"/>
  <c r="N627" i="1"/>
  <c r="M627" i="1"/>
  <c r="L627" i="1"/>
  <c r="K627" i="1"/>
  <c r="J627" i="1"/>
  <c r="I627" i="1"/>
  <c r="D627" i="1"/>
  <c r="C627" i="1"/>
  <c r="A627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B626" i="1"/>
  <c r="H626" i="1"/>
  <c r="G626" i="1"/>
  <c r="F626" i="1"/>
  <c r="E626" i="1"/>
  <c r="N626" i="1"/>
  <c r="M626" i="1"/>
  <c r="L626" i="1"/>
  <c r="K626" i="1"/>
  <c r="J626" i="1"/>
  <c r="I626" i="1"/>
  <c r="D626" i="1"/>
  <c r="C626" i="1"/>
  <c r="A626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B625" i="1"/>
  <c r="H625" i="1"/>
  <c r="G625" i="1"/>
  <c r="F625" i="1"/>
  <c r="E625" i="1"/>
  <c r="N625" i="1"/>
  <c r="M625" i="1"/>
  <c r="L625" i="1"/>
  <c r="K625" i="1"/>
  <c r="J625" i="1"/>
  <c r="I625" i="1"/>
  <c r="D625" i="1"/>
  <c r="C625" i="1"/>
  <c r="A625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B624" i="1"/>
  <c r="H624" i="1"/>
  <c r="G624" i="1"/>
  <c r="F624" i="1"/>
  <c r="E624" i="1"/>
  <c r="N624" i="1"/>
  <c r="M624" i="1"/>
  <c r="L624" i="1"/>
  <c r="K624" i="1"/>
  <c r="J624" i="1"/>
  <c r="I624" i="1"/>
  <c r="D624" i="1"/>
  <c r="C624" i="1"/>
  <c r="A624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B623" i="1"/>
  <c r="H623" i="1"/>
  <c r="G623" i="1"/>
  <c r="F623" i="1"/>
  <c r="E623" i="1"/>
  <c r="N623" i="1"/>
  <c r="M623" i="1"/>
  <c r="L623" i="1"/>
  <c r="K623" i="1"/>
  <c r="J623" i="1"/>
  <c r="I623" i="1"/>
  <c r="D623" i="1"/>
  <c r="C623" i="1"/>
  <c r="A623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B622" i="1"/>
  <c r="H622" i="1"/>
  <c r="G622" i="1"/>
  <c r="F622" i="1"/>
  <c r="E622" i="1"/>
  <c r="N622" i="1"/>
  <c r="M622" i="1"/>
  <c r="L622" i="1"/>
  <c r="K622" i="1"/>
  <c r="J622" i="1"/>
  <c r="I622" i="1"/>
  <c r="D622" i="1"/>
  <c r="C622" i="1"/>
  <c r="A622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B621" i="1"/>
  <c r="H621" i="1"/>
  <c r="G621" i="1"/>
  <c r="F621" i="1"/>
  <c r="E621" i="1"/>
  <c r="N621" i="1"/>
  <c r="M621" i="1"/>
  <c r="L621" i="1"/>
  <c r="K621" i="1"/>
  <c r="J621" i="1"/>
  <c r="I621" i="1"/>
  <c r="D621" i="1"/>
  <c r="C621" i="1"/>
  <c r="A621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B620" i="1"/>
  <c r="H620" i="1"/>
  <c r="G620" i="1"/>
  <c r="F620" i="1"/>
  <c r="E620" i="1"/>
  <c r="N620" i="1"/>
  <c r="M620" i="1"/>
  <c r="L620" i="1"/>
  <c r="K620" i="1"/>
  <c r="J620" i="1"/>
  <c r="I620" i="1"/>
  <c r="D620" i="1"/>
  <c r="C620" i="1"/>
  <c r="A620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B619" i="1"/>
  <c r="H619" i="1"/>
  <c r="G619" i="1"/>
  <c r="F619" i="1"/>
  <c r="E619" i="1"/>
  <c r="N619" i="1"/>
  <c r="M619" i="1"/>
  <c r="L619" i="1"/>
  <c r="K619" i="1"/>
  <c r="J619" i="1"/>
  <c r="I619" i="1"/>
  <c r="D619" i="1"/>
  <c r="C619" i="1"/>
  <c r="A619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B618" i="1"/>
  <c r="H618" i="1"/>
  <c r="G618" i="1"/>
  <c r="F618" i="1"/>
  <c r="E618" i="1"/>
  <c r="N618" i="1"/>
  <c r="M618" i="1"/>
  <c r="L618" i="1"/>
  <c r="K618" i="1"/>
  <c r="J618" i="1"/>
  <c r="I618" i="1"/>
  <c r="D618" i="1"/>
  <c r="C618" i="1"/>
  <c r="A618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B617" i="1"/>
  <c r="H617" i="1"/>
  <c r="G617" i="1"/>
  <c r="F617" i="1"/>
  <c r="E617" i="1"/>
  <c r="N617" i="1"/>
  <c r="M617" i="1"/>
  <c r="L617" i="1"/>
  <c r="K617" i="1"/>
  <c r="J617" i="1"/>
  <c r="I617" i="1"/>
  <c r="D617" i="1"/>
  <c r="C617" i="1"/>
  <c r="A617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B616" i="1"/>
  <c r="H616" i="1"/>
  <c r="G616" i="1"/>
  <c r="F616" i="1"/>
  <c r="E616" i="1"/>
  <c r="N616" i="1"/>
  <c r="M616" i="1"/>
  <c r="L616" i="1"/>
  <c r="K616" i="1"/>
  <c r="J616" i="1"/>
  <c r="I616" i="1"/>
  <c r="D616" i="1"/>
  <c r="C616" i="1"/>
  <c r="A616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B615" i="1"/>
  <c r="H615" i="1"/>
  <c r="G615" i="1"/>
  <c r="F615" i="1"/>
  <c r="E615" i="1"/>
  <c r="N615" i="1"/>
  <c r="M615" i="1"/>
  <c r="L615" i="1"/>
  <c r="K615" i="1"/>
  <c r="J615" i="1"/>
  <c r="I615" i="1"/>
  <c r="D615" i="1"/>
  <c r="C615" i="1"/>
  <c r="A615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B614" i="1"/>
  <c r="H614" i="1"/>
  <c r="G614" i="1"/>
  <c r="F614" i="1"/>
  <c r="E614" i="1"/>
  <c r="N614" i="1"/>
  <c r="M614" i="1"/>
  <c r="L614" i="1"/>
  <c r="K614" i="1"/>
  <c r="J614" i="1"/>
  <c r="I614" i="1"/>
  <c r="D614" i="1"/>
  <c r="C614" i="1"/>
  <c r="A614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B613" i="1"/>
  <c r="H613" i="1"/>
  <c r="G613" i="1"/>
  <c r="F613" i="1"/>
  <c r="E613" i="1"/>
  <c r="N613" i="1"/>
  <c r="M613" i="1"/>
  <c r="L613" i="1"/>
  <c r="K613" i="1"/>
  <c r="J613" i="1"/>
  <c r="I613" i="1"/>
  <c r="D613" i="1"/>
  <c r="C613" i="1"/>
  <c r="A613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B612" i="1"/>
  <c r="H612" i="1"/>
  <c r="G612" i="1"/>
  <c r="F612" i="1"/>
  <c r="E612" i="1"/>
  <c r="N612" i="1"/>
  <c r="M612" i="1"/>
  <c r="L612" i="1"/>
  <c r="K612" i="1"/>
  <c r="J612" i="1"/>
  <c r="I612" i="1"/>
  <c r="D612" i="1"/>
  <c r="C612" i="1"/>
  <c r="A612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B611" i="1"/>
  <c r="H611" i="1"/>
  <c r="G611" i="1"/>
  <c r="F611" i="1"/>
  <c r="E611" i="1"/>
  <c r="N611" i="1"/>
  <c r="M611" i="1"/>
  <c r="L611" i="1"/>
  <c r="K611" i="1"/>
  <c r="J611" i="1"/>
  <c r="I611" i="1"/>
  <c r="D611" i="1"/>
  <c r="C611" i="1"/>
  <c r="A611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B610" i="1"/>
  <c r="H610" i="1"/>
  <c r="G610" i="1"/>
  <c r="F610" i="1"/>
  <c r="E610" i="1"/>
  <c r="N610" i="1"/>
  <c r="M610" i="1"/>
  <c r="L610" i="1"/>
  <c r="K610" i="1"/>
  <c r="J610" i="1"/>
  <c r="I610" i="1"/>
  <c r="D610" i="1"/>
  <c r="C610" i="1"/>
  <c r="A610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B609" i="1"/>
  <c r="H609" i="1"/>
  <c r="G609" i="1"/>
  <c r="F609" i="1"/>
  <c r="E609" i="1"/>
  <c r="N609" i="1"/>
  <c r="M609" i="1"/>
  <c r="L609" i="1"/>
  <c r="K609" i="1"/>
  <c r="J609" i="1"/>
  <c r="I609" i="1"/>
  <c r="D609" i="1"/>
  <c r="C609" i="1"/>
  <c r="A609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B608" i="1"/>
  <c r="H608" i="1"/>
  <c r="G608" i="1"/>
  <c r="F608" i="1"/>
  <c r="E608" i="1"/>
  <c r="N608" i="1"/>
  <c r="M608" i="1"/>
  <c r="L608" i="1"/>
  <c r="K608" i="1"/>
  <c r="J608" i="1"/>
  <c r="I608" i="1"/>
  <c r="D608" i="1"/>
  <c r="C608" i="1"/>
  <c r="A608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B607" i="1"/>
  <c r="H607" i="1"/>
  <c r="G607" i="1"/>
  <c r="F607" i="1"/>
  <c r="E607" i="1"/>
  <c r="N607" i="1"/>
  <c r="M607" i="1"/>
  <c r="L607" i="1"/>
  <c r="K607" i="1"/>
  <c r="J607" i="1"/>
  <c r="I607" i="1"/>
  <c r="D607" i="1"/>
  <c r="C607" i="1"/>
  <c r="A607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B606" i="1"/>
  <c r="H606" i="1"/>
  <c r="G606" i="1"/>
  <c r="F606" i="1"/>
  <c r="E606" i="1"/>
  <c r="N606" i="1"/>
  <c r="M606" i="1"/>
  <c r="L606" i="1"/>
  <c r="K606" i="1"/>
  <c r="J606" i="1"/>
  <c r="I606" i="1"/>
  <c r="D606" i="1"/>
  <c r="C606" i="1"/>
  <c r="A606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B605" i="1"/>
  <c r="H605" i="1"/>
  <c r="G605" i="1"/>
  <c r="F605" i="1"/>
  <c r="E605" i="1"/>
  <c r="N605" i="1"/>
  <c r="M605" i="1"/>
  <c r="L605" i="1"/>
  <c r="K605" i="1"/>
  <c r="J605" i="1"/>
  <c r="I605" i="1"/>
  <c r="D605" i="1"/>
  <c r="C605" i="1"/>
  <c r="A605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B604" i="1"/>
  <c r="H604" i="1"/>
  <c r="G604" i="1"/>
  <c r="F604" i="1"/>
  <c r="E604" i="1"/>
  <c r="N604" i="1"/>
  <c r="M604" i="1"/>
  <c r="L604" i="1"/>
  <c r="K604" i="1"/>
  <c r="J604" i="1"/>
  <c r="I604" i="1"/>
  <c r="D604" i="1"/>
  <c r="C604" i="1"/>
  <c r="A604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B603" i="1"/>
  <c r="H603" i="1"/>
  <c r="G603" i="1"/>
  <c r="F603" i="1"/>
  <c r="E603" i="1"/>
  <c r="N603" i="1"/>
  <c r="M603" i="1"/>
  <c r="L603" i="1"/>
  <c r="K603" i="1"/>
  <c r="J603" i="1"/>
  <c r="I603" i="1"/>
  <c r="D603" i="1"/>
  <c r="C603" i="1"/>
  <c r="A603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B602" i="1"/>
  <c r="H602" i="1"/>
  <c r="G602" i="1"/>
  <c r="F602" i="1"/>
  <c r="E602" i="1"/>
  <c r="N602" i="1"/>
  <c r="M602" i="1"/>
  <c r="L602" i="1"/>
  <c r="K602" i="1"/>
  <c r="J602" i="1"/>
  <c r="I602" i="1"/>
  <c r="D602" i="1"/>
  <c r="C602" i="1"/>
  <c r="A602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B601" i="1"/>
  <c r="H601" i="1"/>
  <c r="G601" i="1"/>
  <c r="F601" i="1"/>
  <c r="E601" i="1"/>
  <c r="N601" i="1"/>
  <c r="M601" i="1"/>
  <c r="L601" i="1"/>
  <c r="K601" i="1"/>
  <c r="J601" i="1"/>
  <c r="I601" i="1"/>
  <c r="D601" i="1"/>
  <c r="C601" i="1"/>
  <c r="A601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B600" i="1"/>
  <c r="H600" i="1"/>
  <c r="G600" i="1"/>
  <c r="F600" i="1"/>
  <c r="E600" i="1"/>
  <c r="N600" i="1"/>
  <c r="M600" i="1"/>
  <c r="L600" i="1"/>
  <c r="K600" i="1"/>
  <c r="J600" i="1"/>
  <c r="I600" i="1"/>
  <c r="D600" i="1"/>
  <c r="C600" i="1"/>
  <c r="A600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B599" i="1"/>
  <c r="H599" i="1"/>
  <c r="G599" i="1"/>
  <c r="F599" i="1"/>
  <c r="E599" i="1"/>
  <c r="N599" i="1"/>
  <c r="M599" i="1"/>
  <c r="L599" i="1"/>
  <c r="K599" i="1"/>
  <c r="J599" i="1"/>
  <c r="I599" i="1"/>
  <c r="D599" i="1"/>
  <c r="C599" i="1"/>
  <c r="A599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B598" i="1"/>
  <c r="H598" i="1"/>
  <c r="G598" i="1"/>
  <c r="F598" i="1"/>
  <c r="E598" i="1"/>
  <c r="N598" i="1"/>
  <c r="M598" i="1"/>
  <c r="L598" i="1"/>
  <c r="K598" i="1"/>
  <c r="J598" i="1"/>
  <c r="I598" i="1"/>
  <c r="D598" i="1"/>
  <c r="C598" i="1"/>
  <c r="A598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B597" i="1"/>
  <c r="H597" i="1"/>
  <c r="G597" i="1"/>
  <c r="F597" i="1"/>
  <c r="E597" i="1"/>
  <c r="N597" i="1"/>
  <c r="M597" i="1"/>
  <c r="L597" i="1"/>
  <c r="K597" i="1"/>
  <c r="J597" i="1"/>
  <c r="I597" i="1"/>
  <c r="D597" i="1"/>
  <c r="C597" i="1"/>
  <c r="A597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B596" i="1"/>
  <c r="H596" i="1"/>
  <c r="G596" i="1"/>
  <c r="F596" i="1"/>
  <c r="E596" i="1"/>
  <c r="N596" i="1"/>
  <c r="M596" i="1"/>
  <c r="L596" i="1"/>
  <c r="K596" i="1"/>
  <c r="J596" i="1"/>
  <c r="I596" i="1"/>
  <c r="D596" i="1"/>
  <c r="C596" i="1"/>
  <c r="A596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B595" i="1"/>
  <c r="H595" i="1"/>
  <c r="G595" i="1"/>
  <c r="F595" i="1"/>
  <c r="E595" i="1"/>
  <c r="N595" i="1"/>
  <c r="M595" i="1"/>
  <c r="L595" i="1"/>
  <c r="K595" i="1"/>
  <c r="J595" i="1"/>
  <c r="I595" i="1"/>
  <c r="D595" i="1"/>
  <c r="C595" i="1"/>
  <c r="A595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B594" i="1"/>
  <c r="H594" i="1"/>
  <c r="G594" i="1"/>
  <c r="F594" i="1"/>
  <c r="E594" i="1"/>
  <c r="N594" i="1"/>
  <c r="M594" i="1"/>
  <c r="L594" i="1"/>
  <c r="K594" i="1"/>
  <c r="J594" i="1"/>
  <c r="I594" i="1"/>
  <c r="D594" i="1"/>
  <c r="C594" i="1"/>
  <c r="A594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B593" i="1"/>
  <c r="H593" i="1"/>
  <c r="G593" i="1"/>
  <c r="F593" i="1"/>
  <c r="E593" i="1"/>
  <c r="N593" i="1"/>
  <c r="M593" i="1"/>
  <c r="L593" i="1"/>
  <c r="K593" i="1"/>
  <c r="J593" i="1"/>
  <c r="I593" i="1"/>
  <c r="D593" i="1"/>
  <c r="C593" i="1"/>
  <c r="A593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B592" i="1"/>
  <c r="H592" i="1"/>
  <c r="G592" i="1"/>
  <c r="F592" i="1"/>
  <c r="E592" i="1"/>
  <c r="N592" i="1"/>
  <c r="M592" i="1"/>
  <c r="L592" i="1"/>
  <c r="K592" i="1"/>
  <c r="J592" i="1"/>
  <c r="I592" i="1"/>
  <c r="D592" i="1"/>
  <c r="C592" i="1"/>
  <c r="A592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B591" i="1"/>
  <c r="H591" i="1"/>
  <c r="G591" i="1"/>
  <c r="F591" i="1"/>
  <c r="E591" i="1"/>
  <c r="N591" i="1"/>
  <c r="M591" i="1"/>
  <c r="L591" i="1"/>
  <c r="K591" i="1"/>
  <c r="J591" i="1"/>
  <c r="I591" i="1"/>
  <c r="D591" i="1"/>
  <c r="C591" i="1"/>
  <c r="A591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B590" i="1"/>
  <c r="H590" i="1"/>
  <c r="G590" i="1"/>
  <c r="F590" i="1"/>
  <c r="E590" i="1"/>
  <c r="N590" i="1"/>
  <c r="M590" i="1"/>
  <c r="L590" i="1"/>
  <c r="K590" i="1"/>
  <c r="J590" i="1"/>
  <c r="I590" i="1"/>
  <c r="D590" i="1"/>
  <c r="C590" i="1"/>
  <c r="A590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B589" i="1"/>
  <c r="H589" i="1"/>
  <c r="G589" i="1"/>
  <c r="F589" i="1"/>
  <c r="E589" i="1"/>
  <c r="N589" i="1"/>
  <c r="M589" i="1"/>
  <c r="L589" i="1"/>
  <c r="K589" i="1"/>
  <c r="J589" i="1"/>
  <c r="I589" i="1"/>
  <c r="D589" i="1"/>
  <c r="C589" i="1"/>
  <c r="A589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B588" i="1"/>
  <c r="H588" i="1"/>
  <c r="G588" i="1"/>
  <c r="F588" i="1"/>
  <c r="E588" i="1"/>
  <c r="N588" i="1"/>
  <c r="M588" i="1"/>
  <c r="L588" i="1"/>
  <c r="K588" i="1"/>
  <c r="J588" i="1"/>
  <c r="I588" i="1"/>
  <c r="D588" i="1"/>
  <c r="C588" i="1"/>
  <c r="A588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B587" i="1"/>
  <c r="H587" i="1"/>
  <c r="G587" i="1"/>
  <c r="F587" i="1"/>
  <c r="E587" i="1"/>
  <c r="N587" i="1"/>
  <c r="M587" i="1"/>
  <c r="L587" i="1"/>
  <c r="K587" i="1"/>
  <c r="J587" i="1"/>
  <c r="I587" i="1"/>
  <c r="D587" i="1"/>
  <c r="C587" i="1"/>
  <c r="A587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B586" i="1"/>
  <c r="H586" i="1"/>
  <c r="G586" i="1"/>
  <c r="F586" i="1"/>
  <c r="E586" i="1"/>
  <c r="N586" i="1"/>
  <c r="M586" i="1"/>
  <c r="L586" i="1"/>
  <c r="K586" i="1"/>
  <c r="J586" i="1"/>
  <c r="I586" i="1"/>
  <c r="D586" i="1"/>
  <c r="C586" i="1"/>
  <c r="A586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B585" i="1"/>
  <c r="H585" i="1"/>
  <c r="G585" i="1"/>
  <c r="F585" i="1"/>
  <c r="E585" i="1"/>
  <c r="N585" i="1"/>
  <c r="M585" i="1"/>
  <c r="L585" i="1"/>
  <c r="K585" i="1"/>
  <c r="J585" i="1"/>
  <c r="I585" i="1"/>
  <c r="D585" i="1"/>
  <c r="C585" i="1"/>
  <c r="A585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B584" i="1"/>
  <c r="H584" i="1"/>
  <c r="G584" i="1"/>
  <c r="F584" i="1"/>
  <c r="E584" i="1"/>
  <c r="N584" i="1"/>
  <c r="M584" i="1"/>
  <c r="L584" i="1"/>
  <c r="K584" i="1"/>
  <c r="J584" i="1"/>
  <c r="I584" i="1"/>
  <c r="D584" i="1"/>
  <c r="C584" i="1"/>
  <c r="A584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B583" i="1"/>
  <c r="H583" i="1"/>
  <c r="G583" i="1"/>
  <c r="F583" i="1"/>
  <c r="E583" i="1"/>
  <c r="N583" i="1"/>
  <c r="M583" i="1"/>
  <c r="L583" i="1"/>
  <c r="K583" i="1"/>
  <c r="J583" i="1"/>
  <c r="I583" i="1"/>
  <c r="D583" i="1"/>
  <c r="C583" i="1"/>
  <c r="A583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B582" i="1"/>
  <c r="H582" i="1"/>
  <c r="G582" i="1"/>
  <c r="F582" i="1"/>
  <c r="E582" i="1"/>
  <c r="N582" i="1"/>
  <c r="M582" i="1"/>
  <c r="L582" i="1"/>
  <c r="K582" i="1"/>
  <c r="J582" i="1"/>
  <c r="I582" i="1"/>
  <c r="D582" i="1"/>
  <c r="C582" i="1"/>
  <c r="A582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B581" i="1"/>
  <c r="H581" i="1"/>
  <c r="G581" i="1"/>
  <c r="F581" i="1"/>
  <c r="E581" i="1"/>
  <c r="N581" i="1"/>
  <c r="M581" i="1"/>
  <c r="L581" i="1"/>
  <c r="K581" i="1"/>
  <c r="J581" i="1"/>
  <c r="I581" i="1"/>
  <c r="D581" i="1"/>
  <c r="C581" i="1"/>
  <c r="A581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B580" i="1"/>
  <c r="H580" i="1"/>
  <c r="G580" i="1"/>
  <c r="F580" i="1"/>
  <c r="E580" i="1"/>
  <c r="N580" i="1"/>
  <c r="M580" i="1"/>
  <c r="L580" i="1"/>
  <c r="K580" i="1"/>
  <c r="J580" i="1"/>
  <c r="I580" i="1"/>
  <c r="D580" i="1"/>
  <c r="C580" i="1"/>
  <c r="A580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B579" i="1"/>
  <c r="H579" i="1"/>
  <c r="G579" i="1"/>
  <c r="F579" i="1"/>
  <c r="E579" i="1"/>
  <c r="N579" i="1"/>
  <c r="M579" i="1"/>
  <c r="L579" i="1"/>
  <c r="K579" i="1"/>
  <c r="J579" i="1"/>
  <c r="I579" i="1"/>
  <c r="D579" i="1"/>
  <c r="C579" i="1"/>
  <c r="A579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B578" i="1"/>
  <c r="H578" i="1"/>
  <c r="G578" i="1"/>
  <c r="F578" i="1"/>
  <c r="E578" i="1"/>
  <c r="N578" i="1"/>
  <c r="M578" i="1"/>
  <c r="L578" i="1"/>
  <c r="K578" i="1"/>
  <c r="J578" i="1"/>
  <c r="I578" i="1"/>
  <c r="D578" i="1"/>
  <c r="C578" i="1"/>
  <c r="A578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B577" i="1"/>
  <c r="H577" i="1"/>
  <c r="G577" i="1"/>
  <c r="F577" i="1"/>
  <c r="E577" i="1"/>
  <c r="N577" i="1"/>
  <c r="M577" i="1"/>
  <c r="L577" i="1"/>
  <c r="K577" i="1"/>
  <c r="J577" i="1"/>
  <c r="I577" i="1"/>
  <c r="D577" i="1"/>
  <c r="C577" i="1"/>
  <c r="A577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B576" i="1"/>
  <c r="H576" i="1"/>
  <c r="G576" i="1"/>
  <c r="F576" i="1"/>
  <c r="E576" i="1"/>
  <c r="N576" i="1"/>
  <c r="M576" i="1"/>
  <c r="L576" i="1"/>
  <c r="K576" i="1"/>
  <c r="J576" i="1"/>
  <c r="I576" i="1"/>
  <c r="D576" i="1"/>
  <c r="C576" i="1"/>
  <c r="A576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B575" i="1"/>
  <c r="H575" i="1"/>
  <c r="G575" i="1"/>
  <c r="F575" i="1"/>
  <c r="E575" i="1"/>
  <c r="N575" i="1"/>
  <c r="M575" i="1"/>
  <c r="L575" i="1"/>
  <c r="K575" i="1"/>
  <c r="J575" i="1"/>
  <c r="I575" i="1"/>
  <c r="D575" i="1"/>
  <c r="C575" i="1"/>
  <c r="A575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B574" i="1"/>
  <c r="H574" i="1"/>
  <c r="G574" i="1"/>
  <c r="F574" i="1"/>
  <c r="E574" i="1"/>
  <c r="N574" i="1"/>
  <c r="M574" i="1"/>
  <c r="L574" i="1"/>
  <c r="K574" i="1"/>
  <c r="J574" i="1"/>
  <c r="I574" i="1"/>
  <c r="D574" i="1"/>
  <c r="C574" i="1"/>
  <c r="A574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B573" i="1"/>
  <c r="H573" i="1"/>
  <c r="G573" i="1"/>
  <c r="F573" i="1"/>
  <c r="E573" i="1"/>
  <c r="N573" i="1"/>
  <c r="M573" i="1"/>
  <c r="L573" i="1"/>
  <c r="K573" i="1"/>
  <c r="J573" i="1"/>
  <c r="I573" i="1"/>
  <c r="D573" i="1"/>
  <c r="C573" i="1"/>
  <c r="A573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B572" i="1"/>
  <c r="H572" i="1"/>
  <c r="G572" i="1"/>
  <c r="F572" i="1"/>
  <c r="E572" i="1"/>
  <c r="N572" i="1"/>
  <c r="M572" i="1"/>
  <c r="L572" i="1"/>
  <c r="K572" i="1"/>
  <c r="J572" i="1"/>
  <c r="I572" i="1"/>
  <c r="D572" i="1"/>
  <c r="C572" i="1"/>
  <c r="A572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B571" i="1"/>
  <c r="H571" i="1"/>
  <c r="G571" i="1"/>
  <c r="F571" i="1"/>
  <c r="E571" i="1"/>
  <c r="N571" i="1"/>
  <c r="M571" i="1"/>
  <c r="L571" i="1"/>
  <c r="K571" i="1"/>
  <c r="J571" i="1"/>
  <c r="I571" i="1"/>
  <c r="D571" i="1"/>
  <c r="C571" i="1"/>
  <c r="A571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B570" i="1"/>
  <c r="H570" i="1"/>
  <c r="G570" i="1"/>
  <c r="F570" i="1"/>
  <c r="E570" i="1"/>
  <c r="N570" i="1"/>
  <c r="M570" i="1"/>
  <c r="L570" i="1"/>
  <c r="K570" i="1"/>
  <c r="J570" i="1"/>
  <c r="I570" i="1"/>
  <c r="D570" i="1"/>
  <c r="C570" i="1"/>
  <c r="A570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B569" i="1"/>
  <c r="H569" i="1"/>
  <c r="G569" i="1"/>
  <c r="F569" i="1"/>
  <c r="E569" i="1"/>
  <c r="N569" i="1"/>
  <c r="M569" i="1"/>
  <c r="L569" i="1"/>
  <c r="K569" i="1"/>
  <c r="J569" i="1"/>
  <c r="I569" i="1"/>
  <c r="D569" i="1"/>
  <c r="C569" i="1"/>
  <c r="A569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B568" i="1"/>
  <c r="H568" i="1"/>
  <c r="G568" i="1"/>
  <c r="F568" i="1"/>
  <c r="E568" i="1"/>
  <c r="N568" i="1"/>
  <c r="M568" i="1"/>
  <c r="L568" i="1"/>
  <c r="K568" i="1"/>
  <c r="J568" i="1"/>
  <c r="I568" i="1"/>
  <c r="D568" i="1"/>
  <c r="C568" i="1"/>
  <c r="A568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B567" i="1"/>
  <c r="H567" i="1"/>
  <c r="G567" i="1"/>
  <c r="F567" i="1"/>
  <c r="E567" i="1"/>
  <c r="N567" i="1"/>
  <c r="M567" i="1"/>
  <c r="L567" i="1"/>
  <c r="K567" i="1"/>
  <c r="J567" i="1"/>
  <c r="I567" i="1"/>
  <c r="D567" i="1"/>
  <c r="C567" i="1"/>
  <c r="A567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B566" i="1"/>
  <c r="H566" i="1"/>
  <c r="G566" i="1"/>
  <c r="F566" i="1"/>
  <c r="E566" i="1"/>
  <c r="N566" i="1"/>
  <c r="M566" i="1"/>
  <c r="L566" i="1"/>
  <c r="K566" i="1"/>
  <c r="J566" i="1"/>
  <c r="I566" i="1"/>
  <c r="D566" i="1"/>
  <c r="C566" i="1"/>
  <c r="A566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B565" i="1"/>
  <c r="H565" i="1"/>
  <c r="G565" i="1"/>
  <c r="F565" i="1"/>
  <c r="E565" i="1"/>
  <c r="N565" i="1"/>
  <c r="M565" i="1"/>
  <c r="L565" i="1"/>
  <c r="K565" i="1"/>
  <c r="J565" i="1"/>
  <c r="I565" i="1"/>
  <c r="D565" i="1"/>
  <c r="C565" i="1"/>
  <c r="A565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B564" i="1"/>
  <c r="H564" i="1"/>
  <c r="G564" i="1"/>
  <c r="F564" i="1"/>
  <c r="E564" i="1"/>
  <c r="N564" i="1"/>
  <c r="M564" i="1"/>
  <c r="L564" i="1"/>
  <c r="K564" i="1"/>
  <c r="J564" i="1"/>
  <c r="I564" i="1"/>
  <c r="D564" i="1"/>
  <c r="C564" i="1"/>
  <c r="A564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B563" i="1"/>
  <c r="H563" i="1"/>
  <c r="G563" i="1"/>
  <c r="F563" i="1"/>
  <c r="E563" i="1"/>
  <c r="N563" i="1"/>
  <c r="M563" i="1"/>
  <c r="L563" i="1"/>
  <c r="K563" i="1"/>
  <c r="J563" i="1"/>
  <c r="I563" i="1"/>
  <c r="D563" i="1"/>
  <c r="C563" i="1"/>
  <c r="A563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B562" i="1"/>
  <c r="H562" i="1"/>
  <c r="G562" i="1"/>
  <c r="F562" i="1"/>
  <c r="E562" i="1"/>
  <c r="N562" i="1"/>
  <c r="M562" i="1"/>
  <c r="L562" i="1"/>
  <c r="K562" i="1"/>
  <c r="J562" i="1"/>
  <c r="I562" i="1"/>
  <c r="D562" i="1"/>
  <c r="C562" i="1"/>
  <c r="A562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B561" i="1"/>
  <c r="H561" i="1"/>
  <c r="G561" i="1"/>
  <c r="F561" i="1"/>
  <c r="E561" i="1"/>
  <c r="N561" i="1"/>
  <c r="M561" i="1"/>
  <c r="L561" i="1"/>
  <c r="K561" i="1"/>
  <c r="J561" i="1"/>
  <c r="I561" i="1"/>
  <c r="D561" i="1"/>
  <c r="C561" i="1"/>
  <c r="A561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B560" i="1"/>
  <c r="H560" i="1"/>
  <c r="G560" i="1"/>
  <c r="F560" i="1"/>
  <c r="E560" i="1"/>
  <c r="N560" i="1"/>
  <c r="M560" i="1"/>
  <c r="L560" i="1"/>
  <c r="K560" i="1"/>
  <c r="J560" i="1"/>
  <c r="I560" i="1"/>
  <c r="D560" i="1"/>
  <c r="C560" i="1"/>
  <c r="A560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B559" i="1"/>
  <c r="H559" i="1"/>
  <c r="G559" i="1"/>
  <c r="F559" i="1"/>
  <c r="E559" i="1"/>
  <c r="N559" i="1"/>
  <c r="M559" i="1"/>
  <c r="L559" i="1"/>
  <c r="K559" i="1"/>
  <c r="J559" i="1"/>
  <c r="I559" i="1"/>
  <c r="D559" i="1"/>
  <c r="C559" i="1"/>
  <c r="A559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B558" i="1"/>
  <c r="H558" i="1"/>
  <c r="G558" i="1"/>
  <c r="F558" i="1"/>
  <c r="E558" i="1"/>
  <c r="N558" i="1"/>
  <c r="M558" i="1"/>
  <c r="L558" i="1"/>
  <c r="K558" i="1"/>
  <c r="J558" i="1"/>
  <c r="I558" i="1"/>
  <c r="D558" i="1"/>
  <c r="C558" i="1"/>
  <c r="A558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B557" i="1"/>
  <c r="H557" i="1"/>
  <c r="G557" i="1"/>
  <c r="F557" i="1"/>
  <c r="E557" i="1"/>
  <c r="N557" i="1"/>
  <c r="M557" i="1"/>
  <c r="L557" i="1"/>
  <c r="K557" i="1"/>
  <c r="J557" i="1"/>
  <c r="I557" i="1"/>
  <c r="D557" i="1"/>
  <c r="C557" i="1"/>
  <c r="A557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B556" i="1"/>
  <c r="H556" i="1"/>
  <c r="G556" i="1"/>
  <c r="F556" i="1"/>
  <c r="E556" i="1"/>
  <c r="N556" i="1"/>
  <c r="M556" i="1"/>
  <c r="L556" i="1"/>
  <c r="K556" i="1"/>
  <c r="J556" i="1"/>
  <c r="I556" i="1"/>
  <c r="D556" i="1"/>
  <c r="C556" i="1"/>
  <c r="A556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B555" i="1"/>
  <c r="H555" i="1"/>
  <c r="G555" i="1"/>
  <c r="F555" i="1"/>
  <c r="E555" i="1"/>
  <c r="N555" i="1"/>
  <c r="M555" i="1"/>
  <c r="L555" i="1"/>
  <c r="K555" i="1"/>
  <c r="J555" i="1"/>
  <c r="I555" i="1"/>
  <c r="D555" i="1"/>
  <c r="C555" i="1"/>
  <c r="A555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B554" i="1"/>
  <c r="H554" i="1"/>
  <c r="G554" i="1"/>
  <c r="F554" i="1"/>
  <c r="E554" i="1"/>
  <c r="N554" i="1"/>
  <c r="M554" i="1"/>
  <c r="L554" i="1"/>
  <c r="K554" i="1"/>
  <c r="J554" i="1"/>
  <c r="I554" i="1"/>
  <c r="D554" i="1"/>
  <c r="C554" i="1"/>
  <c r="A554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B553" i="1"/>
  <c r="H553" i="1"/>
  <c r="G553" i="1"/>
  <c r="F553" i="1"/>
  <c r="E553" i="1"/>
  <c r="N553" i="1"/>
  <c r="M553" i="1"/>
  <c r="L553" i="1"/>
  <c r="K553" i="1"/>
  <c r="J553" i="1"/>
  <c r="I553" i="1"/>
  <c r="D553" i="1"/>
  <c r="C553" i="1"/>
  <c r="A553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B552" i="1"/>
  <c r="H552" i="1"/>
  <c r="G552" i="1"/>
  <c r="F552" i="1"/>
  <c r="E552" i="1"/>
  <c r="N552" i="1"/>
  <c r="M552" i="1"/>
  <c r="L552" i="1"/>
  <c r="K552" i="1"/>
  <c r="J552" i="1"/>
  <c r="I552" i="1"/>
  <c r="D552" i="1"/>
  <c r="C552" i="1"/>
  <c r="A552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B551" i="1"/>
  <c r="H551" i="1"/>
  <c r="G551" i="1"/>
  <c r="F551" i="1"/>
  <c r="E551" i="1"/>
  <c r="N551" i="1"/>
  <c r="M551" i="1"/>
  <c r="L551" i="1"/>
  <c r="K551" i="1"/>
  <c r="J551" i="1"/>
  <c r="I551" i="1"/>
  <c r="D551" i="1"/>
  <c r="C551" i="1"/>
  <c r="A551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B550" i="1"/>
  <c r="H550" i="1"/>
  <c r="G550" i="1"/>
  <c r="F550" i="1"/>
  <c r="E550" i="1"/>
  <c r="N550" i="1"/>
  <c r="M550" i="1"/>
  <c r="L550" i="1"/>
  <c r="K550" i="1"/>
  <c r="J550" i="1"/>
  <c r="I550" i="1"/>
  <c r="D550" i="1"/>
  <c r="C550" i="1"/>
  <c r="A550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B549" i="1"/>
  <c r="H549" i="1"/>
  <c r="G549" i="1"/>
  <c r="F549" i="1"/>
  <c r="E549" i="1"/>
  <c r="N549" i="1"/>
  <c r="M549" i="1"/>
  <c r="L549" i="1"/>
  <c r="K549" i="1"/>
  <c r="J549" i="1"/>
  <c r="I549" i="1"/>
  <c r="D549" i="1"/>
  <c r="C549" i="1"/>
  <c r="A549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B548" i="1"/>
  <c r="H548" i="1"/>
  <c r="G548" i="1"/>
  <c r="F548" i="1"/>
  <c r="E548" i="1"/>
  <c r="N548" i="1"/>
  <c r="M548" i="1"/>
  <c r="L548" i="1"/>
  <c r="K548" i="1"/>
  <c r="J548" i="1"/>
  <c r="I548" i="1"/>
  <c r="D548" i="1"/>
  <c r="C548" i="1"/>
  <c r="A548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B547" i="1"/>
  <c r="H547" i="1"/>
  <c r="G547" i="1"/>
  <c r="F547" i="1"/>
  <c r="E547" i="1"/>
  <c r="N547" i="1"/>
  <c r="M547" i="1"/>
  <c r="L547" i="1"/>
  <c r="K547" i="1"/>
  <c r="J547" i="1"/>
  <c r="I547" i="1"/>
  <c r="D547" i="1"/>
  <c r="C547" i="1"/>
  <c r="A547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B546" i="1"/>
  <c r="H546" i="1"/>
  <c r="G546" i="1"/>
  <c r="F546" i="1"/>
  <c r="E546" i="1"/>
  <c r="N546" i="1"/>
  <c r="M546" i="1"/>
  <c r="L546" i="1"/>
  <c r="K546" i="1"/>
  <c r="J546" i="1"/>
  <c r="I546" i="1"/>
  <c r="D546" i="1"/>
  <c r="C546" i="1"/>
  <c r="A546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B545" i="1"/>
  <c r="H545" i="1"/>
  <c r="G545" i="1"/>
  <c r="F545" i="1"/>
  <c r="E545" i="1"/>
  <c r="N545" i="1"/>
  <c r="M545" i="1"/>
  <c r="L545" i="1"/>
  <c r="K545" i="1"/>
  <c r="J545" i="1"/>
  <c r="I545" i="1"/>
  <c r="D545" i="1"/>
  <c r="C545" i="1"/>
  <c r="A545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B544" i="1"/>
  <c r="H544" i="1"/>
  <c r="G544" i="1"/>
  <c r="F544" i="1"/>
  <c r="E544" i="1"/>
  <c r="N544" i="1"/>
  <c r="M544" i="1"/>
  <c r="L544" i="1"/>
  <c r="K544" i="1"/>
  <c r="J544" i="1"/>
  <c r="I544" i="1"/>
  <c r="D544" i="1"/>
  <c r="C544" i="1"/>
  <c r="A544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B543" i="1"/>
  <c r="H543" i="1"/>
  <c r="G543" i="1"/>
  <c r="F543" i="1"/>
  <c r="E543" i="1"/>
  <c r="N543" i="1"/>
  <c r="M543" i="1"/>
  <c r="L543" i="1"/>
  <c r="K543" i="1"/>
  <c r="J543" i="1"/>
  <c r="I543" i="1"/>
  <c r="D543" i="1"/>
  <c r="C543" i="1"/>
  <c r="A543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B542" i="1"/>
  <c r="H542" i="1"/>
  <c r="G542" i="1"/>
  <c r="F542" i="1"/>
  <c r="E542" i="1"/>
  <c r="M542" i="1"/>
  <c r="L542" i="1"/>
  <c r="K542" i="1"/>
  <c r="J542" i="1"/>
  <c r="I542" i="1"/>
  <c r="D542" i="1"/>
  <c r="C542" i="1"/>
  <c r="A542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B541" i="1"/>
  <c r="H541" i="1"/>
  <c r="G541" i="1"/>
  <c r="F541" i="1"/>
  <c r="E541" i="1"/>
  <c r="N541" i="1"/>
  <c r="M541" i="1"/>
  <c r="L541" i="1"/>
  <c r="K541" i="1"/>
  <c r="J541" i="1"/>
  <c r="I541" i="1"/>
  <c r="D541" i="1"/>
  <c r="C541" i="1"/>
  <c r="A541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B540" i="1"/>
  <c r="H540" i="1"/>
  <c r="G540" i="1"/>
  <c r="F540" i="1"/>
  <c r="E540" i="1"/>
  <c r="N540" i="1"/>
  <c r="M540" i="1"/>
  <c r="L540" i="1"/>
  <c r="K540" i="1"/>
  <c r="J540" i="1"/>
  <c r="I540" i="1"/>
  <c r="D540" i="1"/>
  <c r="C540" i="1"/>
  <c r="A540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B539" i="1"/>
  <c r="H539" i="1"/>
  <c r="G539" i="1"/>
  <c r="F539" i="1"/>
  <c r="E539" i="1"/>
  <c r="N539" i="1"/>
  <c r="M539" i="1"/>
  <c r="L539" i="1"/>
  <c r="K539" i="1"/>
  <c r="J539" i="1"/>
  <c r="I539" i="1"/>
  <c r="D539" i="1"/>
  <c r="C539" i="1"/>
  <c r="A539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B538" i="1"/>
  <c r="H538" i="1"/>
  <c r="G538" i="1"/>
  <c r="F538" i="1"/>
  <c r="E538" i="1"/>
  <c r="N538" i="1"/>
  <c r="M538" i="1"/>
  <c r="L538" i="1"/>
  <c r="K538" i="1"/>
  <c r="J538" i="1"/>
  <c r="I538" i="1"/>
  <c r="D538" i="1"/>
  <c r="C538" i="1"/>
  <c r="A538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B537" i="1"/>
  <c r="H537" i="1"/>
  <c r="G537" i="1"/>
  <c r="F537" i="1"/>
  <c r="E537" i="1"/>
  <c r="N537" i="1"/>
  <c r="M537" i="1"/>
  <c r="L537" i="1"/>
  <c r="K537" i="1"/>
  <c r="J537" i="1"/>
  <c r="I537" i="1"/>
  <c r="D537" i="1"/>
  <c r="C537" i="1"/>
  <c r="A537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B536" i="1"/>
  <c r="H536" i="1"/>
  <c r="G536" i="1"/>
  <c r="F536" i="1"/>
  <c r="E536" i="1"/>
  <c r="N536" i="1"/>
  <c r="M536" i="1"/>
  <c r="L536" i="1"/>
  <c r="K536" i="1"/>
  <c r="J536" i="1"/>
  <c r="I536" i="1"/>
  <c r="D536" i="1"/>
  <c r="C536" i="1"/>
  <c r="A536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B535" i="1"/>
  <c r="H535" i="1"/>
  <c r="G535" i="1"/>
  <c r="F535" i="1"/>
  <c r="E535" i="1"/>
  <c r="N535" i="1"/>
  <c r="M535" i="1"/>
  <c r="L535" i="1"/>
  <c r="K535" i="1"/>
  <c r="J535" i="1"/>
  <c r="I535" i="1"/>
  <c r="D535" i="1"/>
  <c r="C535" i="1"/>
  <c r="A535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B534" i="1"/>
  <c r="H534" i="1"/>
  <c r="G534" i="1"/>
  <c r="F534" i="1"/>
  <c r="E534" i="1"/>
  <c r="N534" i="1"/>
  <c r="M534" i="1"/>
  <c r="L534" i="1"/>
  <c r="K534" i="1"/>
  <c r="J534" i="1"/>
  <c r="I534" i="1"/>
  <c r="D534" i="1"/>
  <c r="C534" i="1"/>
  <c r="A534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B533" i="1"/>
  <c r="H533" i="1"/>
  <c r="G533" i="1"/>
  <c r="F533" i="1"/>
  <c r="E533" i="1"/>
  <c r="N533" i="1"/>
  <c r="M533" i="1"/>
  <c r="L533" i="1"/>
  <c r="K533" i="1"/>
  <c r="J533" i="1"/>
  <c r="I533" i="1"/>
  <c r="D533" i="1"/>
  <c r="C533" i="1"/>
  <c r="A533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B532" i="1"/>
  <c r="H532" i="1"/>
  <c r="G532" i="1"/>
  <c r="F532" i="1"/>
  <c r="E532" i="1"/>
  <c r="N532" i="1"/>
  <c r="M532" i="1"/>
  <c r="L532" i="1"/>
  <c r="K532" i="1"/>
  <c r="J532" i="1"/>
  <c r="I532" i="1"/>
  <c r="D532" i="1"/>
  <c r="C532" i="1"/>
  <c r="A532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B531" i="1"/>
  <c r="H531" i="1"/>
  <c r="G531" i="1"/>
  <c r="F531" i="1"/>
  <c r="E531" i="1"/>
  <c r="N531" i="1"/>
  <c r="M531" i="1"/>
  <c r="L531" i="1"/>
  <c r="K531" i="1"/>
  <c r="J531" i="1"/>
  <c r="I531" i="1"/>
  <c r="D531" i="1"/>
  <c r="C531" i="1"/>
  <c r="A531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B530" i="1"/>
  <c r="H530" i="1"/>
  <c r="G530" i="1"/>
  <c r="F530" i="1"/>
  <c r="E530" i="1"/>
  <c r="N530" i="1"/>
  <c r="M530" i="1"/>
  <c r="L530" i="1"/>
  <c r="K530" i="1"/>
  <c r="J530" i="1"/>
  <c r="I530" i="1"/>
  <c r="D530" i="1"/>
  <c r="C530" i="1"/>
  <c r="A530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B529" i="1"/>
  <c r="H529" i="1"/>
  <c r="G529" i="1"/>
  <c r="F529" i="1"/>
  <c r="E529" i="1"/>
  <c r="N529" i="1"/>
  <c r="M529" i="1"/>
  <c r="L529" i="1"/>
  <c r="K529" i="1"/>
  <c r="J529" i="1"/>
  <c r="I529" i="1"/>
  <c r="D529" i="1"/>
  <c r="C529" i="1"/>
  <c r="A529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B528" i="1"/>
  <c r="H528" i="1"/>
  <c r="G528" i="1"/>
  <c r="F528" i="1"/>
  <c r="E528" i="1"/>
  <c r="N528" i="1"/>
  <c r="M528" i="1"/>
  <c r="L528" i="1"/>
  <c r="K528" i="1"/>
  <c r="J528" i="1"/>
  <c r="I528" i="1"/>
  <c r="D528" i="1"/>
  <c r="C528" i="1"/>
  <c r="A528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B527" i="1"/>
  <c r="H527" i="1"/>
  <c r="G527" i="1"/>
  <c r="F527" i="1"/>
  <c r="E527" i="1"/>
  <c r="N527" i="1"/>
  <c r="M527" i="1"/>
  <c r="L527" i="1"/>
  <c r="K527" i="1"/>
  <c r="J527" i="1"/>
  <c r="I527" i="1"/>
  <c r="D527" i="1"/>
  <c r="C527" i="1"/>
  <c r="A527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B526" i="1"/>
  <c r="H526" i="1"/>
  <c r="G526" i="1"/>
  <c r="F526" i="1"/>
  <c r="E526" i="1"/>
  <c r="N526" i="1"/>
  <c r="M526" i="1"/>
  <c r="L526" i="1"/>
  <c r="K526" i="1"/>
  <c r="J526" i="1"/>
  <c r="I526" i="1"/>
  <c r="D526" i="1"/>
  <c r="C526" i="1"/>
  <c r="A526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B525" i="1"/>
  <c r="H525" i="1"/>
  <c r="G525" i="1"/>
  <c r="F525" i="1"/>
  <c r="E525" i="1"/>
  <c r="N525" i="1"/>
  <c r="M525" i="1"/>
  <c r="L525" i="1"/>
  <c r="K525" i="1"/>
  <c r="J525" i="1"/>
  <c r="I525" i="1"/>
  <c r="D525" i="1"/>
  <c r="C525" i="1"/>
  <c r="A525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B524" i="1"/>
  <c r="H524" i="1"/>
  <c r="G524" i="1"/>
  <c r="F524" i="1"/>
  <c r="E524" i="1"/>
  <c r="N524" i="1"/>
  <c r="M524" i="1"/>
  <c r="L524" i="1"/>
  <c r="K524" i="1"/>
  <c r="J524" i="1"/>
  <c r="I524" i="1"/>
  <c r="D524" i="1"/>
  <c r="C524" i="1"/>
  <c r="A524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B523" i="1"/>
  <c r="H523" i="1"/>
  <c r="G523" i="1"/>
  <c r="F523" i="1"/>
  <c r="E523" i="1"/>
  <c r="N523" i="1"/>
  <c r="M523" i="1"/>
  <c r="L523" i="1"/>
  <c r="K523" i="1"/>
  <c r="J523" i="1"/>
  <c r="I523" i="1"/>
  <c r="D523" i="1"/>
  <c r="C523" i="1"/>
  <c r="A523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B522" i="1"/>
  <c r="H522" i="1"/>
  <c r="G522" i="1"/>
  <c r="F522" i="1"/>
  <c r="E522" i="1"/>
  <c r="N522" i="1"/>
  <c r="M522" i="1"/>
  <c r="L522" i="1"/>
  <c r="K522" i="1"/>
  <c r="J522" i="1"/>
  <c r="I522" i="1"/>
  <c r="D522" i="1"/>
  <c r="C522" i="1"/>
  <c r="A522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B521" i="1"/>
  <c r="H521" i="1"/>
  <c r="G521" i="1"/>
  <c r="F521" i="1"/>
  <c r="E521" i="1"/>
  <c r="N521" i="1"/>
  <c r="M521" i="1"/>
  <c r="L521" i="1"/>
  <c r="K521" i="1"/>
  <c r="J521" i="1"/>
  <c r="I521" i="1"/>
  <c r="D521" i="1"/>
  <c r="C521" i="1"/>
  <c r="A521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B520" i="1"/>
  <c r="H520" i="1"/>
  <c r="G520" i="1"/>
  <c r="F520" i="1"/>
  <c r="E520" i="1"/>
  <c r="N520" i="1"/>
  <c r="M520" i="1"/>
  <c r="L520" i="1"/>
  <c r="K520" i="1"/>
  <c r="J520" i="1"/>
  <c r="I520" i="1"/>
  <c r="D520" i="1"/>
  <c r="C520" i="1"/>
  <c r="A520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B519" i="1"/>
  <c r="H519" i="1"/>
  <c r="G519" i="1"/>
  <c r="F519" i="1"/>
  <c r="E519" i="1"/>
  <c r="N519" i="1"/>
  <c r="M519" i="1"/>
  <c r="L519" i="1"/>
  <c r="K519" i="1"/>
  <c r="J519" i="1"/>
  <c r="I519" i="1"/>
  <c r="D519" i="1"/>
  <c r="C519" i="1"/>
  <c r="A519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B518" i="1"/>
  <c r="H518" i="1"/>
  <c r="G518" i="1"/>
  <c r="F518" i="1"/>
  <c r="E518" i="1"/>
  <c r="N518" i="1"/>
  <c r="M518" i="1"/>
  <c r="L518" i="1"/>
  <c r="K518" i="1"/>
  <c r="J518" i="1"/>
  <c r="I518" i="1"/>
  <c r="D518" i="1"/>
  <c r="C518" i="1"/>
  <c r="A518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B517" i="1"/>
  <c r="H517" i="1"/>
  <c r="G517" i="1"/>
  <c r="F517" i="1"/>
  <c r="E517" i="1"/>
  <c r="N517" i="1"/>
  <c r="M517" i="1"/>
  <c r="L517" i="1"/>
  <c r="K517" i="1"/>
  <c r="J517" i="1"/>
  <c r="I517" i="1"/>
  <c r="D517" i="1"/>
  <c r="C517" i="1"/>
  <c r="A517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B516" i="1"/>
  <c r="H516" i="1"/>
  <c r="G516" i="1"/>
  <c r="F516" i="1"/>
  <c r="E516" i="1"/>
  <c r="N516" i="1"/>
  <c r="M516" i="1"/>
  <c r="L516" i="1"/>
  <c r="K516" i="1"/>
  <c r="J516" i="1"/>
  <c r="I516" i="1"/>
  <c r="D516" i="1"/>
  <c r="C516" i="1"/>
  <c r="A516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B515" i="1"/>
  <c r="H515" i="1"/>
  <c r="G515" i="1"/>
  <c r="F515" i="1"/>
  <c r="E515" i="1"/>
  <c r="N515" i="1"/>
  <c r="M515" i="1"/>
  <c r="L515" i="1"/>
  <c r="K515" i="1"/>
  <c r="J515" i="1"/>
  <c r="I515" i="1"/>
  <c r="D515" i="1"/>
  <c r="C515" i="1"/>
  <c r="A515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B514" i="1"/>
  <c r="H514" i="1"/>
  <c r="G514" i="1"/>
  <c r="F514" i="1"/>
  <c r="E514" i="1"/>
  <c r="N514" i="1"/>
  <c r="M514" i="1"/>
  <c r="L514" i="1"/>
  <c r="K514" i="1"/>
  <c r="J514" i="1"/>
  <c r="I514" i="1"/>
  <c r="D514" i="1"/>
  <c r="C514" i="1"/>
  <c r="A514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B513" i="1"/>
  <c r="H513" i="1"/>
  <c r="G513" i="1"/>
  <c r="F513" i="1"/>
  <c r="E513" i="1"/>
  <c r="N513" i="1"/>
  <c r="M513" i="1"/>
  <c r="L513" i="1"/>
  <c r="K513" i="1"/>
  <c r="J513" i="1"/>
  <c r="I513" i="1"/>
  <c r="D513" i="1"/>
  <c r="C513" i="1"/>
  <c r="A513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B512" i="1"/>
  <c r="H512" i="1"/>
  <c r="G512" i="1"/>
  <c r="F512" i="1"/>
  <c r="E512" i="1"/>
  <c r="N512" i="1"/>
  <c r="M512" i="1"/>
  <c r="L512" i="1"/>
  <c r="K512" i="1"/>
  <c r="J512" i="1"/>
  <c r="I512" i="1"/>
  <c r="D512" i="1"/>
  <c r="C512" i="1"/>
  <c r="A512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B511" i="1"/>
  <c r="H511" i="1"/>
  <c r="G511" i="1"/>
  <c r="F511" i="1"/>
  <c r="E511" i="1"/>
  <c r="N511" i="1"/>
  <c r="M511" i="1"/>
  <c r="L511" i="1"/>
  <c r="K511" i="1"/>
  <c r="J511" i="1"/>
  <c r="I511" i="1"/>
  <c r="D511" i="1"/>
  <c r="C511" i="1"/>
  <c r="A511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B510" i="1"/>
  <c r="H510" i="1"/>
  <c r="G510" i="1"/>
  <c r="F510" i="1"/>
  <c r="E510" i="1"/>
  <c r="N510" i="1"/>
  <c r="M510" i="1"/>
  <c r="L510" i="1"/>
  <c r="K510" i="1"/>
  <c r="J510" i="1"/>
  <c r="I510" i="1"/>
  <c r="D510" i="1"/>
  <c r="C510" i="1"/>
  <c r="A510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B509" i="1"/>
  <c r="H509" i="1"/>
  <c r="G509" i="1"/>
  <c r="F509" i="1"/>
  <c r="E509" i="1"/>
  <c r="N509" i="1"/>
  <c r="M509" i="1"/>
  <c r="L509" i="1"/>
  <c r="K509" i="1"/>
  <c r="J509" i="1"/>
  <c r="I509" i="1"/>
  <c r="D509" i="1"/>
  <c r="C509" i="1"/>
  <c r="A509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B508" i="1"/>
  <c r="H508" i="1"/>
  <c r="G508" i="1"/>
  <c r="F508" i="1"/>
  <c r="E508" i="1"/>
  <c r="N508" i="1"/>
  <c r="M508" i="1"/>
  <c r="L508" i="1"/>
  <c r="K508" i="1"/>
  <c r="J508" i="1"/>
  <c r="I508" i="1"/>
  <c r="D508" i="1"/>
  <c r="C508" i="1"/>
  <c r="A508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B507" i="1"/>
  <c r="H507" i="1"/>
  <c r="G507" i="1"/>
  <c r="F507" i="1"/>
  <c r="E507" i="1"/>
  <c r="N507" i="1"/>
  <c r="M507" i="1"/>
  <c r="L507" i="1"/>
  <c r="K507" i="1"/>
  <c r="J507" i="1"/>
  <c r="I507" i="1"/>
  <c r="D507" i="1"/>
  <c r="C507" i="1"/>
  <c r="A507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B506" i="1"/>
  <c r="H506" i="1"/>
  <c r="G506" i="1"/>
  <c r="F506" i="1"/>
  <c r="E506" i="1"/>
  <c r="N506" i="1"/>
  <c r="M506" i="1"/>
  <c r="L506" i="1"/>
  <c r="K506" i="1"/>
  <c r="J506" i="1"/>
  <c r="I506" i="1"/>
  <c r="D506" i="1"/>
  <c r="C506" i="1"/>
  <c r="A506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B505" i="1"/>
  <c r="H505" i="1"/>
  <c r="G505" i="1"/>
  <c r="F505" i="1"/>
  <c r="E505" i="1"/>
  <c r="N505" i="1"/>
  <c r="M505" i="1"/>
  <c r="L505" i="1"/>
  <c r="K505" i="1"/>
  <c r="J505" i="1"/>
  <c r="I505" i="1"/>
  <c r="D505" i="1"/>
  <c r="C505" i="1"/>
  <c r="A505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B504" i="1"/>
  <c r="H504" i="1"/>
  <c r="G504" i="1"/>
  <c r="F504" i="1"/>
  <c r="E504" i="1"/>
  <c r="N504" i="1"/>
  <c r="M504" i="1"/>
  <c r="L504" i="1"/>
  <c r="K504" i="1"/>
  <c r="J504" i="1"/>
  <c r="I504" i="1"/>
  <c r="D504" i="1"/>
  <c r="C504" i="1"/>
  <c r="A504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B503" i="1"/>
  <c r="H503" i="1"/>
  <c r="G503" i="1"/>
  <c r="F503" i="1"/>
  <c r="E503" i="1"/>
  <c r="N503" i="1"/>
  <c r="M503" i="1"/>
  <c r="L503" i="1"/>
  <c r="K503" i="1"/>
  <c r="J503" i="1"/>
  <c r="I503" i="1"/>
  <c r="D503" i="1"/>
  <c r="C503" i="1"/>
  <c r="A503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B502" i="1"/>
  <c r="H502" i="1"/>
  <c r="G502" i="1"/>
  <c r="F502" i="1"/>
  <c r="E502" i="1"/>
  <c r="N502" i="1"/>
  <c r="M502" i="1"/>
  <c r="L502" i="1"/>
  <c r="K502" i="1"/>
  <c r="J502" i="1"/>
  <c r="I502" i="1"/>
  <c r="D502" i="1"/>
  <c r="C502" i="1"/>
  <c r="A502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B501" i="1"/>
  <c r="H501" i="1"/>
  <c r="G501" i="1"/>
  <c r="F501" i="1"/>
  <c r="E501" i="1"/>
  <c r="N501" i="1"/>
  <c r="M501" i="1"/>
  <c r="L501" i="1"/>
  <c r="K501" i="1"/>
  <c r="J501" i="1"/>
  <c r="I501" i="1"/>
  <c r="D501" i="1"/>
  <c r="C501" i="1"/>
  <c r="A501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B500" i="1"/>
  <c r="H500" i="1"/>
  <c r="G500" i="1"/>
  <c r="F500" i="1"/>
  <c r="E500" i="1"/>
  <c r="N500" i="1"/>
  <c r="M500" i="1"/>
  <c r="L500" i="1"/>
  <c r="K500" i="1"/>
  <c r="J500" i="1"/>
  <c r="I500" i="1"/>
  <c r="D500" i="1"/>
  <c r="C500" i="1"/>
  <c r="A500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B499" i="1"/>
  <c r="H499" i="1"/>
  <c r="G499" i="1"/>
  <c r="F499" i="1"/>
  <c r="E499" i="1"/>
  <c r="N499" i="1"/>
  <c r="M499" i="1"/>
  <c r="L499" i="1"/>
  <c r="K499" i="1"/>
  <c r="J499" i="1"/>
  <c r="I499" i="1"/>
  <c r="D499" i="1"/>
  <c r="C499" i="1"/>
  <c r="A499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B498" i="1"/>
  <c r="H498" i="1"/>
  <c r="G498" i="1"/>
  <c r="F498" i="1"/>
  <c r="E498" i="1"/>
  <c r="N498" i="1"/>
  <c r="M498" i="1"/>
  <c r="L498" i="1"/>
  <c r="K498" i="1"/>
  <c r="J498" i="1"/>
  <c r="I498" i="1"/>
  <c r="D498" i="1"/>
  <c r="C498" i="1"/>
  <c r="A498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B497" i="1"/>
  <c r="H497" i="1"/>
  <c r="G497" i="1"/>
  <c r="F497" i="1"/>
  <c r="E497" i="1"/>
  <c r="N497" i="1"/>
  <c r="M497" i="1"/>
  <c r="L497" i="1"/>
  <c r="K497" i="1"/>
  <c r="J497" i="1"/>
  <c r="I497" i="1"/>
  <c r="D497" i="1"/>
  <c r="C497" i="1"/>
  <c r="A497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B496" i="1"/>
  <c r="H496" i="1"/>
  <c r="G496" i="1"/>
  <c r="F496" i="1"/>
  <c r="E496" i="1"/>
  <c r="N496" i="1"/>
  <c r="M496" i="1"/>
  <c r="L496" i="1"/>
  <c r="K496" i="1"/>
  <c r="J496" i="1"/>
  <c r="I496" i="1"/>
  <c r="D496" i="1"/>
  <c r="C496" i="1"/>
  <c r="A496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B495" i="1"/>
  <c r="H495" i="1"/>
  <c r="G495" i="1"/>
  <c r="F495" i="1"/>
  <c r="E495" i="1"/>
  <c r="N495" i="1"/>
  <c r="M495" i="1"/>
  <c r="L495" i="1"/>
  <c r="K495" i="1"/>
  <c r="J495" i="1"/>
  <c r="I495" i="1"/>
  <c r="D495" i="1"/>
  <c r="C495" i="1"/>
  <c r="A495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B494" i="1"/>
  <c r="H494" i="1"/>
  <c r="G494" i="1"/>
  <c r="F494" i="1"/>
  <c r="E494" i="1"/>
  <c r="N494" i="1"/>
  <c r="M494" i="1"/>
  <c r="L494" i="1"/>
  <c r="K494" i="1"/>
  <c r="J494" i="1"/>
  <c r="I494" i="1"/>
  <c r="D494" i="1"/>
  <c r="C494" i="1"/>
  <c r="A494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B493" i="1"/>
  <c r="H493" i="1"/>
  <c r="G493" i="1"/>
  <c r="F493" i="1"/>
  <c r="E493" i="1"/>
  <c r="N493" i="1"/>
  <c r="M493" i="1"/>
  <c r="L493" i="1"/>
  <c r="K493" i="1"/>
  <c r="J493" i="1"/>
  <c r="I493" i="1"/>
  <c r="D493" i="1"/>
  <c r="C493" i="1"/>
  <c r="A493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B492" i="1"/>
  <c r="H492" i="1"/>
  <c r="G492" i="1"/>
  <c r="F492" i="1"/>
  <c r="E492" i="1"/>
  <c r="N492" i="1"/>
  <c r="M492" i="1"/>
  <c r="L492" i="1"/>
  <c r="K492" i="1"/>
  <c r="J492" i="1"/>
  <c r="I492" i="1"/>
  <c r="D492" i="1"/>
  <c r="C492" i="1"/>
  <c r="A492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B491" i="1"/>
  <c r="H491" i="1"/>
  <c r="G491" i="1"/>
  <c r="F491" i="1"/>
  <c r="E491" i="1"/>
  <c r="N491" i="1"/>
  <c r="M491" i="1"/>
  <c r="L491" i="1"/>
  <c r="K491" i="1"/>
  <c r="J491" i="1"/>
  <c r="I491" i="1"/>
  <c r="D491" i="1"/>
  <c r="C491" i="1"/>
  <c r="A491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B490" i="1"/>
  <c r="H490" i="1"/>
  <c r="G490" i="1"/>
  <c r="F490" i="1"/>
  <c r="E490" i="1"/>
  <c r="N490" i="1"/>
  <c r="M490" i="1"/>
  <c r="L490" i="1"/>
  <c r="K490" i="1"/>
  <c r="J490" i="1"/>
  <c r="I490" i="1"/>
  <c r="D490" i="1"/>
  <c r="C490" i="1"/>
  <c r="A490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B489" i="1"/>
  <c r="H489" i="1"/>
  <c r="G489" i="1"/>
  <c r="F489" i="1"/>
  <c r="E489" i="1"/>
  <c r="N489" i="1"/>
  <c r="M489" i="1"/>
  <c r="L489" i="1"/>
  <c r="K489" i="1"/>
  <c r="J489" i="1"/>
  <c r="I489" i="1"/>
  <c r="D489" i="1"/>
  <c r="C489" i="1"/>
  <c r="A489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B488" i="1"/>
  <c r="H488" i="1"/>
  <c r="G488" i="1"/>
  <c r="F488" i="1"/>
  <c r="E488" i="1"/>
  <c r="N488" i="1"/>
  <c r="M488" i="1"/>
  <c r="L488" i="1"/>
  <c r="K488" i="1"/>
  <c r="J488" i="1"/>
  <c r="I488" i="1"/>
  <c r="D488" i="1"/>
  <c r="C488" i="1"/>
  <c r="A488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B487" i="1"/>
  <c r="H487" i="1"/>
  <c r="G487" i="1"/>
  <c r="F487" i="1"/>
  <c r="E487" i="1"/>
  <c r="N487" i="1"/>
  <c r="M487" i="1"/>
  <c r="L487" i="1"/>
  <c r="K487" i="1"/>
  <c r="J487" i="1"/>
  <c r="I487" i="1"/>
  <c r="D487" i="1"/>
  <c r="C487" i="1"/>
  <c r="A487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B486" i="1"/>
  <c r="H486" i="1"/>
  <c r="G486" i="1"/>
  <c r="F486" i="1"/>
  <c r="E486" i="1"/>
  <c r="N486" i="1"/>
  <c r="M486" i="1"/>
  <c r="L486" i="1"/>
  <c r="K486" i="1"/>
  <c r="J486" i="1"/>
  <c r="I486" i="1"/>
  <c r="D486" i="1"/>
  <c r="C486" i="1"/>
  <c r="A486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B485" i="1"/>
  <c r="H485" i="1"/>
  <c r="G485" i="1"/>
  <c r="F485" i="1"/>
  <c r="E485" i="1"/>
  <c r="N485" i="1"/>
  <c r="M485" i="1"/>
  <c r="L485" i="1"/>
  <c r="K485" i="1"/>
  <c r="J485" i="1"/>
  <c r="I485" i="1"/>
  <c r="D485" i="1"/>
  <c r="C485" i="1"/>
  <c r="A485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B484" i="1"/>
  <c r="H484" i="1"/>
  <c r="G484" i="1"/>
  <c r="F484" i="1"/>
  <c r="E484" i="1"/>
  <c r="N484" i="1"/>
  <c r="M484" i="1"/>
  <c r="L484" i="1"/>
  <c r="K484" i="1"/>
  <c r="J484" i="1"/>
  <c r="I484" i="1"/>
  <c r="D484" i="1"/>
  <c r="C484" i="1"/>
  <c r="A484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B483" i="1"/>
  <c r="H483" i="1"/>
  <c r="G483" i="1"/>
  <c r="F483" i="1"/>
  <c r="E483" i="1"/>
  <c r="N483" i="1"/>
  <c r="M483" i="1"/>
  <c r="L483" i="1"/>
  <c r="K483" i="1"/>
  <c r="J483" i="1"/>
  <c r="I483" i="1"/>
  <c r="D483" i="1"/>
  <c r="C483" i="1"/>
  <c r="A483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B482" i="1"/>
  <c r="H482" i="1"/>
  <c r="G482" i="1"/>
  <c r="F482" i="1"/>
  <c r="E482" i="1"/>
  <c r="N482" i="1"/>
  <c r="M482" i="1"/>
  <c r="L482" i="1"/>
  <c r="K482" i="1"/>
  <c r="J482" i="1"/>
  <c r="I482" i="1"/>
  <c r="D482" i="1"/>
  <c r="C482" i="1"/>
  <c r="A482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B481" i="1"/>
  <c r="H481" i="1"/>
  <c r="G481" i="1"/>
  <c r="F481" i="1"/>
  <c r="E481" i="1"/>
  <c r="N481" i="1"/>
  <c r="M481" i="1"/>
  <c r="L481" i="1"/>
  <c r="K481" i="1"/>
  <c r="J481" i="1"/>
  <c r="I481" i="1"/>
  <c r="D481" i="1"/>
  <c r="C481" i="1"/>
  <c r="A481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B480" i="1"/>
  <c r="H480" i="1"/>
  <c r="G480" i="1"/>
  <c r="F480" i="1"/>
  <c r="E480" i="1"/>
  <c r="N480" i="1"/>
  <c r="M480" i="1"/>
  <c r="L480" i="1"/>
  <c r="K480" i="1"/>
  <c r="J480" i="1"/>
  <c r="I480" i="1"/>
  <c r="D480" i="1"/>
  <c r="C480" i="1"/>
  <c r="A480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B479" i="1"/>
  <c r="H479" i="1"/>
  <c r="G479" i="1"/>
  <c r="F479" i="1"/>
  <c r="E479" i="1"/>
  <c r="N479" i="1"/>
  <c r="M479" i="1"/>
  <c r="L479" i="1"/>
  <c r="K479" i="1"/>
  <c r="J479" i="1"/>
  <c r="I479" i="1"/>
  <c r="D479" i="1"/>
  <c r="C479" i="1"/>
  <c r="A479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B478" i="1"/>
  <c r="H478" i="1"/>
  <c r="G478" i="1"/>
  <c r="F478" i="1"/>
  <c r="E478" i="1"/>
  <c r="N478" i="1"/>
  <c r="M478" i="1"/>
  <c r="L478" i="1"/>
  <c r="K478" i="1"/>
  <c r="J478" i="1"/>
  <c r="I478" i="1"/>
  <c r="D478" i="1"/>
  <c r="C478" i="1"/>
  <c r="A478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B477" i="1"/>
  <c r="H477" i="1"/>
  <c r="G477" i="1"/>
  <c r="F477" i="1"/>
  <c r="E477" i="1"/>
  <c r="N477" i="1"/>
  <c r="M477" i="1"/>
  <c r="L477" i="1"/>
  <c r="K477" i="1"/>
  <c r="J477" i="1"/>
  <c r="I477" i="1"/>
  <c r="D477" i="1"/>
  <c r="C477" i="1"/>
  <c r="A477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B476" i="1"/>
  <c r="H476" i="1"/>
  <c r="G476" i="1"/>
  <c r="F476" i="1"/>
  <c r="E476" i="1"/>
  <c r="N476" i="1"/>
  <c r="M476" i="1"/>
  <c r="L476" i="1"/>
  <c r="K476" i="1"/>
  <c r="J476" i="1"/>
  <c r="I476" i="1"/>
  <c r="D476" i="1"/>
  <c r="C476" i="1"/>
  <c r="A476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B475" i="1"/>
  <c r="H475" i="1"/>
  <c r="G475" i="1"/>
  <c r="F475" i="1"/>
  <c r="E475" i="1"/>
  <c r="N475" i="1"/>
  <c r="M475" i="1"/>
  <c r="L475" i="1"/>
  <c r="K475" i="1"/>
  <c r="J475" i="1"/>
  <c r="I475" i="1"/>
  <c r="D475" i="1"/>
  <c r="C475" i="1"/>
  <c r="A475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B474" i="1"/>
  <c r="H474" i="1"/>
  <c r="G474" i="1"/>
  <c r="F474" i="1"/>
  <c r="E474" i="1"/>
  <c r="N474" i="1"/>
  <c r="M474" i="1"/>
  <c r="L474" i="1"/>
  <c r="K474" i="1"/>
  <c r="J474" i="1"/>
  <c r="I474" i="1"/>
  <c r="D474" i="1"/>
  <c r="C474" i="1"/>
  <c r="A474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B473" i="1"/>
  <c r="H473" i="1"/>
  <c r="G473" i="1"/>
  <c r="F473" i="1"/>
  <c r="E473" i="1"/>
  <c r="N473" i="1"/>
  <c r="M473" i="1"/>
  <c r="L473" i="1"/>
  <c r="K473" i="1"/>
  <c r="J473" i="1"/>
  <c r="I473" i="1"/>
  <c r="D473" i="1"/>
  <c r="C473" i="1"/>
  <c r="A473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B472" i="1"/>
  <c r="H472" i="1"/>
  <c r="G472" i="1"/>
  <c r="F472" i="1"/>
  <c r="E472" i="1"/>
  <c r="N472" i="1"/>
  <c r="M472" i="1"/>
  <c r="L472" i="1"/>
  <c r="K472" i="1"/>
  <c r="J472" i="1"/>
  <c r="I472" i="1"/>
  <c r="D472" i="1"/>
  <c r="C472" i="1"/>
  <c r="A472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B471" i="1"/>
  <c r="H471" i="1"/>
  <c r="G471" i="1"/>
  <c r="F471" i="1"/>
  <c r="E471" i="1"/>
  <c r="N471" i="1"/>
  <c r="M471" i="1"/>
  <c r="L471" i="1"/>
  <c r="K471" i="1"/>
  <c r="J471" i="1"/>
  <c r="I471" i="1"/>
  <c r="D471" i="1"/>
  <c r="C471" i="1"/>
  <c r="A471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B470" i="1"/>
  <c r="H470" i="1"/>
  <c r="G470" i="1"/>
  <c r="F470" i="1"/>
  <c r="E470" i="1"/>
  <c r="N470" i="1"/>
  <c r="M470" i="1"/>
  <c r="L470" i="1"/>
  <c r="K470" i="1"/>
  <c r="J470" i="1"/>
  <c r="I470" i="1"/>
  <c r="D470" i="1"/>
  <c r="C470" i="1"/>
  <c r="A470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B469" i="1"/>
  <c r="H469" i="1"/>
  <c r="G469" i="1"/>
  <c r="F469" i="1"/>
  <c r="E469" i="1"/>
  <c r="N469" i="1"/>
  <c r="M469" i="1"/>
  <c r="L469" i="1"/>
  <c r="K469" i="1"/>
  <c r="J469" i="1"/>
  <c r="I469" i="1"/>
  <c r="D469" i="1"/>
  <c r="C469" i="1"/>
  <c r="A469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B468" i="1"/>
  <c r="H468" i="1"/>
  <c r="G468" i="1"/>
  <c r="F468" i="1"/>
  <c r="E468" i="1"/>
  <c r="N468" i="1"/>
  <c r="M468" i="1"/>
  <c r="L468" i="1"/>
  <c r="K468" i="1"/>
  <c r="J468" i="1"/>
  <c r="I468" i="1"/>
  <c r="D468" i="1"/>
  <c r="C468" i="1"/>
  <c r="A468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B467" i="1"/>
  <c r="H467" i="1"/>
  <c r="G467" i="1"/>
  <c r="F467" i="1"/>
  <c r="E467" i="1"/>
  <c r="N467" i="1"/>
  <c r="M467" i="1"/>
  <c r="L467" i="1"/>
  <c r="K467" i="1"/>
  <c r="J467" i="1"/>
  <c r="I467" i="1"/>
  <c r="D467" i="1"/>
  <c r="C467" i="1"/>
  <c r="A467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B466" i="1"/>
  <c r="H466" i="1"/>
  <c r="G466" i="1"/>
  <c r="F466" i="1"/>
  <c r="E466" i="1"/>
  <c r="N466" i="1"/>
  <c r="M466" i="1"/>
  <c r="L466" i="1"/>
  <c r="K466" i="1"/>
  <c r="J466" i="1"/>
  <c r="I466" i="1"/>
  <c r="D466" i="1"/>
  <c r="C466" i="1"/>
  <c r="A466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B465" i="1"/>
  <c r="H465" i="1"/>
  <c r="G465" i="1"/>
  <c r="F465" i="1"/>
  <c r="E465" i="1"/>
  <c r="N465" i="1"/>
  <c r="M465" i="1"/>
  <c r="L465" i="1"/>
  <c r="K465" i="1"/>
  <c r="J465" i="1"/>
  <c r="I465" i="1"/>
  <c r="D465" i="1"/>
  <c r="C465" i="1"/>
  <c r="A465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B464" i="1"/>
  <c r="H464" i="1"/>
  <c r="G464" i="1"/>
  <c r="F464" i="1"/>
  <c r="E464" i="1"/>
  <c r="N464" i="1"/>
  <c r="M464" i="1"/>
  <c r="L464" i="1"/>
  <c r="K464" i="1"/>
  <c r="J464" i="1"/>
  <c r="I464" i="1"/>
  <c r="D464" i="1"/>
  <c r="C464" i="1"/>
  <c r="A464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B463" i="1"/>
  <c r="H463" i="1"/>
  <c r="G463" i="1"/>
  <c r="F463" i="1"/>
  <c r="E463" i="1"/>
  <c r="N463" i="1"/>
  <c r="M463" i="1"/>
  <c r="L463" i="1"/>
  <c r="K463" i="1"/>
  <c r="J463" i="1"/>
  <c r="I463" i="1"/>
  <c r="D463" i="1"/>
  <c r="C463" i="1"/>
  <c r="A463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B462" i="1"/>
  <c r="H462" i="1"/>
  <c r="G462" i="1"/>
  <c r="F462" i="1"/>
  <c r="E462" i="1"/>
  <c r="N462" i="1"/>
  <c r="M462" i="1"/>
  <c r="L462" i="1"/>
  <c r="K462" i="1"/>
  <c r="J462" i="1"/>
  <c r="I462" i="1"/>
  <c r="D462" i="1"/>
  <c r="C462" i="1"/>
  <c r="A462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B461" i="1"/>
  <c r="H461" i="1"/>
  <c r="G461" i="1"/>
  <c r="F461" i="1"/>
  <c r="E461" i="1"/>
  <c r="N461" i="1"/>
  <c r="M461" i="1"/>
  <c r="L461" i="1"/>
  <c r="K461" i="1"/>
  <c r="J461" i="1"/>
  <c r="I461" i="1"/>
  <c r="D461" i="1"/>
  <c r="C461" i="1"/>
  <c r="A461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B460" i="1"/>
  <c r="H460" i="1"/>
  <c r="G460" i="1"/>
  <c r="F460" i="1"/>
  <c r="E460" i="1"/>
  <c r="N460" i="1"/>
  <c r="M460" i="1"/>
  <c r="L460" i="1"/>
  <c r="K460" i="1"/>
  <c r="J460" i="1"/>
  <c r="I460" i="1"/>
  <c r="D460" i="1"/>
  <c r="C460" i="1"/>
  <c r="A460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B459" i="1"/>
  <c r="H459" i="1"/>
  <c r="G459" i="1"/>
  <c r="F459" i="1"/>
  <c r="E459" i="1"/>
  <c r="N459" i="1"/>
  <c r="M459" i="1"/>
  <c r="L459" i="1"/>
  <c r="K459" i="1"/>
  <c r="J459" i="1"/>
  <c r="I459" i="1"/>
  <c r="D459" i="1"/>
  <c r="C459" i="1"/>
  <c r="A459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B458" i="1"/>
  <c r="H458" i="1"/>
  <c r="G458" i="1"/>
  <c r="F458" i="1"/>
  <c r="E458" i="1"/>
  <c r="N458" i="1"/>
  <c r="M458" i="1"/>
  <c r="L458" i="1"/>
  <c r="K458" i="1"/>
  <c r="J458" i="1"/>
  <c r="I458" i="1"/>
  <c r="D458" i="1"/>
  <c r="C458" i="1"/>
  <c r="A458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B457" i="1"/>
  <c r="H457" i="1"/>
  <c r="G457" i="1"/>
  <c r="F457" i="1"/>
  <c r="E457" i="1"/>
  <c r="M457" i="1"/>
  <c r="L457" i="1"/>
  <c r="K457" i="1"/>
  <c r="J457" i="1"/>
  <c r="I457" i="1"/>
  <c r="D457" i="1"/>
  <c r="C457" i="1"/>
  <c r="A457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B456" i="1"/>
  <c r="H456" i="1"/>
  <c r="G456" i="1"/>
  <c r="F456" i="1"/>
  <c r="E456" i="1"/>
  <c r="N456" i="1"/>
  <c r="M456" i="1"/>
  <c r="L456" i="1"/>
  <c r="K456" i="1"/>
  <c r="J456" i="1"/>
  <c r="I456" i="1"/>
  <c r="D456" i="1"/>
  <c r="C456" i="1"/>
  <c r="A456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B455" i="1"/>
  <c r="H455" i="1"/>
  <c r="G455" i="1"/>
  <c r="F455" i="1"/>
  <c r="E455" i="1"/>
  <c r="N455" i="1"/>
  <c r="M455" i="1"/>
  <c r="L455" i="1"/>
  <c r="K455" i="1"/>
  <c r="J455" i="1"/>
  <c r="I455" i="1"/>
  <c r="D455" i="1"/>
  <c r="C455" i="1"/>
  <c r="A455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B454" i="1"/>
  <c r="H454" i="1"/>
  <c r="G454" i="1"/>
  <c r="F454" i="1"/>
  <c r="E454" i="1"/>
  <c r="N454" i="1"/>
  <c r="M454" i="1"/>
  <c r="L454" i="1"/>
  <c r="K454" i="1"/>
  <c r="J454" i="1"/>
  <c r="I454" i="1"/>
  <c r="D454" i="1"/>
  <c r="C454" i="1"/>
  <c r="A454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B453" i="1"/>
  <c r="H453" i="1"/>
  <c r="G453" i="1"/>
  <c r="F453" i="1"/>
  <c r="E453" i="1"/>
  <c r="N453" i="1"/>
  <c r="M453" i="1"/>
  <c r="L453" i="1"/>
  <c r="K453" i="1"/>
  <c r="J453" i="1"/>
  <c r="I453" i="1"/>
  <c r="D453" i="1"/>
  <c r="C453" i="1"/>
  <c r="A453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B452" i="1"/>
  <c r="H452" i="1"/>
  <c r="G452" i="1"/>
  <c r="F452" i="1"/>
  <c r="E452" i="1"/>
  <c r="N452" i="1"/>
  <c r="M452" i="1"/>
  <c r="L452" i="1"/>
  <c r="K452" i="1"/>
  <c r="J452" i="1"/>
  <c r="I452" i="1"/>
  <c r="D452" i="1"/>
  <c r="C452" i="1"/>
  <c r="A452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B451" i="1"/>
  <c r="H451" i="1"/>
  <c r="G451" i="1"/>
  <c r="F451" i="1"/>
  <c r="E451" i="1"/>
  <c r="N451" i="1"/>
  <c r="M451" i="1"/>
  <c r="L451" i="1"/>
  <c r="K451" i="1"/>
  <c r="J451" i="1"/>
  <c r="I451" i="1"/>
  <c r="D451" i="1"/>
  <c r="C451" i="1"/>
  <c r="A451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B450" i="1"/>
  <c r="H450" i="1"/>
  <c r="G450" i="1"/>
  <c r="F450" i="1"/>
  <c r="E450" i="1"/>
  <c r="N450" i="1"/>
  <c r="M450" i="1"/>
  <c r="L450" i="1"/>
  <c r="K450" i="1"/>
  <c r="J450" i="1"/>
  <c r="I450" i="1"/>
  <c r="D450" i="1"/>
  <c r="C450" i="1"/>
  <c r="A450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B449" i="1"/>
  <c r="H449" i="1"/>
  <c r="G449" i="1"/>
  <c r="F449" i="1"/>
  <c r="E449" i="1"/>
  <c r="N449" i="1"/>
  <c r="M449" i="1"/>
  <c r="L449" i="1"/>
  <c r="K449" i="1"/>
  <c r="J449" i="1"/>
  <c r="I449" i="1"/>
  <c r="D449" i="1"/>
  <c r="C449" i="1"/>
  <c r="A449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B448" i="1"/>
  <c r="H448" i="1"/>
  <c r="G448" i="1"/>
  <c r="F448" i="1"/>
  <c r="E448" i="1"/>
  <c r="N448" i="1"/>
  <c r="M448" i="1"/>
  <c r="L448" i="1"/>
  <c r="K448" i="1"/>
  <c r="J448" i="1"/>
  <c r="I448" i="1"/>
  <c r="D448" i="1"/>
  <c r="C448" i="1"/>
  <c r="A448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B447" i="1"/>
  <c r="H447" i="1"/>
  <c r="G447" i="1"/>
  <c r="F447" i="1"/>
  <c r="E447" i="1"/>
  <c r="N447" i="1"/>
  <c r="M447" i="1"/>
  <c r="L447" i="1"/>
  <c r="K447" i="1"/>
  <c r="J447" i="1"/>
  <c r="I447" i="1"/>
  <c r="D447" i="1"/>
  <c r="C447" i="1"/>
  <c r="A447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B446" i="1"/>
  <c r="H446" i="1"/>
  <c r="G446" i="1"/>
  <c r="F446" i="1"/>
  <c r="E446" i="1"/>
  <c r="N446" i="1"/>
  <c r="M446" i="1"/>
  <c r="L446" i="1"/>
  <c r="K446" i="1"/>
  <c r="J446" i="1"/>
  <c r="I446" i="1"/>
  <c r="D446" i="1"/>
  <c r="C446" i="1"/>
  <c r="A446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B445" i="1"/>
  <c r="H445" i="1"/>
  <c r="G445" i="1"/>
  <c r="F445" i="1"/>
  <c r="E445" i="1"/>
  <c r="N445" i="1"/>
  <c r="M445" i="1"/>
  <c r="L445" i="1"/>
  <c r="K445" i="1"/>
  <c r="J445" i="1"/>
  <c r="I445" i="1"/>
  <c r="D445" i="1"/>
  <c r="C445" i="1"/>
  <c r="A445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B444" i="1"/>
  <c r="H444" i="1"/>
  <c r="G444" i="1"/>
  <c r="F444" i="1"/>
  <c r="E444" i="1"/>
  <c r="N444" i="1"/>
  <c r="M444" i="1"/>
  <c r="L444" i="1"/>
  <c r="K444" i="1"/>
  <c r="J444" i="1"/>
  <c r="I444" i="1"/>
  <c r="D444" i="1"/>
  <c r="C444" i="1"/>
  <c r="A444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B443" i="1"/>
  <c r="H443" i="1"/>
  <c r="G443" i="1"/>
  <c r="F443" i="1"/>
  <c r="E443" i="1"/>
  <c r="N443" i="1"/>
  <c r="M443" i="1"/>
  <c r="L443" i="1"/>
  <c r="K443" i="1"/>
  <c r="J443" i="1"/>
  <c r="I443" i="1"/>
  <c r="D443" i="1"/>
  <c r="C443" i="1"/>
  <c r="A443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B442" i="1"/>
  <c r="H442" i="1"/>
  <c r="G442" i="1"/>
  <c r="F442" i="1"/>
  <c r="E442" i="1"/>
  <c r="N442" i="1"/>
  <c r="M442" i="1"/>
  <c r="L442" i="1"/>
  <c r="K442" i="1"/>
  <c r="J442" i="1"/>
  <c r="I442" i="1"/>
  <c r="D442" i="1"/>
  <c r="C442" i="1"/>
  <c r="A442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B441" i="1"/>
  <c r="H441" i="1"/>
  <c r="G441" i="1"/>
  <c r="F441" i="1"/>
  <c r="E441" i="1"/>
  <c r="N441" i="1"/>
  <c r="M441" i="1"/>
  <c r="L441" i="1"/>
  <c r="K441" i="1"/>
  <c r="J441" i="1"/>
  <c r="I441" i="1"/>
  <c r="D441" i="1"/>
  <c r="C441" i="1"/>
  <c r="A441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B440" i="1"/>
  <c r="H440" i="1"/>
  <c r="G440" i="1"/>
  <c r="F440" i="1"/>
  <c r="E440" i="1"/>
  <c r="N440" i="1"/>
  <c r="M440" i="1"/>
  <c r="L440" i="1"/>
  <c r="K440" i="1"/>
  <c r="J440" i="1"/>
  <c r="I440" i="1"/>
  <c r="D440" i="1"/>
  <c r="C440" i="1"/>
  <c r="A440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B439" i="1"/>
  <c r="H439" i="1"/>
  <c r="G439" i="1"/>
  <c r="F439" i="1"/>
  <c r="E439" i="1"/>
  <c r="N439" i="1"/>
  <c r="M439" i="1"/>
  <c r="L439" i="1"/>
  <c r="K439" i="1"/>
  <c r="J439" i="1"/>
  <c r="I439" i="1"/>
  <c r="D439" i="1"/>
  <c r="C439" i="1"/>
  <c r="A439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B438" i="1"/>
  <c r="H438" i="1"/>
  <c r="G438" i="1"/>
  <c r="F438" i="1"/>
  <c r="E438" i="1"/>
  <c r="N438" i="1"/>
  <c r="M438" i="1"/>
  <c r="L438" i="1"/>
  <c r="K438" i="1"/>
  <c r="J438" i="1"/>
  <c r="I438" i="1"/>
  <c r="D438" i="1"/>
  <c r="C438" i="1"/>
  <c r="A438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B437" i="1"/>
  <c r="H437" i="1"/>
  <c r="G437" i="1"/>
  <c r="F437" i="1"/>
  <c r="E437" i="1"/>
  <c r="N437" i="1"/>
  <c r="M437" i="1"/>
  <c r="L437" i="1"/>
  <c r="K437" i="1"/>
  <c r="J437" i="1"/>
  <c r="I437" i="1"/>
  <c r="D437" i="1"/>
  <c r="C437" i="1"/>
  <c r="A437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B436" i="1"/>
  <c r="H436" i="1"/>
  <c r="G436" i="1"/>
  <c r="F436" i="1"/>
  <c r="E436" i="1"/>
  <c r="M436" i="1"/>
  <c r="L436" i="1"/>
  <c r="K436" i="1"/>
  <c r="J436" i="1"/>
  <c r="I436" i="1"/>
  <c r="D436" i="1"/>
  <c r="C436" i="1"/>
  <c r="A436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B435" i="1"/>
  <c r="H435" i="1"/>
  <c r="G435" i="1"/>
  <c r="F435" i="1"/>
  <c r="E435" i="1"/>
  <c r="N435" i="1"/>
  <c r="M435" i="1"/>
  <c r="L435" i="1"/>
  <c r="K435" i="1"/>
  <c r="J435" i="1"/>
  <c r="I435" i="1"/>
  <c r="D435" i="1"/>
  <c r="C435" i="1"/>
  <c r="A435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B434" i="1"/>
  <c r="H434" i="1"/>
  <c r="G434" i="1"/>
  <c r="F434" i="1"/>
  <c r="E434" i="1"/>
  <c r="N434" i="1"/>
  <c r="M434" i="1"/>
  <c r="L434" i="1"/>
  <c r="K434" i="1"/>
  <c r="J434" i="1"/>
  <c r="I434" i="1"/>
  <c r="D434" i="1"/>
  <c r="C434" i="1"/>
  <c r="A434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B433" i="1"/>
  <c r="H433" i="1"/>
  <c r="G433" i="1"/>
  <c r="F433" i="1"/>
  <c r="E433" i="1"/>
  <c r="N433" i="1"/>
  <c r="M433" i="1"/>
  <c r="L433" i="1"/>
  <c r="K433" i="1"/>
  <c r="J433" i="1"/>
  <c r="I433" i="1"/>
  <c r="D433" i="1"/>
  <c r="C433" i="1"/>
  <c r="A433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B432" i="1"/>
  <c r="H432" i="1"/>
  <c r="G432" i="1"/>
  <c r="F432" i="1"/>
  <c r="E432" i="1"/>
  <c r="N432" i="1"/>
  <c r="M432" i="1"/>
  <c r="L432" i="1"/>
  <c r="K432" i="1"/>
  <c r="J432" i="1"/>
  <c r="I432" i="1"/>
  <c r="D432" i="1"/>
  <c r="C432" i="1"/>
  <c r="A432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B431" i="1"/>
  <c r="H431" i="1"/>
  <c r="G431" i="1"/>
  <c r="F431" i="1"/>
  <c r="E431" i="1"/>
  <c r="N431" i="1"/>
  <c r="M431" i="1"/>
  <c r="L431" i="1"/>
  <c r="K431" i="1"/>
  <c r="J431" i="1"/>
  <c r="I431" i="1"/>
  <c r="D431" i="1"/>
  <c r="C431" i="1"/>
  <c r="A431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B430" i="1"/>
  <c r="H430" i="1"/>
  <c r="G430" i="1"/>
  <c r="F430" i="1"/>
  <c r="E430" i="1"/>
  <c r="N430" i="1"/>
  <c r="M430" i="1"/>
  <c r="L430" i="1"/>
  <c r="K430" i="1"/>
  <c r="J430" i="1"/>
  <c r="I430" i="1"/>
  <c r="D430" i="1"/>
  <c r="C430" i="1"/>
  <c r="A430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B429" i="1"/>
  <c r="H429" i="1"/>
  <c r="G429" i="1"/>
  <c r="F429" i="1"/>
  <c r="E429" i="1"/>
  <c r="N429" i="1"/>
  <c r="M429" i="1"/>
  <c r="L429" i="1"/>
  <c r="K429" i="1"/>
  <c r="J429" i="1"/>
  <c r="I429" i="1"/>
  <c r="D429" i="1"/>
  <c r="C429" i="1"/>
  <c r="A429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B428" i="1"/>
  <c r="H428" i="1"/>
  <c r="G428" i="1"/>
  <c r="F428" i="1"/>
  <c r="E428" i="1"/>
  <c r="N428" i="1"/>
  <c r="M428" i="1"/>
  <c r="L428" i="1"/>
  <c r="K428" i="1"/>
  <c r="J428" i="1"/>
  <c r="I428" i="1"/>
  <c r="D428" i="1"/>
  <c r="C428" i="1"/>
  <c r="A428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B427" i="1"/>
  <c r="H427" i="1"/>
  <c r="G427" i="1"/>
  <c r="F427" i="1"/>
  <c r="E427" i="1"/>
  <c r="N427" i="1"/>
  <c r="M427" i="1"/>
  <c r="L427" i="1"/>
  <c r="K427" i="1"/>
  <c r="J427" i="1"/>
  <c r="I427" i="1"/>
  <c r="D427" i="1"/>
  <c r="C427" i="1"/>
  <c r="A427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B426" i="1"/>
  <c r="H426" i="1"/>
  <c r="G426" i="1"/>
  <c r="F426" i="1"/>
  <c r="E426" i="1"/>
  <c r="N426" i="1"/>
  <c r="M426" i="1"/>
  <c r="L426" i="1"/>
  <c r="K426" i="1"/>
  <c r="J426" i="1"/>
  <c r="I426" i="1"/>
  <c r="D426" i="1"/>
  <c r="C426" i="1"/>
  <c r="A426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B425" i="1"/>
  <c r="H425" i="1"/>
  <c r="G425" i="1"/>
  <c r="F425" i="1"/>
  <c r="E425" i="1"/>
  <c r="N425" i="1"/>
  <c r="M425" i="1"/>
  <c r="L425" i="1"/>
  <c r="K425" i="1"/>
  <c r="J425" i="1"/>
  <c r="I425" i="1"/>
  <c r="D425" i="1"/>
  <c r="C425" i="1"/>
  <c r="A425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B424" i="1"/>
  <c r="H424" i="1"/>
  <c r="G424" i="1"/>
  <c r="F424" i="1"/>
  <c r="E424" i="1"/>
  <c r="N424" i="1"/>
  <c r="M424" i="1"/>
  <c r="L424" i="1"/>
  <c r="K424" i="1"/>
  <c r="J424" i="1"/>
  <c r="I424" i="1"/>
  <c r="D424" i="1"/>
  <c r="C424" i="1"/>
  <c r="A424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B423" i="1"/>
  <c r="H423" i="1"/>
  <c r="G423" i="1"/>
  <c r="F423" i="1"/>
  <c r="E423" i="1"/>
  <c r="N423" i="1"/>
  <c r="M423" i="1"/>
  <c r="L423" i="1"/>
  <c r="K423" i="1"/>
  <c r="J423" i="1"/>
  <c r="I423" i="1"/>
  <c r="D423" i="1"/>
  <c r="C423" i="1"/>
  <c r="A423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B422" i="1"/>
  <c r="H422" i="1"/>
  <c r="G422" i="1"/>
  <c r="F422" i="1"/>
  <c r="E422" i="1"/>
  <c r="N422" i="1"/>
  <c r="M422" i="1"/>
  <c r="L422" i="1"/>
  <c r="K422" i="1"/>
  <c r="J422" i="1"/>
  <c r="I422" i="1"/>
  <c r="D422" i="1"/>
  <c r="C422" i="1"/>
  <c r="A422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B421" i="1"/>
  <c r="H421" i="1"/>
  <c r="G421" i="1"/>
  <c r="F421" i="1"/>
  <c r="E421" i="1"/>
  <c r="M421" i="1"/>
  <c r="L421" i="1"/>
  <c r="K421" i="1"/>
  <c r="J421" i="1"/>
  <c r="I421" i="1"/>
  <c r="D421" i="1"/>
  <c r="C421" i="1"/>
  <c r="A421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B420" i="1"/>
  <c r="H420" i="1"/>
  <c r="G420" i="1"/>
  <c r="F420" i="1"/>
  <c r="E420" i="1"/>
  <c r="N420" i="1"/>
  <c r="M420" i="1"/>
  <c r="L420" i="1"/>
  <c r="K420" i="1"/>
  <c r="J420" i="1"/>
  <c r="I420" i="1"/>
  <c r="D420" i="1"/>
  <c r="C420" i="1"/>
  <c r="A420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B419" i="1"/>
  <c r="H419" i="1"/>
  <c r="G419" i="1"/>
  <c r="F419" i="1"/>
  <c r="E419" i="1"/>
  <c r="N419" i="1"/>
  <c r="M419" i="1"/>
  <c r="L419" i="1"/>
  <c r="K419" i="1"/>
  <c r="J419" i="1"/>
  <c r="I419" i="1"/>
  <c r="D419" i="1"/>
  <c r="C419" i="1"/>
  <c r="A419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B418" i="1"/>
  <c r="H418" i="1"/>
  <c r="G418" i="1"/>
  <c r="F418" i="1"/>
  <c r="E418" i="1"/>
  <c r="N418" i="1"/>
  <c r="M418" i="1"/>
  <c r="L418" i="1"/>
  <c r="K418" i="1"/>
  <c r="J418" i="1"/>
  <c r="I418" i="1"/>
  <c r="D418" i="1"/>
  <c r="C418" i="1"/>
  <c r="A418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B417" i="1"/>
  <c r="H417" i="1"/>
  <c r="G417" i="1"/>
  <c r="F417" i="1"/>
  <c r="E417" i="1"/>
  <c r="N417" i="1"/>
  <c r="M417" i="1"/>
  <c r="L417" i="1"/>
  <c r="K417" i="1"/>
  <c r="J417" i="1"/>
  <c r="I417" i="1"/>
  <c r="D417" i="1"/>
  <c r="C417" i="1"/>
  <c r="A417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B416" i="1"/>
  <c r="H416" i="1"/>
  <c r="G416" i="1"/>
  <c r="F416" i="1"/>
  <c r="E416" i="1"/>
  <c r="N416" i="1"/>
  <c r="M416" i="1"/>
  <c r="L416" i="1"/>
  <c r="K416" i="1"/>
  <c r="J416" i="1"/>
  <c r="I416" i="1"/>
  <c r="D416" i="1"/>
  <c r="C416" i="1"/>
  <c r="A416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B415" i="1"/>
  <c r="H415" i="1"/>
  <c r="G415" i="1"/>
  <c r="F415" i="1"/>
  <c r="E415" i="1"/>
  <c r="N415" i="1"/>
  <c r="M415" i="1"/>
  <c r="L415" i="1"/>
  <c r="K415" i="1"/>
  <c r="J415" i="1"/>
  <c r="I415" i="1"/>
  <c r="D415" i="1"/>
  <c r="C415" i="1"/>
  <c r="A415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B414" i="1"/>
  <c r="H414" i="1"/>
  <c r="G414" i="1"/>
  <c r="F414" i="1"/>
  <c r="E414" i="1"/>
  <c r="N414" i="1"/>
  <c r="M414" i="1"/>
  <c r="L414" i="1"/>
  <c r="K414" i="1"/>
  <c r="J414" i="1"/>
  <c r="I414" i="1"/>
  <c r="D414" i="1"/>
  <c r="C414" i="1"/>
  <c r="A414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B413" i="1"/>
  <c r="H413" i="1"/>
  <c r="G413" i="1"/>
  <c r="F413" i="1"/>
  <c r="E413" i="1"/>
  <c r="N413" i="1"/>
  <c r="M413" i="1"/>
  <c r="L413" i="1"/>
  <c r="K413" i="1"/>
  <c r="J413" i="1"/>
  <c r="I413" i="1"/>
  <c r="D413" i="1"/>
  <c r="C413" i="1"/>
  <c r="A413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B412" i="1"/>
  <c r="H412" i="1"/>
  <c r="G412" i="1"/>
  <c r="F412" i="1"/>
  <c r="E412" i="1"/>
  <c r="N412" i="1"/>
  <c r="M412" i="1"/>
  <c r="L412" i="1"/>
  <c r="K412" i="1"/>
  <c r="J412" i="1"/>
  <c r="I412" i="1"/>
  <c r="D412" i="1"/>
  <c r="C412" i="1"/>
  <c r="A412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B411" i="1"/>
  <c r="H411" i="1"/>
  <c r="G411" i="1"/>
  <c r="F411" i="1"/>
  <c r="E411" i="1"/>
  <c r="N411" i="1"/>
  <c r="M411" i="1"/>
  <c r="L411" i="1"/>
  <c r="K411" i="1"/>
  <c r="J411" i="1"/>
  <c r="I411" i="1"/>
  <c r="D411" i="1"/>
  <c r="C411" i="1"/>
  <c r="A411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B410" i="1"/>
  <c r="H410" i="1"/>
  <c r="G410" i="1"/>
  <c r="F410" i="1"/>
  <c r="E410" i="1"/>
  <c r="N410" i="1"/>
  <c r="M410" i="1"/>
  <c r="L410" i="1"/>
  <c r="K410" i="1"/>
  <c r="J410" i="1"/>
  <c r="I410" i="1"/>
  <c r="D410" i="1"/>
  <c r="C410" i="1"/>
  <c r="A410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B409" i="1"/>
  <c r="H409" i="1"/>
  <c r="G409" i="1"/>
  <c r="F409" i="1"/>
  <c r="E409" i="1"/>
  <c r="N409" i="1"/>
  <c r="M409" i="1"/>
  <c r="L409" i="1"/>
  <c r="K409" i="1"/>
  <c r="J409" i="1"/>
  <c r="I409" i="1"/>
  <c r="D409" i="1"/>
  <c r="C409" i="1"/>
  <c r="A409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B408" i="1"/>
  <c r="H408" i="1"/>
  <c r="G408" i="1"/>
  <c r="F408" i="1"/>
  <c r="E408" i="1"/>
  <c r="N408" i="1"/>
  <c r="M408" i="1"/>
  <c r="L408" i="1"/>
  <c r="K408" i="1"/>
  <c r="J408" i="1"/>
  <c r="I408" i="1"/>
  <c r="D408" i="1"/>
  <c r="C408" i="1"/>
  <c r="A408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B407" i="1"/>
  <c r="H407" i="1"/>
  <c r="G407" i="1"/>
  <c r="F407" i="1"/>
  <c r="E407" i="1"/>
  <c r="N407" i="1"/>
  <c r="M407" i="1"/>
  <c r="L407" i="1"/>
  <c r="K407" i="1"/>
  <c r="J407" i="1"/>
  <c r="I407" i="1"/>
  <c r="D407" i="1"/>
  <c r="C407" i="1"/>
  <c r="A407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B406" i="1"/>
  <c r="H406" i="1"/>
  <c r="G406" i="1"/>
  <c r="F406" i="1"/>
  <c r="E406" i="1"/>
  <c r="N406" i="1"/>
  <c r="M406" i="1"/>
  <c r="L406" i="1"/>
  <c r="K406" i="1"/>
  <c r="J406" i="1"/>
  <c r="I406" i="1"/>
  <c r="D406" i="1"/>
  <c r="C406" i="1"/>
  <c r="A406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B405" i="1"/>
  <c r="H405" i="1"/>
  <c r="G405" i="1"/>
  <c r="F405" i="1"/>
  <c r="E405" i="1"/>
  <c r="N405" i="1"/>
  <c r="M405" i="1"/>
  <c r="L405" i="1"/>
  <c r="K405" i="1"/>
  <c r="J405" i="1"/>
  <c r="I405" i="1"/>
  <c r="D405" i="1"/>
  <c r="C405" i="1"/>
  <c r="A405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B404" i="1"/>
  <c r="H404" i="1"/>
  <c r="G404" i="1"/>
  <c r="F404" i="1"/>
  <c r="E404" i="1"/>
  <c r="N404" i="1"/>
  <c r="M404" i="1"/>
  <c r="L404" i="1"/>
  <c r="K404" i="1"/>
  <c r="J404" i="1"/>
  <c r="I404" i="1"/>
  <c r="D404" i="1"/>
  <c r="C404" i="1"/>
  <c r="A404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B403" i="1"/>
  <c r="H403" i="1"/>
  <c r="G403" i="1"/>
  <c r="F403" i="1"/>
  <c r="E403" i="1"/>
  <c r="M403" i="1"/>
  <c r="L403" i="1"/>
  <c r="K403" i="1"/>
  <c r="J403" i="1"/>
  <c r="I403" i="1"/>
  <c r="D403" i="1"/>
  <c r="C403" i="1"/>
  <c r="A403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B402" i="1"/>
  <c r="H402" i="1"/>
  <c r="G402" i="1"/>
  <c r="F402" i="1"/>
  <c r="E402" i="1"/>
  <c r="N402" i="1"/>
  <c r="M402" i="1"/>
  <c r="L402" i="1"/>
  <c r="K402" i="1"/>
  <c r="J402" i="1"/>
  <c r="I402" i="1"/>
  <c r="D402" i="1"/>
  <c r="C402" i="1"/>
  <c r="A402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B401" i="1"/>
  <c r="H401" i="1"/>
  <c r="G401" i="1"/>
  <c r="F401" i="1"/>
  <c r="E401" i="1"/>
  <c r="N401" i="1"/>
  <c r="M401" i="1"/>
  <c r="L401" i="1"/>
  <c r="K401" i="1"/>
  <c r="J401" i="1"/>
  <c r="I401" i="1"/>
  <c r="D401" i="1"/>
  <c r="C401" i="1"/>
  <c r="A401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B400" i="1"/>
  <c r="H400" i="1"/>
  <c r="G400" i="1"/>
  <c r="F400" i="1"/>
  <c r="E400" i="1"/>
  <c r="N400" i="1"/>
  <c r="M400" i="1"/>
  <c r="L400" i="1"/>
  <c r="K400" i="1"/>
  <c r="J400" i="1"/>
  <c r="I400" i="1"/>
  <c r="D400" i="1"/>
  <c r="C400" i="1"/>
  <c r="A400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B399" i="1"/>
  <c r="H399" i="1"/>
  <c r="G399" i="1"/>
  <c r="F399" i="1"/>
  <c r="E399" i="1"/>
  <c r="N399" i="1"/>
  <c r="M399" i="1"/>
  <c r="L399" i="1"/>
  <c r="K399" i="1"/>
  <c r="J399" i="1"/>
  <c r="I399" i="1"/>
  <c r="D399" i="1"/>
  <c r="C399" i="1"/>
  <c r="A399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B398" i="1"/>
  <c r="H398" i="1"/>
  <c r="G398" i="1"/>
  <c r="F398" i="1"/>
  <c r="E398" i="1"/>
  <c r="N398" i="1"/>
  <c r="M398" i="1"/>
  <c r="L398" i="1"/>
  <c r="K398" i="1"/>
  <c r="J398" i="1"/>
  <c r="I398" i="1"/>
  <c r="D398" i="1"/>
  <c r="C398" i="1"/>
  <c r="A398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B397" i="1"/>
  <c r="H397" i="1"/>
  <c r="G397" i="1"/>
  <c r="F397" i="1"/>
  <c r="E397" i="1"/>
  <c r="N397" i="1"/>
  <c r="M397" i="1"/>
  <c r="L397" i="1"/>
  <c r="K397" i="1"/>
  <c r="J397" i="1"/>
  <c r="I397" i="1"/>
  <c r="D397" i="1"/>
  <c r="C397" i="1"/>
  <c r="A397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B396" i="1"/>
  <c r="H396" i="1"/>
  <c r="G396" i="1"/>
  <c r="F396" i="1"/>
  <c r="E396" i="1"/>
  <c r="N396" i="1"/>
  <c r="M396" i="1"/>
  <c r="L396" i="1"/>
  <c r="K396" i="1"/>
  <c r="J396" i="1"/>
  <c r="I396" i="1"/>
  <c r="D396" i="1"/>
  <c r="C396" i="1"/>
  <c r="A396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B395" i="1"/>
  <c r="H395" i="1"/>
  <c r="G395" i="1"/>
  <c r="F395" i="1"/>
  <c r="E395" i="1"/>
  <c r="N395" i="1"/>
  <c r="M395" i="1"/>
  <c r="L395" i="1"/>
  <c r="K395" i="1"/>
  <c r="J395" i="1"/>
  <c r="I395" i="1"/>
  <c r="D395" i="1"/>
  <c r="C395" i="1"/>
  <c r="A395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B394" i="1"/>
  <c r="H394" i="1"/>
  <c r="G394" i="1"/>
  <c r="F394" i="1"/>
  <c r="E394" i="1"/>
  <c r="N394" i="1"/>
  <c r="M394" i="1"/>
  <c r="L394" i="1"/>
  <c r="K394" i="1"/>
  <c r="J394" i="1"/>
  <c r="I394" i="1"/>
  <c r="D394" i="1"/>
  <c r="C394" i="1"/>
  <c r="A394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B393" i="1"/>
  <c r="H393" i="1"/>
  <c r="G393" i="1"/>
  <c r="F393" i="1"/>
  <c r="E393" i="1"/>
  <c r="N393" i="1"/>
  <c r="M393" i="1"/>
  <c r="L393" i="1"/>
  <c r="K393" i="1"/>
  <c r="J393" i="1"/>
  <c r="I393" i="1"/>
  <c r="D393" i="1"/>
  <c r="C393" i="1"/>
  <c r="A393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B392" i="1"/>
  <c r="H392" i="1"/>
  <c r="G392" i="1"/>
  <c r="F392" i="1"/>
  <c r="E392" i="1"/>
  <c r="N392" i="1"/>
  <c r="M392" i="1"/>
  <c r="L392" i="1"/>
  <c r="K392" i="1"/>
  <c r="J392" i="1"/>
  <c r="I392" i="1"/>
  <c r="D392" i="1"/>
  <c r="C392" i="1"/>
  <c r="A392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B391" i="1"/>
  <c r="H391" i="1"/>
  <c r="G391" i="1"/>
  <c r="F391" i="1"/>
  <c r="E391" i="1"/>
  <c r="N391" i="1"/>
  <c r="M391" i="1"/>
  <c r="L391" i="1"/>
  <c r="K391" i="1"/>
  <c r="J391" i="1"/>
  <c r="I391" i="1"/>
  <c r="D391" i="1"/>
  <c r="C391" i="1"/>
  <c r="A391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B390" i="1"/>
  <c r="H390" i="1"/>
  <c r="G390" i="1"/>
  <c r="F390" i="1"/>
  <c r="E390" i="1"/>
  <c r="N390" i="1"/>
  <c r="M390" i="1"/>
  <c r="L390" i="1"/>
  <c r="K390" i="1"/>
  <c r="J390" i="1"/>
  <c r="I390" i="1"/>
  <c r="D390" i="1"/>
  <c r="C390" i="1"/>
  <c r="A390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B389" i="1"/>
  <c r="H389" i="1"/>
  <c r="G389" i="1"/>
  <c r="F389" i="1"/>
  <c r="E389" i="1"/>
  <c r="N389" i="1"/>
  <c r="M389" i="1"/>
  <c r="L389" i="1"/>
  <c r="K389" i="1"/>
  <c r="J389" i="1"/>
  <c r="I389" i="1"/>
  <c r="D389" i="1"/>
  <c r="C389" i="1"/>
  <c r="A389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B388" i="1"/>
  <c r="H388" i="1"/>
  <c r="G388" i="1"/>
  <c r="F388" i="1"/>
  <c r="E388" i="1"/>
  <c r="N388" i="1"/>
  <c r="M388" i="1"/>
  <c r="L388" i="1"/>
  <c r="K388" i="1"/>
  <c r="J388" i="1"/>
  <c r="I388" i="1"/>
  <c r="D388" i="1"/>
  <c r="C388" i="1"/>
  <c r="A388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B387" i="1"/>
  <c r="H387" i="1"/>
  <c r="G387" i="1"/>
  <c r="F387" i="1"/>
  <c r="E387" i="1"/>
  <c r="N387" i="1"/>
  <c r="M387" i="1"/>
  <c r="L387" i="1"/>
  <c r="K387" i="1"/>
  <c r="J387" i="1"/>
  <c r="I387" i="1"/>
  <c r="D387" i="1"/>
  <c r="C387" i="1"/>
  <c r="A387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B386" i="1"/>
  <c r="H386" i="1"/>
  <c r="G386" i="1"/>
  <c r="F386" i="1"/>
  <c r="E386" i="1"/>
  <c r="N386" i="1"/>
  <c r="M386" i="1"/>
  <c r="L386" i="1"/>
  <c r="K386" i="1"/>
  <c r="J386" i="1"/>
  <c r="I386" i="1"/>
  <c r="D386" i="1"/>
  <c r="C386" i="1"/>
  <c r="A386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B385" i="1"/>
  <c r="H385" i="1"/>
  <c r="G385" i="1"/>
  <c r="F385" i="1"/>
  <c r="E385" i="1"/>
  <c r="N385" i="1"/>
  <c r="M385" i="1"/>
  <c r="L385" i="1"/>
  <c r="K385" i="1"/>
  <c r="J385" i="1"/>
  <c r="I385" i="1"/>
  <c r="D385" i="1"/>
  <c r="C385" i="1"/>
  <c r="A385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B384" i="1"/>
  <c r="H384" i="1"/>
  <c r="G384" i="1"/>
  <c r="F384" i="1"/>
  <c r="E384" i="1"/>
  <c r="N384" i="1"/>
  <c r="M384" i="1"/>
  <c r="L384" i="1"/>
  <c r="K384" i="1"/>
  <c r="J384" i="1"/>
  <c r="I384" i="1"/>
  <c r="D384" i="1"/>
  <c r="C384" i="1"/>
  <c r="A384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B383" i="1"/>
  <c r="H383" i="1"/>
  <c r="G383" i="1"/>
  <c r="F383" i="1"/>
  <c r="E383" i="1"/>
  <c r="N383" i="1"/>
  <c r="M383" i="1"/>
  <c r="L383" i="1"/>
  <c r="K383" i="1"/>
  <c r="J383" i="1"/>
  <c r="I383" i="1"/>
  <c r="D383" i="1"/>
  <c r="C383" i="1"/>
  <c r="A383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B382" i="1"/>
  <c r="H382" i="1"/>
  <c r="G382" i="1"/>
  <c r="F382" i="1"/>
  <c r="E382" i="1"/>
  <c r="N382" i="1"/>
  <c r="M382" i="1"/>
  <c r="L382" i="1"/>
  <c r="K382" i="1"/>
  <c r="J382" i="1"/>
  <c r="I382" i="1"/>
  <c r="D382" i="1"/>
  <c r="C382" i="1"/>
  <c r="A382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B381" i="1"/>
  <c r="H381" i="1"/>
  <c r="G381" i="1"/>
  <c r="F381" i="1"/>
  <c r="E381" i="1"/>
  <c r="N381" i="1"/>
  <c r="M381" i="1"/>
  <c r="L381" i="1"/>
  <c r="K381" i="1"/>
  <c r="J381" i="1"/>
  <c r="I381" i="1"/>
  <c r="D381" i="1"/>
  <c r="C381" i="1"/>
  <c r="A381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B380" i="1"/>
  <c r="H380" i="1"/>
  <c r="G380" i="1"/>
  <c r="F380" i="1"/>
  <c r="E380" i="1"/>
  <c r="N380" i="1"/>
  <c r="M380" i="1"/>
  <c r="L380" i="1"/>
  <c r="K380" i="1"/>
  <c r="J380" i="1"/>
  <c r="I380" i="1"/>
  <c r="D380" i="1"/>
  <c r="C380" i="1"/>
  <c r="A380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B379" i="1"/>
  <c r="H379" i="1"/>
  <c r="G379" i="1"/>
  <c r="F379" i="1"/>
  <c r="E379" i="1"/>
  <c r="N379" i="1"/>
  <c r="M379" i="1"/>
  <c r="L379" i="1"/>
  <c r="K379" i="1"/>
  <c r="J379" i="1"/>
  <c r="I379" i="1"/>
  <c r="D379" i="1"/>
  <c r="C379" i="1"/>
  <c r="A379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B378" i="1"/>
  <c r="H378" i="1"/>
  <c r="G378" i="1"/>
  <c r="F378" i="1"/>
  <c r="E378" i="1"/>
  <c r="N378" i="1"/>
  <c r="M378" i="1"/>
  <c r="L378" i="1"/>
  <c r="K378" i="1"/>
  <c r="J378" i="1"/>
  <c r="I378" i="1"/>
  <c r="D378" i="1"/>
  <c r="C378" i="1"/>
  <c r="A378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B377" i="1"/>
  <c r="H377" i="1"/>
  <c r="G377" i="1"/>
  <c r="F377" i="1"/>
  <c r="E377" i="1"/>
  <c r="N377" i="1"/>
  <c r="M377" i="1"/>
  <c r="L377" i="1"/>
  <c r="K377" i="1"/>
  <c r="J377" i="1"/>
  <c r="I377" i="1"/>
  <c r="D377" i="1"/>
  <c r="C377" i="1"/>
  <c r="A377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B376" i="1"/>
  <c r="H376" i="1"/>
  <c r="G376" i="1"/>
  <c r="F376" i="1"/>
  <c r="E376" i="1"/>
  <c r="N376" i="1"/>
  <c r="M376" i="1"/>
  <c r="L376" i="1"/>
  <c r="K376" i="1"/>
  <c r="J376" i="1"/>
  <c r="I376" i="1"/>
  <c r="D376" i="1"/>
  <c r="C376" i="1"/>
  <c r="A376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B375" i="1"/>
  <c r="H375" i="1"/>
  <c r="G375" i="1"/>
  <c r="F375" i="1"/>
  <c r="E375" i="1"/>
  <c r="N375" i="1"/>
  <c r="M375" i="1"/>
  <c r="L375" i="1"/>
  <c r="K375" i="1"/>
  <c r="J375" i="1"/>
  <c r="I375" i="1"/>
  <c r="D375" i="1"/>
  <c r="C375" i="1"/>
  <c r="A375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B374" i="1"/>
  <c r="H374" i="1"/>
  <c r="G374" i="1"/>
  <c r="F374" i="1"/>
  <c r="E374" i="1"/>
  <c r="N374" i="1"/>
  <c r="M374" i="1"/>
  <c r="L374" i="1"/>
  <c r="K374" i="1"/>
  <c r="J374" i="1"/>
  <c r="I374" i="1"/>
  <c r="D374" i="1"/>
  <c r="C374" i="1"/>
  <c r="A374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B373" i="1"/>
  <c r="H373" i="1"/>
  <c r="G373" i="1"/>
  <c r="F373" i="1"/>
  <c r="E373" i="1"/>
  <c r="N373" i="1"/>
  <c r="M373" i="1"/>
  <c r="L373" i="1"/>
  <c r="K373" i="1"/>
  <c r="J373" i="1"/>
  <c r="I373" i="1"/>
  <c r="D373" i="1"/>
  <c r="C373" i="1"/>
  <c r="A373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B372" i="1"/>
  <c r="H372" i="1"/>
  <c r="G372" i="1"/>
  <c r="F372" i="1"/>
  <c r="E372" i="1"/>
  <c r="N372" i="1"/>
  <c r="M372" i="1"/>
  <c r="L372" i="1"/>
  <c r="K372" i="1"/>
  <c r="J372" i="1"/>
  <c r="I372" i="1"/>
  <c r="D372" i="1"/>
  <c r="C372" i="1"/>
  <c r="A372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B371" i="1"/>
  <c r="H371" i="1"/>
  <c r="G371" i="1"/>
  <c r="F371" i="1"/>
  <c r="E371" i="1"/>
  <c r="N371" i="1"/>
  <c r="M371" i="1"/>
  <c r="L371" i="1"/>
  <c r="K371" i="1"/>
  <c r="J371" i="1"/>
  <c r="I371" i="1"/>
  <c r="D371" i="1"/>
  <c r="C371" i="1"/>
  <c r="A371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B370" i="1"/>
  <c r="H370" i="1"/>
  <c r="G370" i="1"/>
  <c r="F370" i="1"/>
  <c r="E370" i="1"/>
  <c r="N370" i="1"/>
  <c r="M370" i="1"/>
  <c r="L370" i="1"/>
  <c r="K370" i="1"/>
  <c r="J370" i="1"/>
  <c r="I370" i="1"/>
  <c r="D370" i="1"/>
  <c r="C370" i="1"/>
  <c r="A370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B369" i="1"/>
  <c r="H369" i="1"/>
  <c r="G369" i="1"/>
  <c r="F369" i="1"/>
  <c r="E369" i="1"/>
  <c r="N369" i="1"/>
  <c r="M369" i="1"/>
  <c r="L369" i="1"/>
  <c r="K369" i="1"/>
  <c r="J369" i="1"/>
  <c r="I369" i="1"/>
  <c r="D369" i="1"/>
  <c r="C369" i="1"/>
  <c r="A369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B368" i="1"/>
  <c r="H368" i="1"/>
  <c r="G368" i="1"/>
  <c r="F368" i="1"/>
  <c r="E368" i="1"/>
  <c r="N368" i="1"/>
  <c r="M368" i="1"/>
  <c r="L368" i="1"/>
  <c r="K368" i="1"/>
  <c r="J368" i="1"/>
  <c r="I368" i="1"/>
  <c r="D368" i="1"/>
  <c r="C368" i="1"/>
  <c r="A368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B367" i="1"/>
  <c r="H367" i="1"/>
  <c r="G367" i="1"/>
  <c r="F367" i="1"/>
  <c r="E367" i="1"/>
  <c r="N367" i="1"/>
  <c r="M367" i="1"/>
  <c r="L367" i="1"/>
  <c r="K367" i="1"/>
  <c r="J367" i="1"/>
  <c r="I367" i="1"/>
  <c r="D367" i="1"/>
  <c r="C367" i="1"/>
  <c r="A367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B366" i="1"/>
  <c r="H366" i="1"/>
  <c r="G366" i="1"/>
  <c r="F366" i="1"/>
  <c r="E366" i="1"/>
  <c r="N366" i="1"/>
  <c r="M366" i="1"/>
  <c r="L366" i="1"/>
  <c r="K366" i="1"/>
  <c r="J366" i="1"/>
  <c r="I366" i="1"/>
  <c r="D366" i="1"/>
  <c r="C366" i="1"/>
  <c r="A366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B365" i="1"/>
  <c r="H365" i="1"/>
  <c r="G365" i="1"/>
  <c r="F365" i="1"/>
  <c r="E365" i="1"/>
  <c r="N365" i="1"/>
  <c r="M365" i="1"/>
  <c r="L365" i="1"/>
  <c r="K365" i="1"/>
  <c r="J365" i="1"/>
  <c r="I365" i="1"/>
  <c r="D365" i="1"/>
  <c r="C365" i="1"/>
  <c r="A365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B364" i="1"/>
  <c r="H364" i="1"/>
  <c r="G364" i="1"/>
  <c r="F364" i="1"/>
  <c r="E364" i="1"/>
  <c r="N364" i="1"/>
  <c r="M364" i="1"/>
  <c r="L364" i="1"/>
  <c r="K364" i="1"/>
  <c r="J364" i="1"/>
  <c r="I364" i="1"/>
  <c r="D364" i="1"/>
  <c r="C364" i="1"/>
  <c r="A364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B363" i="1"/>
  <c r="H363" i="1"/>
  <c r="G363" i="1"/>
  <c r="F363" i="1"/>
  <c r="E363" i="1"/>
  <c r="N363" i="1"/>
  <c r="M363" i="1"/>
  <c r="L363" i="1"/>
  <c r="K363" i="1"/>
  <c r="J363" i="1"/>
  <c r="I363" i="1"/>
  <c r="D363" i="1"/>
  <c r="C363" i="1"/>
  <c r="A363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B362" i="1"/>
  <c r="H362" i="1"/>
  <c r="G362" i="1"/>
  <c r="F362" i="1"/>
  <c r="E362" i="1"/>
  <c r="N362" i="1"/>
  <c r="M362" i="1"/>
  <c r="L362" i="1"/>
  <c r="K362" i="1"/>
  <c r="J362" i="1"/>
  <c r="I362" i="1"/>
  <c r="D362" i="1"/>
  <c r="C362" i="1"/>
  <c r="A362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B361" i="1"/>
  <c r="H361" i="1"/>
  <c r="G361" i="1"/>
  <c r="F361" i="1"/>
  <c r="E361" i="1"/>
  <c r="N361" i="1"/>
  <c r="M361" i="1"/>
  <c r="L361" i="1"/>
  <c r="K361" i="1"/>
  <c r="J361" i="1"/>
  <c r="I361" i="1"/>
  <c r="D361" i="1"/>
  <c r="C361" i="1"/>
  <c r="A361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B360" i="1"/>
  <c r="H360" i="1"/>
  <c r="G360" i="1"/>
  <c r="F360" i="1"/>
  <c r="E360" i="1"/>
  <c r="N360" i="1"/>
  <c r="M360" i="1"/>
  <c r="L360" i="1"/>
  <c r="K360" i="1"/>
  <c r="J360" i="1"/>
  <c r="I360" i="1"/>
  <c r="D360" i="1"/>
  <c r="C360" i="1"/>
  <c r="A360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B359" i="1"/>
  <c r="H359" i="1"/>
  <c r="G359" i="1"/>
  <c r="F359" i="1"/>
  <c r="E359" i="1"/>
  <c r="N359" i="1"/>
  <c r="M359" i="1"/>
  <c r="L359" i="1"/>
  <c r="K359" i="1"/>
  <c r="J359" i="1"/>
  <c r="I359" i="1"/>
  <c r="D359" i="1"/>
  <c r="C359" i="1"/>
  <c r="A359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B358" i="1"/>
  <c r="H358" i="1"/>
  <c r="G358" i="1"/>
  <c r="F358" i="1"/>
  <c r="E358" i="1"/>
  <c r="N358" i="1"/>
  <c r="M358" i="1"/>
  <c r="L358" i="1"/>
  <c r="K358" i="1"/>
  <c r="J358" i="1"/>
  <c r="I358" i="1"/>
  <c r="D358" i="1"/>
  <c r="C358" i="1"/>
  <c r="A358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B357" i="1"/>
  <c r="H357" i="1"/>
  <c r="G357" i="1"/>
  <c r="F357" i="1"/>
  <c r="E357" i="1"/>
  <c r="N357" i="1"/>
  <c r="M357" i="1"/>
  <c r="L357" i="1"/>
  <c r="K357" i="1"/>
  <c r="J357" i="1"/>
  <c r="I357" i="1"/>
  <c r="D357" i="1"/>
  <c r="C357" i="1"/>
  <c r="A357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B356" i="1"/>
  <c r="H356" i="1"/>
  <c r="G356" i="1"/>
  <c r="F356" i="1"/>
  <c r="E356" i="1"/>
  <c r="N356" i="1"/>
  <c r="M356" i="1"/>
  <c r="L356" i="1"/>
  <c r="K356" i="1"/>
  <c r="J356" i="1"/>
  <c r="I356" i="1"/>
  <c r="D356" i="1"/>
  <c r="C356" i="1"/>
  <c r="A356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B355" i="1"/>
  <c r="H355" i="1"/>
  <c r="G355" i="1"/>
  <c r="F355" i="1"/>
  <c r="E355" i="1"/>
  <c r="N355" i="1"/>
  <c r="M355" i="1"/>
  <c r="L355" i="1"/>
  <c r="K355" i="1"/>
  <c r="J355" i="1"/>
  <c r="I355" i="1"/>
  <c r="D355" i="1"/>
  <c r="C355" i="1"/>
  <c r="A355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B354" i="1"/>
  <c r="H354" i="1"/>
  <c r="G354" i="1"/>
  <c r="F354" i="1"/>
  <c r="E354" i="1"/>
  <c r="N354" i="1"/>
  <c r="M354" i="1"/>
  <c r="L354" i="1"/>
  <c r="K354" i="1"/>
  <c r="J354" i="1"/>
  <c r="I354" i="1"/>
  <c r="D354" i="1"/>
  <c r="C354" i="1"/>
  <c r="A354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B353" i="1"/>
  <c r="H353" i="1"/>
  <c r="G353" i="1"/>
  <c r="F353" i="1"/>
  <c r="E353" i="1"/>
  <c r="M353" i="1"/>
  <c r="L353" i="1"/>
  <c r="K353" i="1"/>
  <c r="J353" i="1"/>
  <c r="I353" i="1"/>
  <c r="D353" i="1"/>
  <c r="C353" i="1"/>
  <c r="A353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B352" i="1"/>
  <c r="H352" i="1"/>
  <c r="G352" i="1"/>
  <c r="F352" i="1"/>
  <c r="E352" i="1"/>
  <c r="N352" i="1"/>
  <c r="M352" i="1"/>
  <c r="L352" i="1"/>
  <c r="K352" i="1"/>
  <c r="J352" i="1"/>
  <c r="I352" i="1"/>
  <c r="D352" i="1"/>
  <c r="C352" i="1"/>
  <c r="A352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B351" i="1"/>
  <c r="H351" i="1"/>
  <c r="G351" i="1"/>
  <c r="F351" i="1"/>
  <c r="E351" i="1"/>
  <c r="N351" i="1"/>
  <c r="M351" i="1"/>
  <c r="L351" i="1"/>
  <c r="K351" i="1"/>
  <c r="J351" i="1"/>
  <c r="I351" i="1"/>
  <c r="D351" i="1"/>
  <c r="C351" i="1"/>
  <c r="A351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B350" i="1"/>
  <c r="H350" i="1"/>
  <c r="G350" i="1"/>
  <c r="F350" i="1"/>
  <c r="E350" i="1"/>
  <c r="N350" i="1"/>
  <c r="M350" i="1"/>
  <c r="L350" i="1"/>
  <c r="K350" i="1"/>
  <c r="J350" i="1"/>
  <c r="I350" i="1"/>
  <c r="D350" i="1"/>
  <c r="C350" i="1"/>
  <c r="A350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B349" i="1"/>
  <c r="H349" i="1"/>
  <c r="G349" i="1"/>
  <c r="F349" i="1"/>
  <c r="E349" i="1"/>
  <c r="N349" i="1"/>
  <c r="M349" i="1"/>
  <c r="L349" i="1"/>
  <c r="K349" i="1"/>
  <c r="J349" i="1"/>
  <c r="I349" i="1"/>
  <c r="D349" i="1"/>
  <c r="C349" i="1"/>
  <c r="A349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B348" i="1"/>
  <c r="H348" i="1"/>
  <c r="G348" i="1"/>
  <c r="F348" i="1"/>
  <c r="E348" i="1"/>
  <c r="N348" i="1"/>
  <c r="M348" i="1"/>
  <c r="L348" i="1"/>
  <c r="K348" i="1"/>
  <c r="J348" i="1"/>
  <c r="I348" i="1"/>
  <c r="D348" i="1"/>
  <c r="C348" i="1"/>
  <c r="A348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B347" i="1"/>
  <c r="H347" i="1"/>
  <c r="G347" i="1"/>
  <c r="F347" i="1"/>
  <c r="E347" i="1"/>
  <c r="N347" i="1"/>
  <c r="M347" i="1"/>
  <c r="L347" i="1"/>
  <c r="K347" i="1"/>
  <c r="J347" i="1"/>
  <c r="I347" i="1"/>
  <c r="D347" i="1"/>
  <c r="C347" i="1"/>
  <c r="A347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B346" i="1"/>
  <c r="H346" i="1"/>
  <c r="G346" i="1"/>
  <c r="F346" i="1"/>
  <c r="E346" i="1"/>
  <c r="N346" i="1"/>
  <c r="M346" i="1"/>
  <c r="L346" i="1"/>
  <c r="K346" i="1"/>
  <c r="J346" i="1"/>
  <c r="I346" i="1"/>
  <c r="D346" i="1"/>
  <c r="C346" i="1"/>
  <c r="A346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B345" i="1"/>
  <c r="H345" i="1"/>
  <c r="G345" i="1"/>
  <c r="F345" i="1"/>
  <c r="E345" i="1"/>
  <c r="N345" i="1"/>
  <c r="M345" i="1"/>
  <c r="L345" i="1"/>
  <c r="K345" i="1"/>
  <c r="J345" i="1"/>
  <c r="I345" i="1"/>
  <c r="D345" i="1"/>
  <c r="C345" i="1"/>
  <c r="A345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B344" i="1"/>
  <c r="H344" i="1"/>
  <c r="G344" i="1"/>
  <c r="F344" i="1"/>
  <c r="E344" i="1"/>
  <c r="N344" i="1"/>
  <c r="M344" i="1"/>
  <c r="L344" i="1"/>
  <c r="K344" i="1"/>
  <c r="J344" i="1"/>
  <c r="I344" i="1"/>
  <c r="D344" i="1"/>
  <c r="C344" i="1"/>
  <c r="A344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B343" i="1"/>
  <c r="H343" i="1"/>
  <c r="G343" i="1"/>
  <c r="F343" i="1"/>
  <c r="E343" i="1"/>
  <c r="N343" i="1"/>
  <c r="M343" i="1"/>
  <c r="L343" i="1"/>
  <c r="K343" i="1"/>
  <c r="J343" i="1"/>
  <c r="I343" i="1"/>
  <c r="D343" i="1"/>
  <c r="C343" i="1"/>
  <c r="A343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B342" i="1"/>
  <c r="H342" i="1"/>
  <c r="G342" i="1"/>
  <c r="F342" i="1"/>
  <c r="E342" i="1"/>
  <c r="N342" i="1"/>
  <c r="M342" i="1"/>
  <c r="L342" i="1"/>
  <c r="K342" i="1"/>
  <c r="J342" i="1"/>
  <c r="I342" i="1"/>
  <c r="D342" i="1"/>
  <c r="C342" i="1"/>
  <c r="A342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B341" i="1"/>
  <c r="H341" i="1"/>
  <c r="G341" i="1"/>
  <c r="F341" i="1"/>
  <c r="E341" i="1"/>
  <c r="N341" i="1"/>
  <c r="M341" i="1"/>
  <c r="L341" i="1"/>
  <c r="K341" i="1"/>
  <c r="J341" i="1"/>
  <c r="I341" i="1"/>
  <c r="D341" i="1"/>
  <c r="C341" i="1"/>
  <c r="A341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B340" i="1"/>
  <c r="H340" i="1"/>
  <c r="G340" i="1"/>
  <c r="F340" i="1"/>
  <c r="E340" i="1"/>
  <c r="N340" i="1"/>
  <c r="M340" i="1"/>
  <c r="L340" i="1"/>
  <c r="K340" i="1"/>
  <c r="J340" i="1"/>
  <c r="I340" i="1"/>
  <c r="D340" i="1"/>
  <c r="C340" i="1"/>
  <c r="A340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B339" i="1"/>
  <c r="H339" i="1"/>
  <c r="G339" i="1"/>
  <c r="F339" i="1"/>
  <c r="E339" i="1"/>
  <c r="N339" i="1"/>
  <c r="M339" i="1"/>
  <c r="L339" i="1"/>
  <c r="K339" i="1"/>
  <c r="J339" i="1"/>
  <c r="I339" i="1"/>
  <c r="D339" i="1"/>
  <c r="C339" i="1"/>
  <c r="A339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B338" i="1"/>
  <c r="H338" i="1"/>
  <c r="G338" i="1"/>
  <c r="F338" i="1"/>
  <c r="E338" i="1"/>
  <c r="N338" i="1"/>
  <c r="M338" i="1"/>
  <c r="L338" i="1"/>
  <c r="K338" i="1"/>
  <c r="J338" i="1"/>
  <c r="I338" i="1"/>
  <c r="D338" i="1"/>
  <c r="C338" i="1"/>
  <c r="A338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B337" i="1"/>
  <c r="H337" i="1"/>
  <c r="G337" i="1"/>
  <c r="F337" i="1"/>
  <c r="E337" i="1"/>
  <c r="N337" i="1"/>
  <c r="M337" i="1"/>
  <c r="L337" i="1"/>
  <c r="K337" i="1"/>
  <c r="J337" i="1"/>
  <c r="I337" i="1"/>
  <c r="D337" i="1"/>
  <c r="C337" i="1"/>
  <c r="A337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B336" i="1"/>
  <c r="H336" i="1"/>
  <c r="G336" i="1"/>
  <c r="F336" i="1"/>
  <c r="E336" i="1"/>
  <c r="N336" i="1"/>
  <c r="M336" i="1"/>
  <c r="L336" i="1"/>
  <c r="K336" i="1"/>
  <c r="J336" i="1"/>
  <c r="I336" i="1"/>
  <c r="D336" i="1"/>
  <c r="C336" i="1"/>
  <c r="A336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B335" i="1"/>
  <c r="H335" i="1"/>
  <c r="G335" i="1"/>
  <c r="F335" i="1"/>
  <c r="E335" i="1"/>
  <c r="N335" i="1"/>
  <c r="M335" i="1"/>
  <c r="L335" i="1"/>
  <c r="K335" i="1"/>
  <c r="J335" i="1"/>
  <c r="I335" i="1"/>
  <c r="D335" i="1"/>
  <c r="C335" i="1"/>
  <c r="A335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B334" i="1"/>
  <c r="H334" i="1"/>
  <c r="G334" i="1"/>
  <c r="F334" i="1"/>
  <c r="E334" i="1"/>
  <c r="N334" i="1"/>
  <c r="M334" i="1"/>
  <c r="L334" i="1"/>
  <c r="K334" i="1"/>
  <c r="J334" i="1"/>
  <c r="I334" i="1"/>
  <c r="D334" i="1"/>
  <c r="C334" i="1"/>
  <c r="A334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B333" i="1"/>
  <c r="H333" i="1"/>
  <c r="G333" i="1"/>
  <c r="F333" i="1"/>
  <c r="E333" i="1"/>
  <c r="N333" i="1"/>
  <c r="M333" i="1"/>
  <c r="L333" i="1"/>
  <c r="K333" i="1"/>
  <c r="J333" i="1"/>
  <c r="I333" i="1"/>
  <c r="D333" i="1"/>
  <c r="C333" i="1"/>
  <c r="A333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B332" i="1"/>
  <c r="H332" i="1"/>
  <c r="G332" i="1"/>
  <c r="F332" i="1"/>
  <c r="E332" i="1"/>
  <c r="M332" i="1"/>
  <c r="L332" i="1"/>
  <c r="K332" i="1"/>
  <c r="J332" i="1"/>
  <c r="I332" i="1"/>
  <c r="D332" i="1"/>
  <c r="C332" i="1"/>
  <c r="A332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B331" i="1"/>
  <c r="H331" i="1"/>
  <c r="G331" i="1"/>
  <c r="F331" i="1"/>
  <c r="E331" i="1"/>
  <c r="N331" i="1"/>
  <c r="M331" i="1"/>
  <c r="L331" i="1"/>
  <c r="K331" i="1"/>
  <c r="J331" i="1"/>
  <c r="I331" i="1"/>
  <c r="D331" i="1"/>
  <c r="C331" i="1"/>
  <c r="A331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B330" i="1"/>
  <c r="H330" i="1"/>
  <c r="G330" i="1"/>
  <c r="F330" i="1"/>
  <c r="E330" i="1"/>
  <c r="N330" i="1"/>
  <c r="M330" i="1"/>
  <c r="L330" i="1"/>
  <c r="K330" i="1"/>
  <c r="J330" i="1"/>
  <c r="I330" i="1"/>
  <c r="D330" i="1"/>
  <c r="C330" i="1"/>
  <c r="A330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B329" i="1"/>
  <c r="H329" i="1"/>
  <c r="G329" i="1"/>
  <c r="F329" i="1"/>
  <c r="E329" i="1"/>
  <c r="N329" i="1"/>
  <c r="M329" i="1"/>
  <c r="L329" i="1"/>
  <c r="K329" i="1"/>
  <c r="J329" i="1"/>
  <c r="I329" i="1"/>
  <c r="D329" i="1"/>
  <c r="C329" i="1"/>
  <c r="A329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B328" i="1"/>
  <c r="H328" i="1"/>
  <c r="G328" i="1"/>
  <c r="F328" i="1"/>
  <c r="E328" i="1"/>
  <c r="N328" i="1"/>
  <c r="M328" i="1"/>
  <c r="L328" i="1"/>
  <c r="K328" i="1"/>
  <c r="J328" i="1"/>
  <c r="I328" i="1"/>
  <c r="D328" i="1"/>
  <c r="C328" i="1"/>
  <c r="A328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B327" i="1"/>
  <c r="H327" i="1"/>
  <c r="G327" i="1"/>
  <c r="F327" i="1"/>
  <c r="E327" i="1"/>
  <c r="N327" i="1"/>
  <c r="M327" i="1"/>
  <c r="L327" i="1"/>
  <c r="K327" i="1"/>
  <c r="J327" i="1"/>
  <c r="I327" i="1"/>
  <c r="D327" i="1"/>
  <c r="C327" i="1"/>
  <c r="A327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B326" i="1"/>
  <c r="H326" i="1"/>
  <c r="G326" i="1"/>
  <c r="F326" i="1"/>
  <c r="E326" i="1"/>
  <c r="N326" i="1"/>
  <c r="M326" i="1"/>
  <c r="L326" i="1"/>
  <c r="K326" i="1"/>
  <c r="J326" i="1"/>
  <c r="I326" i="1"/>
  <c r="D326" i="1"/>
  <c r="C326" i="1"/>
  <c r="A326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B325" i="1"/>
  <c r="H325" i="1"/>
  <c r="G325" i="1"/>
  <c r="F325" i="1"/>
  <c r="E325" i="1"/>
  <c r="N325" i="1"/>
  <c r="M325" i="1"/>
  <c r="L325" i="1"/>
  <c r="K325" i="1"/>
  <c r="J325" i="1"/>
  <c r="I325" i="1"/>
  <c r="D325" i="1"/>
  <c r="C325" i="1"/>
  <c r="A325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B324" i="1"/>
  <c r="H324" i="1"/>
  <c r="G324" i="1"/>
  <c r="F324" i="1"/>
  <c r="E324" i="1"/>
  <c r="N324" i="1"/>
  <c r="M324" i="1"/>
  <c r="L324" i="1"/>
  <c r="K324" i="1"/>
  <c r="J324" i="1"/>
  <c r="I324" i="1"/>
  <c r="D324" i="1"/>
  <c r="C324" i="1"/>
  <c r="A324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B323" i="1"/>
  <c r="H323" i="1"/>
  <c r="G323" i="1"/>
  <c r="F323" i="1"/>
  <c r="E323" i="1"/>
  <c r="N323" i="1"/>
  <c r="M323" i="1"/>
  <c r="L323" i="1"/>
  <c r="K323" i="1"/>
  <c r="J323" i="1"/>
  <c r="I323" i="1"/>
  <c r="D323" i="1"/>
  <c r="C323" i="1"/>
  <c r="A323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B322" i="1"/>
  <c r="H322" i="1"/>
  <c r="G322" i="1"/>
  <c r="F322" i="1"/>
  <c r="E322" i="1"/>
  <c r="N322" i="1"/>
  <c r="M322" i="1"/>
  <c r="L322" i="1"/>
  <c r="K322" i="1"/>
  <c r="J322" i="1"/>
  <c r="I322" i="1"/>
  <c r="D322" i="1"/>
  <c r="C322" i="1"/>
  <c r="A322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B321" i="1"/>
  <c r="H321" i="1"/>
  <c r="G321" i="1"/>
  <c r="F321" i="1"/>
  <c r="E321" i="1"/>
  <c r="N321" i="1"/>
  <c r="M321" i="1"/>
  <c r="L321" i="1"/>
  <c r="K321" i="1"/>
  <c r="J321" i="1"/>
  <c r="I321" i="1"/>
  <c r="D321" i="1"/>
  <c r="C321" i="1"/>
  <c r="A321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B320" i="1"/>
  <c r="H320" i="1"/>
  <c r="G320" i="1"/>
  <c r="F320" i="1"/>
  <c r="E320" i="1"/>
  <c r="N320" i="1"/>
  <c r="M320" i="1"/>
  <c r="L320" i="1"/>
  <c r="K320" i="1"/>
  <c r="J320" i="1"/>
  <c r="I320" i="1"/>
  <c r="D320" i="1"/>
  <c r="C320" i="1"/>
  <c r="A320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B319" i="1"/>
  <c r="H319" i="1"/>
  <c r="G319" i="1"/>
  <c r="F319" i="1"/>
  <c r="E319" i="1"/>
  <c r="N319" i="1"/>
  <c r="M319" i="1"/>
  <c r="L319" i="1"/>
  <c r="K319" i="1"/>
  <c r="J319" i="1"/>
  <c r="I319" i="1"/>
  <c r="D319" i="1"/>
  <c r="C319" i="1"/>
  <c r="A319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B318" i="1"/>
  <c r="H318" i="1"/>
  <c r="G318" i="1"/>
  <c r="F318" i="1"/>
  <c r="E318" i="1"/>
  <c r="N318" i="1"/>
  <c r="M318" i="1"/>
  <c r="L318" i="1"/>
  <c r="K318" i="1"/>
  <c r="J318" i="1"/>
  <c r="I318" i="1"/>
  <c r="D318" i="1"/>
  <c r="C318" i="1"/>
  <c r="A318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B317" i="1"/>
  <c r="H317" i="1"/>
  <c r="G317" i="1"/>
  <c r="F317" i="1"/>
  <c r="E317" i="1"/>
  <c r="N317" i="1"/>
  <c r="M317" i="1"/>
  <c r="L317" i="1"/>
  <c r="K317" i="1"/>
  <c r="J317" i="1"/>
  <c r="I317" i="1"/>
  <c r="D317" i="1"/>
  <c r="C317" i="1"/>
  <c r="A317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B316" i="1"/>
  <c r="H316" i="1"/>
  <c r="G316" i="1"/>
  <c r="F316" i="1"/>
  <c r="E316" i="1"/>
  <c r="N316" i="1"/>
  <c r="M316" i="1"/>
  <c r="L316" i="1"/>
  <c r="K316" i="1"/>
  <c r="J316" i="1"/>
  <c r="I316" i="1"/>
  <c r="D316" i="1"/>
  <c r="C316" i="1"/>
  <c r="A316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B315" i="1"/>
  <c r="H315" i="1"/>
  <c r="G315" i="1"/>
  <c r="F315" i="1"/>
  <c r="E315" i="1"/>
  <c r="N315" i="1"/>
  <c r="M315" i="1"/>
  <c r="L315" i="1"/>
  <c r="K315" i="1"/>
  <c r="J315" i="1"/>
  <c r="I315" i="1"/>
  <c r="D315" i="1"/>
  <c r="C315" i="1"/>
  <c r="A315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B314" i="1"/>
  <c r="H314" i="1"/>
  <c r="G314" i="1"/>
  <c r="F314" i="1"/>
  <c r="E314" i="1"/>
  <c r="N314" i="1"/>
  <c r="M314" i="1"/>
  <c r="L314" i="1"/>
  <c r="K314" i="1"/>
  <c r="J314" i="1"/>
  <c r="I314" i="1"/>
  <c r="D314" i="1"/>
  <c r="C314" i="1"/>
  <c r="A314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B313" i="1"/>
  <c r="H313" i="1"/>
  <c r="G313" i="1"/>
  <c r="F313" i="1"/>
  <c r="E313" i="1"/>
  <c r="N313" i="1"/>
  <c r="M313" i="1"/>
  <c r="L313" i="1"/>
  <c r="K313" i="1"/>
  <c r="J313" i="1"/>
  <c r="I313" i="1"/>
  <c r="D313" i="1"/>
  <c r="C313" i="1"/>
  <c r="A313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B312" i="1"/>
  <c r="H312" i="1"/>
  <c r="G312" i="1"/>
  <c r="F312" i="1"/>
  <c r="E312" i="1"/>
  <c r="N312" i="1"/>
  <c r="M312" i="1"/>
  <c r="L312" i="1"/>
  <c r="K312" i="1"/>
  <c r="J312" i="1"/>
  <c r="I312" i="1"/>
  <c r="D312" i="1"/>
  <c r="C312" i="1"/>
  <c r="A312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B311" i="1"/>
  <c r="H311" i="1"/>
  <c r="G311" i="1"/>
  <c r="F311" i="1"/>
  <c r="E311" i="1"/>
  <c r="N311" i="1"/>
  <c r="M311" i="1"/>
  <c r="L311" i="1"/>
  <c r="K311" i="1"/>
  <c r="J311" i="1"/>
  <c r="I311" i="1"/>
  <c r="D311" i="1"/>
  <c r="C311" i="1"/>
  <c r="A311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B310" i="1"/>
  <c r="H310" i="1"/>
  <c r="G310" i="1"/>
  <c r="F310" i="1"/>
  <c r="E310" i="1"/>
  <c r="N310" i="1"/>
  <c r="M310" i="1"/>
  <c r="L310" i="1"/>
  <c r="K310" i="1"/>
  <c r="J310" i="1"/>
  <c r="I310" i="1"/>
  <c r="D310" i="1"/>
  <c r="C310" i="1"/>
  <c r="A310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B309" i="1"/>
  <c r="H309" i="1"/>
  <c r="G309" i="1"/>
  <c r="F309" i="1"/>
  <c r="E309" i="1"/>
  <c r="N309" i="1"/>
  <c r="M309" i="1"/>
  <c r="L309" i="1"/>
  <c r="K309" i="1"/>
  <c r="J309" i="1"/>
  <c r="I309" i="1"/>
  <c r="D309" i="1"/>
  <c r="C309" i="1"/>
  <c r="A309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B308" i="1"/>
  <c r="H308" i="1"/>
  <c r="G308" i="1"/>
  <c r="F308" i="1"/>
  <c r="E308" i="1"/>
  <c r="N308" i="1"/>
  <c r="M308" i="1"/>
  <c r="L308" i="1"/>
  <c r="K308" i="1"/>
  <c r="J308" i="1"/>
  <c r="I308" i="1"/>
  <c r="D308" i="1"/>
  <c r="C308" i="1"/>
  <c r="A308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B307" i="1"/>
  <c r="H307" i="1"/>
  <c r="G307" i="1"/>
  <c r="F307" i="1"/>
  <c r="E307" i="1"/>
  <c r="N307" i="1"/>
  <c r="M307" i="1"/>
  <c r="L307" i="1"/>
  <c r="K307" i="1"/>
  <c r="J307" i="1"/>
  <c r="I307" i="1"/>
  <c r="D307" i="1"/>
  <c r="C307" i="1"/>
  <c r="A307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B306" i="1"/>
  <c r="H306" i="1"/>
  <c r="G306" i="1"/>
  <c r="F306" i="1"/>
  <c r="E306" i="1"/>
  <c r="N306" i="1"/>
  <c r="M306" i="1"/>
  <c r="L306" i="1"/>
  <c r="K306" i="1"/>
  <c r="J306" i="1"/>
  <c r="I306" i="1"/>
  <c r="D306" i="1"/>
  <c r="C306" i="1"/>
  <c r="A306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B305" i="1"/>
  <c r="H305" i="1"/>
  <c r="G305" i="1"/>
  <c r="F305" i="1"/>
  <c r="E305" i="1"/>
  <c r="N305" i="1"/>
  <c r="M305" i="1"/>
  <c r="L305" i="1"/>
  <c r="K305" i="1"/>
  <c r="J305" i="1"/>
  <c r="I305" i="1"/>
  <c r="D305" i="1"/>
  <c r="C305" i="1"/>
  <c r="A305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B304" i="1"/>
  <c r="H304" i="1"/>
  <c r="G304" i="1"/>
  <c r="F304" i="1"/>
  <c r="E304" i="1"/>
  <c r="M304" i="1"/>
  <c r="L304" i="1"/>
  <c r="K304" i="1"/>
  <c r="J304" i="1"/>
  <c r="I304" i="1"/>
  <c r="D304" i="1"/>
  <c r="C304" i="1"/>
  <c r="A304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B303" i="1"/>
  <c r="H303" i="1"/>
  <c r="G303" i="1"/>
  <c r="F303" i="1"/>
  <c r="E303" i="1"/>
  <c r="N303" i="1"/>
  <c r="M303" i="1"/>
  <c r="L303" i="1"/>
  <c r="K303" i="1"/>
  <c r="J303" i="1"/>
  <c r="I303" i="1"/>
  <c r="D303" i="1"/>
  <c r="C303" i="1"/>
  <c r="A303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B302" i="1"/>
  <c r="H302" i="1"/>
  <c r="G302" i="1"/>
  <c r="F302" i="1"/>
  <c r="E302" i="1"/>
  <c r="N302" i="1"/>
  <c r="M302" i="1"/>
  <c r="L302" i="1"/>
  <c r="K302" i="1"/>
  <c r="J302" i="1"/>
  <c r="I302" i="1"/>
  <c r="D302" i="1"/>
  <c r="C302" i="1"/>
  <c r="A302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B301" i="1"/>
  <c r="H301" i="1"/>
  <c r="G301" i="1"/>
  <c r="F301" i="1"/>
  <c r="E301" i="1"/>
  <c r="N301" i="1"/>
  <c r="M301" i="1"/>
  <c r="L301" i="1"/>
  <c r="K301" i="1"/>
  <c r="J301" i="1"/>
  <c r="I301" i="1"/>
  <c r="D301" i="1"/>
  <c r="C301" i="1"/>
  <c r="A301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B300" i="1"/>
  <c r="H300" i="1"/>
  <c r="G300" i="1"/>
  <c r="F300" i="1"/>
  <c r="E300" i="1"/>
  <c r="M300" i="1"/>
  <c r="L300" i="1"/>
  <c r="K300" i="1"/>
  <c r="J300" i="1"/>
  <c r="I300" i="1"/>
  <c r="D300" i="1"/>
  <c r="C300" i="1"/>
  <c r="A300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B299" i="1"/>
  <c r="H299" i="1"/>
  <c r="G299" i="1"/>
  <c r="F299" i="1"/>
  <c r="E299" i="1"/>
  <c r="N299" i="1"/>
  <c r="M299" i="1"/>
  <c r="L299" i="1"/>
  <c r="K299" i="1"/>
  <c r="J299" i="1"/>
  <c r="I299" i="1"/>
  <c r="D299" i="1"/>
  <c r="C299" i="1"/>
  <c r="A299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B298" i="1"/>
  <c r="H298" i="1"/>
  <c r="G298" i="1"/>
  <c r="F298" i="1"/>
  <c r="E298" i="1"/>
  <c r="N298" i="1"/>
  <c r="M298" i="1"/>
  <c r="L298" i="1"/>
  <c r="K298" i="1"/>
  <c r="J298" i="1"/>
  <c r="I298" i="1"/>
  <c r="D298" i="1"/>
  <c r="C298" i="1"/>
  <c r="A298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B297" i="1"/>
  <c r="H297" i="1"/>
  <c r="G297" i="1"/>
  <c r="F297" i="1"/>
  <c r="E297" i="1"/>
  <c r="N297" i="1"/>
  <c r="M297" i="1"/>
  <c r="L297" i="1"/>
  <c r="K297" i="1"/>
  <c r="J297" i="1"/>
  <c r="I297" i="1"/>
  <c r="D297" i="1"/>
  <c r="C297" i="1"/>
  <c r="A297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B296" i="1"/>
  <c r="H296" i="1"/>
  <c r="G296" i="1"/>
  <c r="F296" i="1"/>
  <c r="E296" i="1"/>
  <c r="N296" i="1"/>
  <c r="M296" i="1"/>
  <c r="L296" i="1"/>
  <c r="K296" i="1"/>
  <c r="J296" i="1"/>
  <c r="I296" i="1"/>
  <c r="D296" i="1"/>
  <c r="C296" i="1"/>
  <c r="A296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B295" i="1"/>
  <c r="H295" i="1"/>
  <c r="G295" i="1"/>
  <c r="F295" i="1"/>
  <c r="E295" i="1"/>
  <c r="N295" i="1"/>
  <c r="M295" i="1"/>
  <c r="L295" i="1"/>
  <c r="K295" i="1"/>
  <c r="J295" i="1"/>
  <c r="I295" i="1"/>
  <c r="D295" i="1"/>
  <c r="C295" i="1"/>
  <c r="A295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B294" i="1"/>
  <c r="H294" i="1"/>
  <c r="G294" i="1"/>
  <c r="F294" i="1"/>
  <c r="E294" i="1"/>
  <c r="N294" i="1"/>
  <c r="M294" i="1"/>
  <c r="L294" i="1"/>
  <c r="K294" i="1"/>
  <c r="J294" i="1"/>
  <c r="I294" i="1"/>
  <c r="D294" i="1"/>
  <c r="C294" i="1"/>
  <c r="A294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B293" i="1"/>
  <c r="H293" i="1"/>
  <c r="G293" i="1"/>
  <c r="F293" i="1"/>
  <c r="E293" i="1"/>
  <c r="N293" i="1"/>
  <c r="M293" i="1"/>
  <c r="L293" i="1"/>
  <c r="K293" i="1"/>
  <c r="J293" i="1"/>
  <c r="I293" i="1"/>
  <c r="D293" i="1"/>
  <c r="C293" i="1"/>
  <c r="A293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B292" i="1"/>
  <c r="H292" i="1"/>
  <c r="G292" i="1"/>
  <c r="F292" i="1"/>
  <c r="E292" i="1"/>
  <c r="N292" i="1"/>
  <c r="M292" i="1"/>
  <c r="L292" i="1"/>
  <c r="K292" i="1"/>
  <c r="J292" i="1"/>
  <c r="I292" i="1"/>
  <c r="D292" i="1"/>
  <c r="C292" i="1"/>
  <c r="A292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B291" i="1"/>
  <c r="H291" i="1"/>
  <c r="G291" i="1"/>
  <c r="F291" i="1"/>
  <c r="E291" i="1"/>
  <c r="N291" i="1"/>
  <c r="M291" i="1"/>
  <c r="L291" i="1"/>
  <c r="K291" i="1"/>
  <c r="J291" i="1"/>
  <c r="I291" i="1"/>
  <c r="D291" i="1"/>
  <c r="C291" i="1"/>
  <c r="A291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B290" i="1"/>
  <c r="H290" i="1"/>
  <c r="G290" i="1"/>
  <c r="F290" i="1"/>
  <c r="E290" i="1"/>
  <c r="N290" i="1"/>
  <c r="M290" i="1"/>
  <c r="L290" i="1"/>
  <c r="K290" i="1"/>
  <c r="J290" i="1"/>
  <c r="I290" i="1"/>
  <c r="D290" i="1"/>
  <c r="C290" i="1"/>
  <c r="A290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B289" i="1"/>
  <c r="H289" i="1"/>
  <c r="G289" i="1"/>
  <c r="F289" i="1"/>
  <c r="E289" i="1"/>
  <c r="N289" i="1"/>
  <c r="M289" i="1"/>
  <c r="L289" i="1"/>
  <c r="K289" i="1"/>
  <c r="J289" i="1"/>
  <c r="I289" i="1"/>
  <c r="D289" i="1"/>
  <c r="C289" i="1"/>
  <c r="A289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B288" i="1"/>
  <c r="H288" i="1"/>
  <c r="G288" i="1"/>
  <c r="F288" i="1"/>
  <c r="E288" i="1"/>
  <c r="N288" i="1"/>
  <c r="M288" i="1"/>
  <c r="L288" i="1"/>
  <c r="K288" i="1"/>
  <c r="J288" i="1"/>
  <c r="I288" i="1"/>
  <c r="D288" i="1"/>
  <c r="C288" i="1"/>
  <c r="A288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B287" i="1"/>
  <c r="H287" i="1"/>
  <c r="G287" i="1"/>
  <c r="F287" i="1"/>
  <c r="E287" i="1"/>
  <c r="N287" i="1"/>
  <c r="M287" i="1"/>
  <c r="L287" i="1"/>
  <c r="K287" i="1"/>
  <c r="J287" i="1"/>
  <c r="I287" i="1"/>
  <c r="D287" i="1"/>
  <c r="C287" i="1"/>
  <c r="A287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B286" i="1"/>
  <c r="H286" i="1"/>
  <c r="G286" i="1"/>
  <c r="F286" i="1"/>
  <c r="E286" i="1"/>
  <c r="N286" i="1"/>
  <c r="M286" i="1"/>
  <c r="L286" i="1"/>
  <c r="K286" i="1"/>
  <c r="J286" i="1"/>
  <c r="I286" i="1"/>
  <c r="D286" i="1"/>
  <c r="C286" i="1"/>
  <c r="A286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B285" i="1"/>
  <c r="H285" i="1"/>
  <c r="G285" i="1"/>
  <c r="F285" i="1"/>
  <c r="E285" i="1"/>
  <c r="N285" i="1"/>
  <c r="M285" i="1"/>
  <c r="L285" i="1"/>
  <c r="K285" i="1"/>
  <c r="J285" i="1"/>
  <c r="I285" i="1"/>
  <c r="D285" i="1"/>
  <c r="C285" i="1"/>
  <c r="A285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B284" i="1"/>
  <c r="H284" i="1"/>
  <c r="G284" i="1"/>
  <c r="F284" i="1"/>
  <c r="E284" i="1"/>
  <c r="N284" i="1"/>
  <c r="M284" i="1"/>
  <c r="L284" i="1"/>
  <c r="K284" i="1"/>
  <c r="J284" i="1"/>
  <c r="I284" i="1"/>
  <c r="D284" i="1"/>
  <c r="C284" i="1"/>
  <c r="A284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B283" i="1"/>
  <c r="H283" i="1"/>
  <c r="G283" i="1"/>
  <c r="F283" i="1"/>
  <c r="E283" i="1"/>
  <c r="N283" i="1"/>
  <c r="M283" i="1"/>
  <c r="L283" i="1"/>
  <c r="K283" i="1"/>
  <c r="J283" i="1"/>
  <c r="I283" i="1"/>
  <c r="D283" i="1"/>
  <c r="C283" i="1"/>
  <c r="A283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B282" i="1"/>
  <c r="H282" i="1"/>
  <c r="G282" i="1"/>
  <c r="F282" i="1"/>
  <c r="E282" i="1"/>
  <c r="N282" i="1"/>
  <c r="M282" i="1"/>
  <c r="L282" i="1"/>
  <c r="K282" i="1"/>
  <c r="J282" i="1"/>
  <c r="I282" i="1"/>
  <c r="D282" i="1"/>
  <c r="C282" i="1"/>
  <c r="A282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B281" i="1"/>
  <c r="H281" i="1"/>
  <c r="G281" i="1"/>
  <c r="F281" i="1"/>
  <c r="E281" i="1"/>
  <c r="N281" i="1"/>
  <c r="M281" i="1"/>
  <c r="L281" i="1"/>
  <c r="K281" i="1"/>
  <c r="J281" i="1"/>
  <c r="I281" i="1"/>
  <c r="D281" i="1"/>
  <c r="C281" i="1"/>
  <c r="A281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B280" i="1"/>
  <c r="H280" i="1"/>
  <c r="G280" i="1"/>
  <c r="F280" i="1"/>
  <c r="E280" i="1"/>
  <c r="N280" i="1"/>
  <c r="M280" i="1"/>
  <c r="L280" i="1"/>
  <c r="K280" i="1"/>
  <c r="J280" i="1"/>
  <c r="I280" i="1"/>
  <c r="D280" i="1"/>
  <c r="C280" i="1"/>
  <c r="A280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B279" i="1"/>
  <c r="H279" i="1"/>
  <c r="G279" i="1"/>
  <c r="F279" i="1"/>
  <c r="E279" i="1"/>
  <c r="N279" i="1"/>
  <c r="M279" i="1"/>
  <c r="L279" i="1"/>
  <c r="K279" i="1"/>
  <c r="J279" i="1"/>
  <c r="I279" i="1"/>
  <c r="D279" i="1"/>
  <c r="C279" i="1"/>
  <c r="A279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B278" i="1"/>
  <c r="H278" i="1"/>
  <c r="G278" i="1"/>
  <c r="F278" i="1"/>
  <c r="E278" i="1"/>
  <c r="N278" i="1"/>
  <c r="M278" i="1"/>
  <c r="L278" i="1"/>
  <c r="K278" i="1"/>
  <c r="J278" i="1"/>
  <c r="I278" i="1"/>
  <c r="D278" i="1"/>
  <c r="C278" i="1"/>
  <c r="A278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B277" i="1"/>
  <c r="H277" i="1"/>
  <c r="G277" i="1"/>
  <c r="F277" i="1"/>
  <c r="E277" i="1"/>
  <c r="M277" i="1"/>
  <c r="L277" i="1"/>
  <c r="K277" i="1"/>
  <c r="J277" i="1"/>
  <c r="I277" i="1"/>
  <c r="D277" i="1"/>
  <c r="C277" i="1"/>
  <c r="A277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B276" i="1"/>
  <c r="H276" i="1"/>
  <c r="G276" i="1"/>
  <c r="F276" i="1"/>
  <c r="E276" i="1"/>
  <c r="N276" i="1"/>
  <c r="M276" i="1"/>
  <c r="L276" i="1"/>
  <c r="K276" i="1"/>
  <c r="J276" i="1"/>
  <c r="I276" i="1"/>
  <c r="D276" i="1"/>
  <c r="C276" i="1"/>
  <c r="A276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B275" i="1"/>
  <c r="H275" i="1"/>
  <c r="G275" i="1"/>
  <c r="F275" i="1"/>
  <c r="E275" i="1"/>
  <c r="N275" i="1"/>
  <c r="M275" i="1"/>
  <c r="L275" i="1"/>
  <c r="K275" i="1"/>
  <c r="J275" i="1"/>
  <c r="I275" i="1"/>
  <c r="D275" i="1"/>
  <c r="C275" i="1"/>
  <c r="A275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B274" i="1"/>
  <c r="H274" i="1"/>
  <c r="G274" i="1"/>
  <c r="F274" i="1"/>
  <c r="E274" i="1"/>
  <c r="N274" i="1"/>
  <c r="M274" i="1"/>
  <c r="L274" i="1"/>
  <c r="K274" i="1"/>
  <c r="J274" i="1"/>
  <c r="I274" i="1"/>
  <c r="D274" i="1"/>
  <c r="C274" i="1"/>
  <c r="A274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B273" i="1"/>
  <c r="H273" i="1"/>
  <c r="G273" i="1"/>
  <c r="F273" i="1"/>
  <c r="E273" i="1"/>
  <c r="N273" i="1"/>
  <c r="M273" i="1"/>
  <c r="L273" i="1"/>
  <c r="K273" i="1"/>
  <c r="J273" i="1"/>
  <c r="I273" i="1"/>
  <c r="D273" i="1"/>
  <c r="C273" i="1"/>
  <c r="A273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B272" i="1"/>
  <c r="H272" i="1"/>
  <c r="G272" i="1"/>
  <c r="F272" i="1"/>
  <c r="E272" i="1"/>
  <c r="N272" i="1"/>
  <c r="M272" i="1"/>
  <c r="L272" i="1"/>
  <c r="K272" i="1"/>
  <c r="J272" i="1"/>
  <c r="I272" i="1"/>
  <c r="D272" i="1"/>
  <c r="C272" i="1"/>
  <c r="A272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B271" i="1"/>
  <c r="H271" i="1"/>
  <c r="G271" i="1"/>
  <c r="F271" i="1"/>
  <c r="E271" i="1"/>
  <c r="N271" i="1"/>
  <c r="M271" i="1"/>
  <c r="L271" i="1"/>
  <c r="K271" i="1"/>
  <c r="J271" i="1"/>
  <c r="I271" i="1"/>
  <c r="D271" i="1"/>
  <c r="C271" i="1"/>
  <c r="A271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B270" i="1"/>
  <c r="H270" i="1"/>
  <c r="G270" i="1"/>
  <c r="F270" i="1"/>
  <c r="E270" i="1"/>
  <c r="N270" i="1"/>
  <c r="M270" i="1"/>
  <c r="L270" i="1"/>
  <c r="K270" i="1"/>
  <c r="J270" i="1"/>
  <c r="I270" i="1"/>
  <c r="D270" i="1"/>
  <c r="C270" i="1"/>
  <c r="A270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B269" i="1"/>
  <c r="H269" i="1"/>
  <c r="G269" i="1"/>
  <c r="F269" i="1"/>
  <c r="E269" i="1"/>
  <c r="N269" i="1"/>
  <c r="M269" i="1"/>
  <c r="L269" i="1"/>
  <c r="K269" i="1"/>
  <c r="J269" i="1"/>
  <c r="I269" i="1"/>
  <c r="D269" i="1"/>
  <c r="C269" i="1"/>
  <c r="A269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B268" i="1"/>
  <c r="H268" i="1"/>
  <c r="G268" i="1"/>
  <c r="F268" i="1"/>
  <c r="E268" i="1"/>
  <c r="N268" i="1"/>
  <c r="M268" i="1"/>
  <c r="L268" i="1"/>
  <c r="K268" i="1"/>
  <c r="J268" i="1"/>
  <c r="I268" i="1"/>
  <c r="D268" i="1"/>
  <c r="C268" i="1"/>
  <c r="A268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B267" i="1"/>
  <c r="H267" i="1"/>
  <c r="G267" i="1"/>
  <c r="F267" i="1"/>
  <c r="E267" i="1"/>
  <c r="N267" i="1"/>
  <c r="M267" i="1"/>
  <c r="L267" i="1"/>
  <c r="K267" i="1"/>
  <c r="J267" i="1"/>
  <c r="I267" i="1"/>
  <c r="D267" i="1"/>
  <c r="C267" i="1"/>
  <c r="A267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B266" i="1"/>
  <c r="H266" i="1"/>
  <c r="G266" i="1"/>
  <c r="F266" i="1"/>
  <c r="E266" i="1"/>
  <c r="M266" i="1"/>
  <c r="L266" i="1"/>
  <c r="K266" i="1"/>
  <c r="J266" i="1"/>
  <c r="I266" i="1"/>
  <c r="D266" i="1"/>
  <c r="C266" i="1"/>
  <c r="A266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B265" i="1"/>
  <c r="H265" i="1"/>
  <c r="G265" i="1"/>
  <c r="F265" i="1"/>
  <c r="E265" i="1"/>
  <c r="N265" i="1"/>
  <c r="M265" i="1"/>
  <c r="L265" i="1"/>
  <c r="K265" i="1"/>
  <c r="J265" i="1"/>
  <c r="I265" i="1"/>
  <c r="D265" i="1"/>
  <c r="C265" i="1"/>
  <c r="A265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B264" i="1"/>
  <c r="H264" i="1"/>
  <c r="G264" i="1"/>
  <c r="F264" i="1"/>
  <c r="E264" i="1"/>
  <c r="N264" i="1"/>
  <c r="M264" i="1"/>
  <c r="L264" i="1"/>
  <c r="K264" i="1"/>
  <c r="J264" i="1"/>
  <c r="I264" i="1"/>
  <c r="D264" i="1"/>
  <c r="C264" i="1"/>
  <c r="A264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B263" i="1"/>
  <c r="H263" i="1"/>
  <c r="G263" i="1"/>
  <c r="F263" i="1"/>
  <c r="E263" i="1"/>
  <c r="N263" i="1"/>
  <c r="M263" i="1"/>
  <c r="L263" i="1"/>
  <c r="K263" i="1"/>
  <c r="J263" i="1"/>
  <c r="I263" i="1"/>
  <c r="D263" i="1"/>
  <c r="C263" i="1"/>
  <c r="A263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B262" i="1"/>
  <c r="H262" i="1"/>
  <c r="G262" i="1"/>
  <c r="F262" i="1"/>
  <c r="E262" i="1"/>
  <c r="N262" i="1"/>
  <c r="M262" i="1"/>
  <c r="L262" i="1"/>
  <c r="K262" i="1"/>
  <c r="J262" i="1"/>
  <c r="I262" i="1"/>
  <c r="D262" i="1"/>
  <c r="C262" i="1"/>
  <c r="A262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B261" i="1"/>
  <c r="H261" i="1"/>
  <c r="G261" i="1"/>
  <c r="F261" i="1"/>
  <c r="E261" i="1"/>
  <c r="N261" i="1"/>
  <c r="M261" i="1"/>
  <c r="L261" i="1"/>
  <c r="K261" i="1"/>
  <c r="J261" i="1"/>
  <c r="I261" i="1"/>
  <c r="D261" i="1"/>
  <c r="C261" i="1"/>
  <c r="A261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B260" i="1"/>
  <c r="H260" i="1"/>
  <c r="G260" i="1"/>
  <c r="F260" i="1"/>
  <c r="E260" i="1"/>
  <c r="N260" i="1"/>
  <c r="M260" i="1"/>
  <c r="L260" i="1"/>
  <c r="K260" i="1"/>
  <c r="J260" i="1"/>
  <c r="I260" i="1"/>
  <c r="D260" i="1"/>
  <c r="C260" i="1"/>
  <c r="A260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B259" i="1"/>
  <c r="H259" i="1"/>
  <c r="G259" i="1"/>
  <c r="F259" i="1"/>
  <c r="E259" i="1"/>
  <c r="N259" i="1"/>
  <c r="M259" i="1"/>
  <c r="L259" i="1"/>
  <c r="K259" i="1"/>
  <c r="J259" i="1"/>
  <c r="I259" i="1"/>
  <c r="D259" i="1"/>
  <c r="C259" i="1"/>
  <c r="A259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B258" i="1"/>
  <c r="H258" i="1"/>
  <c r="G258" i="1"/>
  <c r="F258" i="1"/>
  <c r="E258" i="1"/>
  <c r="N258" i="1"/>
  <c r="M258" i="1"/>
  <c r="L258" i="1"/>
  <c r="K258" i="1"/>
  <c r="J258" i="1"/>
  <c r="I258" i="1"/>
  <c r="D258" i="1"/>
  <c r="C258" i="1"/>
  <c r="A258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B257" i="1"/>
  <c r="H257" i="1"/>
  <c r="G257" i="1"/>
  <c r="F257" i="1"/>
  <c r="E257" i="1"/>
  <c r="N257" i="1"/>
  <c r="M257" i="1"/>
  <c r="L257" i="1"/>
  <c r="K257" i="1"/>
  <c r="J257" i="1"/>
  <c r="I257" i="1"/>
  <c r="D257" i="1"/>
  <c r="C257" i="1"/>
  <c r="A257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B256" i="1"/>
  <c r="H256" i="1"/>
  <c r="G256" i="1"/>
  <c r="F256" i="1"/>
  <c r="E256" i="1"/>
  <c r="N256" i="1"/>
  <c r="M256" i="1"/>
  <c r="L256" i="1"/>
  <c r="K256" i="1"/>
  <c r="J256" i="1"/>
  <c r="I256" i="1"/>
  <c r="D256" i="1"/>
  <c r="C256" i="1"/>
  <c r="A256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B255" i="1"/>
  <c r="H255" i="1"/>
  <c r="G255" i="1"/>
  <c r="F255" i="1"/>
  <c r="E255" i="1"/>
  <c r="N255" i="1"/>
  <c r="M255" i="1"/>
  <c r="L255" i="1"/>
  <c r="K255" i="1"/>
  <c r="J255" i="1"/>
  <c r="I255" i="1"/>
  <c r="D255" i="1"/>
  <c r="C255" i="1"/>
  <c r="A255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B254" i="1"/>
  <c r="H254" i="1"/>
  <c r="G254" i="1"/>
  <c r="F254" i="1"/>
  <c r="E254" i="1"/>
  <c r="N254" i="1"/>
  <c r="M254" i="1"/>
  <c r="L254" i="1"/>
  <c r="K254" i="1"/>
  <c r="J254" i="1"/>
  <c r="I254" i="1"/>
  <c r="D254" i="1"/>
  <c r="C254" i="1"/>
  <c r="A254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B253" i="1"/>
  <c r="H253" i="1"/>
  <c r="G253" i="1"/>
  <c r="F253" i="1"/>
  <c r="E253" i="1"/>
  <c r="N253" i="1"/>
  <c r="M253" i="1"/>
  <c r="L253" i="1"/>
  <c r="K253" i="1"/>
  <c r="J253" i="1"/>
  <c r="I253" i="1"/>
  <c r="D253" i="1"/>
  <c r="C253" i="1"/>
  <c r="A253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B252" i="1"/>
  <c r="H252" i="1"/>
  <c r="G252" i="1"/>
  <c r="F252" i="1"/>
  <c r="E252" i="1"/>
  <c r="N252" i="1"/>
  <c r="M252" i="1"/>
  <c r="L252" i="1"/>
  <c r="K252" i="1"/>
  <c r="J252" i="1"/>
  <c r="I252" i="1"/>
  <c r="D252" i="1"/>
  <c r="C252" i="1"/>
  <c r="A252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B251" i="1"/>
  <c r="H251" i="1"/>
  <c r="G251" i="1"/>
  <c r="F251" i="1"/>
  <c r="E251" i="1"/>
  <c r="N251" i="1"/>
  <c r="M251" i="1"/>
  <c r="L251" i="1"/>
  <c r="K251" i="1"/>
  <c r="J251" i="1"/>
  <c r="I251" i="1"/>
  <c r="D251" i="1"/>
  <c r="C251" i="1"/>
  <c r="A251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B250" i="1"/>
  <c r="H250" i="1"/>
  <c r="G250" i="1"/>
  <c r="F250" i="1"/>
  <c r="E250" i="1"/>
  <c r="M250" i="1"/>
  <c r="L250" i="1"/>
  <c r="K250" i="1"/>
  <c r="J250" i="1"/>
  <c r="I250" i="1"/>
  <c r="D250" i="1"/>
  <c r="C250" i="1"/>
  <c r="A250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B249" i="1"/>
  <c r="H249" i="1"/>
  <c r="G249" i="1"/>
  <c r="F249" i="1"/>
  <c r="E249" i="1"/>
  <c r="N249" i="1"/>
  <c r="M249" i="1"/>
  <c r="L249" i="1"/>
  <c r="K249" i="1"/>
  <c r="J249" i="1"/>
  <c r="I249" i="1"/>
  <c r="D249" i="1"/>
  <c r="C249" i="1"/>
  <c r="A249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B248" i="1"/>
  <c r="H248" i="1"/>
  <c r="G248" i="1"/>
  <c r="F248" i="1"/>
  <c r="E248" i="1"/>
  <c r="N248" i="1"/>
  <c r="M248" i="1"/>
  <c r="L248" i="1"/>
  <c r="K248" i="1"/>
  <c r="J248" i="1"/>
  <c r="I248" i="1"/>
  <c r="D248" i="1"/>
  <c r="C248" i="1"/>
  <c r="A248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B247" i="1"/>
  <c r="H247" i="1"/>
  <c r="G247" i="1"/>
  <c r="F247" i="1"/>
  <c r="E247" i="1"/>
  <c r="N247" i="1"/>
  <c r="M247" i="1"/>
  <c r="L247" i="1"/>
  <c r="K247" i="1"/>
  <c r="J247" i="1"/>
  <c r="I247" i="1"/>
  <c r="D247" i="1"/>
  <c r="C247" i="1"/>
  <c r="A247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B246" i="1"/>
  <c r="H246" i="1"/>
  <c r="G246" i="1"/>
  <c r="F246" i="1"/>
  <c r="E246" i="1"/>
  <c r="N246" i="1"/>
  <c r="M246" i="1"/>
  <c r="L246" i="1"/>
  <c r="K246" i="1"/>
  <c r="J246" i="1"/>
  <c r="I246" i="1"/>
  <c r="D246" i="1"/>
  <c r="C246" i="1"/>
  <c r="A246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B245" i="1"/>
  <c r="H245" i="1"/>
  <c r="G245" i="1"/>
  <c r="F245" i="1"/>
  <c r="E245" i="1"/>
  <c r="N245" i="1"/>
  <c r="M245" i="1"/>
  <c r="L245" i="1"/>
  <c r="K245" i="1"/>
  <c r="J245" i="1"/>
  <c r="I245" i="1"/>
  <c r="D245" i="1"/>
  <c r="C245" i="1"/>
  <c r="A245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B244" i="1"/>
  <c r="H244" i="1"/>
  <c r="G244" i="1"/>
  <c r="F244" i="1"/>
  <c r="E244" i="1"/>
  <c r="N244" i="1"/>
  <c r="M244" i="1"/>
  <c r="L244" i="1"/>
  <c r="K244" i="1"/>
  <c r="J244" i="1"/>
  <c r="I244" i="1"/>
  <c r="D244" i="1"/>
  <c r="C244" i="1"/>
  <c r="A244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B243" i="1"/>
  <c r="H243" i="1"/>
  <c r="G243" i="1"/>
  <c r="F243" i="1"/>
  <c r="E243" i="1"/>
  <c r="N243" i="1"/>
  <c r="M243" i="1"/>
  <c r="L243" i="1"/>
  <c r="K243" i="1"/>
  <c r="J243" i="1"/>
  <c r="I243" i="1"/>
  <c r="D243" i="1"/>
  <c r="C243" i="1"/>
  <c r="A243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B242" i="1"/>
  <c r="H242" i="1"/>
  <c r="G242" i="1"/>
  <c r="F242" i="1"/>
  <c r="E242" i="1"/>
  <c r="N242" i="1"/>
  <c r="M242" i="1"/>
  <c r="L242" i="1"/>
  <c r="K242" i="1"/>
  <c r="J242" i="1"/>
  <c r="I242" i="1"/>
  <c r="D242" i="1"/>
  <c r="C242" i="1"/>
  <c r="A242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B241" i="1"/>
  <c r="H241" i="1"/>
  <c r="G241" i="1"/>
  <c r="F241" i="1"/>
  <c r="E241" i="1"/>
  <c r="N241" i="1"/>
  <c r="M241" i="1"/>
  <c r="L241" i="1"/>
  <c r="K241" i="1"/>
  <c r="J241" i="1"/>
  <c r="I241" i="1"/>
  <c r="D241" i="1"/>
  <c r="C241" i="1"/>
  <c r="A241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B240" i="1"/>
  <c r="H240" i="1"/>
  <c r="G240" i="1"/>
  <c r="F240" i="1"/>
  <c r="E240" i="1"/>
  <c r="N240" i="1"/>
  <c r="M240" i="1"/>
  <c r="L240" i="1"/>
  <c r="K240" i="1"/>
  <c r="J240" i="1"/>
  <c r="I240" i="1"/>
  <c r="D240" i="1"/>
  <c r="C240" i="1"/>
  <c r="A240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B239" i="1"/>
  <c r="H239" i="1"/>
  <c r="G239" i="1"/>
  <c r="F239" i="1"/>
  <c r="E239" i="1"/>
  <c r="N239" i="1"/>
  <c r="M239" i="1"/>
  <c r="L239" i="1"/>
  <c r="K239" i="1"/>
  <c r="J239" i="1"/>
  <c r="I239" i="1"/>
  <c r="D239" i="1"/>
  <c r="C239" i="1"/>
  <c r="A239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B238" i="1"/>
  <c r="H238" i="1"/>
  <c r="G238" i="1"/>
  <c r="F238" i="1"/>
  <c r="E238" i="1"/>
  <c r="N238" i="1"/>
  <c r="M238" i="1"/>
  <c r="L238" i="1"/>
  <c r="K238" i="1"/>
  <c r="J238" i="1"/>
  <c r="I238" i="1"/>
  <c r="D238" i="1"/>
  <c r="C238" i="1"/>
  <c r="A238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B237" i="1"/>
  <c r="H237" i="1"/>
  <c r="G237" i="1"/>
  <c r="F237" i="1"/>
  <c r="E237" i="1"/>
  <c r="N237" i="1"/>
  <c r="M237" i="1"/>
  <c r="L237" i="1"/>
  <c r="K237" i="1"/>
  <c r="J237" i="1"/>
  <c r="I237" i="1"/>
  <c r="D237" i="1"/>
  <c r="C237" i="1"/>
  <c r="A237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B236" i="1"/>
  <c r="H236" i="1"/>
  <c r="G236" i="1"/>
  <c r="F236" i="1"/>
  <c r="E236" i="1"/>
  <c r="M236" i="1"/>
  <c r="L236" i="1"/>
  <c r="K236" i="1"/>
  <c r="J236" i="1"/>
  <c r="I236" i="1"/>
  <c r="D236" i="1"/>
  <c r="C236" i="1"/>
  <c r="A236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B235" i="1"/>
  <c r="H235" i="1"/>
  <c r="G235" i="1"/>
  <c r="F235" i="1"/>
  <c r="E235" i="1"/>
  <c r="N235" i="1"/>
  <c r="M235" i="1"/>
  <c r="L235" i="1"/>
  <c r="K235" i="1"/>
  <c r="J235" i="1"/>
  <c r="I235" i="1"/>
  <c r="D235" i="1"/>
  <c r="C235" i="1"/>
  <c r="A235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B234" i="1"/>
  <c r="H234" i="1"/>
  <c r="G234" i="1"/>
  <c r="F234" i="1"/>
  <c r="E234" i="1"/>
  <c r="N234" i="1"/>
  <c r="M234" i="1"/>
  <c r="L234" i="1"/>
  <c r="K234" i="1"/>
  <c r="J234" i="1"/>
  <c r="I234" i="1"/>
  <c r="D234" i="1"/>
  <c r="C234" i="1"/>
  <c r="A234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B233" i="1"/>
  <c r="H233" i="1"/>
  <c r="G233" i="1"/>
  <c r="F233" i="1"/>
  <c r="E233" i="1"/>
  <c r="N233" i="1"/>
  <c r="M233" i="1"/>
  <c r="L233" i="1"/>
  <c r="K233" i="1"/>
  <c r="J233" i="1"/>
  <c r="I233" i="1"/>
  <c r="D233" i="1"/>
  <c r="C233" i="1"/>
  <c r="A233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B232" i="1"/>
  <c r="H232" i="1"/>
  <c r="G232" i="1"/>
  <c r="F232" i="1"/>
  <c r="E232" i="1"/>
  <c r="N232" i="1"/>
  <c r="M232" i="1"/>
  <c r="L232" i="1"/>
  <c r="K232" i="1"/>
  <c r="J232" i="1"/>
  <c r="I232" i="1"/>
  <c r="D232" i="1"/>
  <c r="C232" i="1"/>
  <c r="A232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B231" i="1"/>
  <c r="H231" i="1"/>
  <c r="G231" i="1"/>
  <c r="F231" i="1"/>
  <c r="E231" i="1"/>
  <c r="N231" i="1"/>
  <c r="M231" i="1"/>
  <c r="L231" i="1"/>
  <c r="K231" i="1"/>
  <c r="J231" i="1"/>
  <c r="I231" i="1"/>
  <c r="D231" i="1"/>
  <c r="C231" i="1"/>
  <c r="A231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B230" i="1"/>
  <c r="H230" i="1"/>
  <c r="G230" i="1"/>
  <c r="F230" i="1"/>
  <c r="E230" i="1"/>
  <c r="N230" i="1"/>
  <c r="M230" i="1"/>
  <c r="L230" i="1"/>
  <c r="K230" i="1"/>
  <c r="J230" i="1"/>
  <c r="I230" i="1"/>
  <c r="D230" i="1"/>
  <c r="C230" i="1"/>
  <c r="A230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B229" i="1"/>
  <c r="H229" i="1"/>
  <c r="G229" i="1"/>
  <c r="F229" i="1"/>
  <c r="E229" i="1"/>
  <c r="N229" i="1"/>
  <c r="M229" i="1"/>
  <c r="L229" i="1"/>
  <c r="K229" i="1"/>
  <c r="J229" i="1"/>
  <c r="I229" i="1"/>
  <c r="D229" i="1"/>
  <c r="C229" i="1"/>
  <c r="A229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B228" i="1"/>
  <c r="H228" i="1"/>
  <c r="G228" i="1"/>
  <c r="F228" i="1"/>
  <c r="E228" i="1"/>
  <c r="N228" i="1"/>
  <c r="M228" i="1"/>
  <c r="L228" i="1"/>
  <c r="K228" i="1"/>
  <c r="J228" i="1"/>
  <c r="I228" i="1"/>
  <c r="D228" i="1"/>
  <c r="C228" i="1"/>
  <c r="A228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B227" i="1"/>
  <c r="H227" i="1"/>
  <c r="G227" i="1"/>
  <c r="F227" i="1"/>
  <c r="E227" i="1"/>
  <c r="N227" i="1"/>
  <c r="M227" i="1"/>
  <c r="L227" i="1"/>
  <c r="K227" i="1"/>
  <c r="J227" i="1"/>
  <c r="I227" i="1"/>
  <c r="D227" i="1"/>
  <c r="C227" i="1"/>
  <c r="A227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B226" i="1"/>
  <c r="H226" i="1"/>
  <c r="G226" i="1"/>
  <c r="F226" i="1"/>
  <c r="E226" i="1"/>
  <c r="N226" i="1"/>
  <c r="M226" i="1"/>
  <c r="L226" i="1"/>
  <c r="K226" i="1"/>
  <c r="J226" i="1"/>
  <c r="I226" i="1"/>
  <c r="D226" i="1"/>
  <c r="C226" i="1"/>
  <c r="A226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B225" i="1"/>
  <c r="H225" i="1"/>
  <c r="G225" i="1"/>
  <c r="F225" i="1"/>
  <c r="E225" i="1"/>
  <c r="N225" i="1"/>
  <c r="M225" i="1"/>
  <c r="L225" i="1"/>
  <c r="K225" i="1"/>
  <c r="J225" i="1"/>
  <c r="I225" i="1"/>
  <c r="D225" i="1"/>
  <c r="C225" i="1"/>
  <c r="A225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B224" i="1"/>
  <c r="H224" i="1"/>
  <c r="G224" i="1"/>
  <c r="F224" i="1"/>
  <c r="E224" i="1"/>
  <c r="N224" i="1"/>
  <c r="M224" i="1"/>
  <c r="L224" i="1"/>
  <c r="K224" i="1"/>
  <c r="J224" i="1"/>
  <c r="I224" i="1"/>
  <c r="D224" i="1"/>
  <c r="C224" i="1"/>
  <c r="A224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B223" i="1"/>
  <c r="H223" i="1"/>
  <c r="G223" i="1"/>
  <c r="F223" i="1"/>
  <c r="E223" i="1"/>
  <c r="N223" i="1"/>
  <c r="M223" i="1"/>
  <c r="L223" i="1"/>
  <c r="K223" i="1"/>
  <c r="J223" i="1"/>
  <c r="I223" i="1"/>
  <c r="D223" i="1"/>
  <c r="C223" i="1"/>
  <c r="A223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B222" i="1"/>
  <c r="H222" i="1"/>
  <c r="G222" i="1"/>
  <c r="F222" i="1"/>
  <c r="E222" i="1"/>
  <c r="N222" i="1"/>
  <c r="M222" i="1"/>
  <c r="L222" i="1"/>
  <c r="K222" i="1"/>
  <c r="J222" i="1"/>
  <c r="I222" i="1"/>
  <c r="D222" i="1"/>
  <c r="C222" i="1"/>
  <c r="A222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B221" i="1"/>
  <c r="H221" i="1"/>
  <c r="G221" i="1"/>
  <c r="F221" i="1"/>
  <c r="E221" i="1"/>
  <c r="N221" i="1"/>
  <c r="M221" i="1"/>
  <c r="L221" i="1"/>
  <c r="K221" i="1"/>
  <c r="J221" i="1"/>
  <c r="I221" i="1"/>
  <c r="D221" i="1"/>
  <c r="C221" i="1"/>
  <c r="A221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B220" i="1"/>
  <c r="H220" i="1"/>
  <c r="G220" i="1"/>
  <c r="F220" i="1"/>
  <c r="E220" i="1"/>
  <c r="N220" i="1"/>
  <c r="M220" i="1"/>
  <c r="L220" i="1"/>
  <c r="K220" i="1"/>
  <c r="J220" i="1"/>
  <c r="I220" i="1"/>
  <c r="D220" i="1"/>
  <c r="C220" i="1"/>
  <c r="A220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B219" i="1"/>
  <c r="H219" i="1"/>
  <c r="G219" i="1"/>
  <c r="F219" i="1"/>
  <c r="E219" i="1"/>
  <c r="N219" i="1"/>
  <c r="M219" i="1"/>
  <c r="L219" i="1"/>
  <c r="K219" i="1"/>
  <c r="J219" i="1"/>
  <c r="I219" i="1"/>
  <c r="D219" i="1"/>
  <c r="C219" i="1"/>
  <c r="A219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B218" i="1"/>
  <c r="H218" i="1"/>
  <c r="G218" i="1"/>
  <c r="F218" i="1"/>
  <c r="E218" i="1"/>
  <c r="N218" i="1"/>
  <c r="M218" i="1"/>
  <c r="L218" i="1"/>
  <c r="K218" i="1"/>
  <c r="J218" i="1"/>
  <c r="I218" i="1"/>
  <c r="D218" i="1"/>
  <c r="C218" i="1"/>
  <c r="A218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B217" i="1"/>
  <c r="H217" i="1"/>
  <c r="G217" i="1"/>
  <c r="F217" i="1"/>
  <c r="E217" i="1"/>
  <c r="M217" i="1"/>
  <c r="L217" i="1"/>
  <c r="K217" i="1"/>
  <c r="J217" i="1"/>
  <c r="I217" i="1"/>
  <c r="D217" i="1"/>
  <c r="C217" i="1"/>
  <c r="A217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B216" i="1"/>
  <c r="H216" i="1"/>
  <c r="G216" i="1"/>
  <c r="F216" i="1"/>
  <c r="E216" i="1"/>
  <c r="N216" i="1"/>
  <c r="M216" i="1"/>
  <c r="L216" i="1"/>
  <c r="K216" i="1"/>
  <c r="J216" i="1"/>
  <c r="I216" i="1"/>
  <c r="D216" i="1"/>
  <c r="C216" i="1"/>
  <c r="A216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B215" i="1"/>
  <c r="H215" i="1"/>
  <c r="G215" i="1"/>
  <c r="F215" i="1"/>
  <c r="E215" i="1"/>
  <c r="N215" i="1"/>
  <c r="M215" i="1"/>
  <c r="L215" i="1"/>
  <c r="K215" i="1"/>
  <c r="J215" i="1"/>
  <c r="I215" i="1"/>
  <c r="D215" i="1"/>
  <c r="C215" i="1"/>
  <c r="A215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B214" i="1"/>
  <c r="H214" i="1"/>
  <c r="G214" i="1"/>
  <c r="F214" i="1"/>
  <c r="E214" i="1"/>
  <c r="N214" i="1"/>
  <c r="M214" i="1"/>
  <c r="L214" i="1"/>
  <c r="K214" i="1"/>
  <c r="J214" i="1"/>
  <c r="I214" i="1"/>
  <c r="D214" i="1"/>
  <c r="C214" i="1"/>
  <c r="A214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B213" i="1"/>
  <c r="H213" i="1"/>
  <c r="G213" i="1"/>
  <c r="F213" i="1"/>
  <c r="E213" i="1"/>
  <c r="N213" i="1"/>
  <c r="M213" i="1"/>
  <c r="L213" i="1"/>
  <c r="K213" i="1"/>
  <c r="J213" i="1"/>
  <c r="I213" i="1"/>
  <c r="D213" i="1"/>
  <c r="C213" i="1"/>
  <c r="A213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B212" i="1"/>
  <c r="H212" i="1"/>
  <c r="G212" i="1"/>
  <c r="F212" i="1"/>
  <c r="E212" i="1"/>
  <c r="N212" i="1"/>
  <c r="M212" i="1"/>
  <c r="L212" i="1"/>
  <c r="K212" i="1"/>
  <c r="J212" i="1"/>
  <c r="I212" i="1"/>
  <c r="D212" i="1"/>
  <c r="C212" i="1"/>
  <c r="A212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B211" i="1"/>
  <c r="H211" i="1"/>
  <c r="G211" i="1"/>
  <c r="F211" i="1"/>
  <c r="E211" i="1"/>
  <c r="N211" i="1"/>
  <c r="M211" i="1"/>
  <c r="L211" i="1"/>
  <c r="K211" i="1"/>
  <c r="J211" i="1"/>
  <c r="I211" i="1"/>
  <c r="D211" i="1"/>
  <c r="C211" i="1"/>
  <c r="A211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B210" i="1"/>
  <c r="H210" i="1"/>
  <c r="G210" i="1"/>
  <c r="F210" i="1"/>
  <c r="E210" i="1"/>
  <c r="N210" i="1"/>
  <c r="M210" i="1"/>
  <c r="L210" i="1"/>
  <c r="K210" i="1"/>
  <c r="J210" i="1"/>
  <c r="I210" i="1"/>
  <c r="D210" i="1"/>
  <c r="C210" i="1"/>
  <c r="A210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B209" i="1"/>
  <c r="H209" i="1"/>
  <c r="G209" i="1"/>
  <c r="F209" i="1"/>
  <c r="E209" i="1"/>
  <c r="N209" i="1"/>
  <c r="M209" i="1"/>
  <c r="L209" i="1"/>
  <c r="K209" i="1"/>
  <c r="J209" i="1"/>
  <c r="I209" i="1"/>
  <c r="D209" i="1"/>
  <c r="C209" i="1"/>
  <c r="A209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B208" i="1"/>
  <c r="H208" i="1"/>
  <c r="G208" i="1"/>
  <c r="F208" i="1"/>
  <c r="E208" i="1"/>
  <c r="N208" i="1"/>
  <c r="M208" i="1"/>
  <c r="L208" i="1"/>
  <c r="K208" i="1"/>
  <c r="J208" i="1"/>
  <c r="I208" i="1"/>
  <c r="D208" i="1"/>
  <c r="C208" i="1"/>
  <c r="A208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B207" i="1"/>
  <c r="H207" i="1"/>
  <c r="G207" i="1"/>
  <c r="F207" i="1"/>
  <c r="E207" i="1"/>
  <c r="N207" i="1"/>
  <c r="M207" i="1"/>
  <c r="L207" i="1"/>
  <c r="K207" i="1"/>
  <c r="J207" i="1"/>
  <c r="I207" i="1"/>
  <c r="D207" i="1"/>
  <c r="C207" i="1"/>
  <c r="A207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B206" i="1"/>
  <c r="H206" i="1"/>
  <c r="G206" i="1"/>
  <c r="F206" i="1"/>
  <c r="E206" i="1"/>
  <c r="N206" i="1"/>
  <c r="M206" i="1"/>
  <c r="L206" i="1"/>
  <c r="K206" i="1"/>
  <c r="J206" i="1"/>
  <c r="I206" i="1"/>
  <c r="D206" i="1"/>
  <c r="C206" i="1"/>
  <c r="A206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B205" i="1"/>
  <c r="H205" i="1"/>
  <c r="G205" i="1"/>
  <c r="F205" i="1"/>
  <c r="E205" i="1"/>
  <c r="N205" i="1"/>
  <c r="M205" i="1"/>
  <c r="L205" i="1"/>
  <c r="K205" i="1"/>
  <c r="J205" i="1"/>
  <c r="I205" i="1"/>
  <c r="D205" i="1"/>
  <c r="C205" i="1"/>
  <c r="A205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B204" i="1"/>
  <c r="H204" i="1"/>
  <c r="G204" i="1"/>
  <c r="F204" i="1"/>
  <c r="E204" i="1"/>
  <c r="N204" i="1"/>
  <c r="M204" i="1"/>
  <c r="L204" i="1"/>
  <c r="K204" i="1"/>
  <c r="J204" i="1"/>
  <c r="I204" i="1"/>
  <c r="D204" i="1"/>
  <c r="C204" i="1"/>
  <c r="A204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B203" i="1"/>
  <c r="H203" i="1"/>
  <c r="G203" i="1"/>
  <c r="F203" i="1"/>
  <c r="E203" i="1"/>
  <c r="N203" i="1"/>
  <c r="M203" i="1"/>
  <c r="L203" i="1"/>
  <c r="K203" i="1"/>
  <c r="J203" i="1"/>
  <c r="I203" i="1"/>
  <c r="D203" i="1"/>
  <c r="C203" i="1"/>
  <c r="A203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B202" i="1"/>
  <c r="H202" i="1"/>
  <c r="G202" i="1"/>
  <c r="F202" i="1"/>
  <c r="E202" i="1"/>
  <c r="N202" i="1"/>
  <c r="M202" i="1"/>
  <c r="L202" i="1"/>
  <c r="K202" i="1"/>
  <c r="J202" i="1"/>
  <c r="I202" i="1"/>
  <c r="D202" i="1"/>
  <c r="C202" i="1"/>
  <c r="A202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B201" i="1"/>
  <c r="H201" i="1"/>
  <c r="G201" i="1"/>
  <c r="F201" i="1"/>
  <c r="E201" i="1"/>
  <c r="N201" i="1"/>
  <c r="M201" i="1"/>
  <c r="L201" i="1"/>
  <c r="K201" i="1"/>
  <c r="J201" i="1"/>
  <c r="I201" i="1"/>
  <c r="D201" i="1"/>
  <c r="C201" i="1"/>
  <c r="A201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B200" i="1"/>
  <c r="H200" i="1"/>
  <c r="G200" i="1"/>
  <c r="F200" i="1"/>
  <c r="E200" i="1"/>
  <c r="N200" i="1"/>
  <c r="M200" i="1"/>
  <c r="L200" i="1"/>
  <c r="K200" i="1"/>
  <c r="J200" i="1"/>
  <c r="I200" i="1"/>
  <c r="D200" i="1"/>
  <c r="C200" i="1"/>
  <c r="A200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B199" i="1"/>
  <c r="H199" i="1"/>
  <c r="G199" i="1"/>
  <c r="F199" i="1"/>
  <c r="E199" i="1"/>
  <c r="N199" i="1"/>
  <c r="M199" i="1"/>
  <c r="L199" i="1"/>
  <c r="K199" i="1"/>
  <c r="J199" i="1"/>
  <c r="I199" i="1"/>
  <c r="D199" i="1"/>
  <c r="C199" i="1"/>
  <c r="A199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B198" i="1"/>
  <c r="H198" i="1"/>
  <c r="G198" i="1"/>
  <c r="F198" i="1"/>
  <c r="E198" i="1"/>
  <c r="N198" i="1"/>
  <c r="M198" i="1"/>
  <c r="L198" i="1"/>
  <c r="K198" i="1"/>
  <c r="J198" i="1"/>
  <c r="I198" i="1"/>
  <c r="D198" i="1"/>
  <c r="C198" i="1"/>
  <c r="A198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B197" i="1"/>
  <c r="H197" i="1"/>
  <c r="G197" i="1"/>
  <c r="F197" i="1"/>
  <c r="E197" i="1"/>
  <c r="N197" i="1"/>
  <c r="M197" i="1"/>
  <c r="L197" i="1"/>
  <c r="K197" i="1"/>
  <c r="J197" i="1"/>
  <c r="I197" i="1"/>
  <c r="D197" i="1"/>
  <c r="C197" i="1"/>
  <c r="A197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B196" i="1"/>
  <c r="H196" i="1"/>
  <c r="G196" i="1"/>
  <c r="F196" i="1"/>
  <c r="E196" i="1"/>
  <c r="N196" i="1"/>
  <c r="M196" i="1"/>
  <c r="L196" i="1"/>
  <c r="K196" i="1"/>
  <c r="J196" i="1"/>
  <c r="I196" i="1"/>
  <c r="D196" i="1"/>
  <c r="C196" i="1"/>
  <c r="A196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B195" i="1"/>
  <c r="H195" i="1"/>
  <c r="G195" i="1"/>
  <c r="F195" i="1"/>
  <c r="E195" i="1"/>
  <c r="N195" i="1"/>
  <c r="M195" i="1"/>
  <c r="L195" i="1"/>
  <c r="K195" i="1"/>
  <c r="J195" i="1"/>
  <c r="I195" i="1"/>
  <c r="D195" i="1"/>
  <c r="C195" i="1"/>
  <c r="A195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B194" i="1"/>
  <c r="H194" i="1"/>
  <c r="G194" i="1"/>
  <c r="F194" i="1"/>
  <c r="E194" i="1"/>
  <c r="N194" i="1"/>
  <c r="M194" i="1"/>
  <c r="L194" i="1"/>
  <c r="K194" i="1"/>
  <c r="J194" i="1"/>
  <c r="I194" i="1"/>
  <c r="D194" i="1"/>
  <c r="C194" i="1"/>
  <c r="A194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B193" i="1"/>
  <c r="H193" i="1"/>
  <c r="G193" i="1"/>
  <c r="F193" i="1"/>
  <c r="E193" i="1"/>
  <c r="N193" i="1"/>
  <c r="M193" i="1"/>
  <c r="L193" i="1"/>
  <c r="K193" i="1"/>
  <c r="J193" i="1"/>
  <c r="I193" i="1"/>
  <c r="D193" i="1"/>
  <c r="C193" i="1"/>
  <c r="A193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B192" i="1"/>
  <c r="H192" i="1"/>
  <c r="G192" i="1"/>
  <c r="F192" i="1"/>
  <c r="E192" i="1"/>
  <c r="N192" i="1"/>
  <c r="M192" i="1"/>
  <c r="L192" i="1"/>
  <c r="K192" i="1"/>
  <c r="J192" i="1"/>
  <c r="I192" i="1"/>
  <c r="D192" i="1"/>
  <c r="C192" i="1"/>
  <c r="A192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B191" i="1"/>
  <c r="H191" i="1"/>
  <c r="G191" i="1"/>
  <c r="F191" i="1"/>
  <c r="E191" i="1"/>
  <c r="N191" i="1"/>
  <c r="M191" i="1"/>
  <c r="L191" i="1"/>
  <c r="K191" i="1"/>
  <c r="J191" i="1"/>
  <c r="I191" i="1"/>
  <c r="D191" i="1"/>
  <c r="C191" i="1"/>
  <c r="A191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B190" i="1"/>
  <c r="H190" i="1"/>
  <c r="G190" i="1"/>
  <c r="F190" i="1"/>
  <c r="E190" i="1"/>
  <c r="N190" i="1"/>
  <c r="M190" i="1"/>
  <c r="L190" i="1"/>
  <c r="K190" i="1"/>
  <c r="J190" i="1"/>
  <c r="I190" i="1"/>
  <c r="D190" i="1"/>
  <c r="C190" i="1"/>
  <c r="A190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B189" i="1"/>
  <c r="H189" i="1"/>
  <c r="G189" i="1"/>
  <c r="F189" i="1"/>
  <c r="E189" i="1"/>
  <c r="N189" i="1"/>
  <c r="M189" i="1"/>
  <c r="L189" i="1"/>
  <c r="K189" i="1"/>
  <c r="J189" i="1"/>
  <c r="I189" i="1"/>
  <c r="D189" i="1"/>
  <c r="C189" i="1"/>
  <c r="A189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B188" i="1"/>
  <c r="H188" i="1"/>
  <c r="G188" i="1"/>
  <c r="F188" i="1"/>
  <c r="E188" i="1"/>
  <c r="N188" i="1"/>
  <c r="M188" i="1"/>
  <c r="L188" i="1"/>
  <c r="K188" i="1"/>
  <c r="J188" i="1"/>
  <c r="I188" i="1"/>
  <c r="D188" i="1"/>
  <c r="C188" i="1"/>
  <c r="A188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B187" i="1"/>
  <c r="H187" i="1"/>
  <c r="G187" i="1"/>
  <c r="F187" i="1"/>
  <c r="E187" i="1"/>
  <c r="N187" i="1"/>
  <c r="M187" i="1"/>
  <c r="L187" i="1"/>
  <c r="K187" i="1"/>
  <c r="J187" i="1"/>
  <c r="I187" i="1"/>
  <c r="D187" i="1"/>
  <c r="C187" i="1"/>
  <c r="A187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B186" i="1"/>
  <c r="H186" i="1"/>
  <c r="G186" i="1"/>
  <c r="F186" i="1"/>
  <c r="E186" i="1"/>
  <c r="N186" i="1"/>
  <c r="M186" i="1"/>
  <c r="L186" i="1"/>
  <c r="K186" i="1"/>
  <c r="J186" i="1"/>
  <c r="I186" i="1"/>
  <c r="D186" i="1"/>
  <c r="C186" i="1"/>
  <c r="A186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B185" i="1"/>
  <c r="H185" i="1"/>
  <c r="G185" i="1"/>
  <c r="F185" i="1"/>
  <c r="E185" i="1"/>
  <c r="N185" i="1"/>
  <c r="M185" i="1"/>
  <c r="L185" i="1"/>
  <c r="K185" i="1"/>
  <c r="J185" i="1"/>
  <c r="I185" i="1"/>
  <c r="D185" i="1"/>
  <c r="C185" i="1"/>
  <c r="A185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B184" i="1"/>
  <c r="H184" i="1"/>
  <c r="G184" i="1"/>
  <c r="F184" i="1"/>
  <c r="E184" i="1"/>
  <c r="N184" i="1"/>
  <c r="M184" i="1"/>
  <c r="L184" i="1"/>
  <c r="K184" i="1"/>
  <c r="J184" i="1"/>
  <c r="I184" i="1"/>
  <c r="D184" i="1"/>
  <c r="C184" i="1"/>
  <c r="A184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B183" i="1"/>
  <c r="H183" i="1"/>
  <c r="G183" i="1"/>
  <c r="F183" i="1"/>
  <c r="E183" i="1"/>
  <c r="N183" i="1"/>
  <c r="M183" i="1"/>
  <c r="L183" i="1"/>
  <c r="K183" i="1"/>
  <c r="J183" i="1"/>
  <c r="I183" i="1"/>
  <c r="D183" i="1"/>
  <c r="C183" i="1"/>
  <c r="A183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B182" i="1"/>
  <c r="H182" i="1"/>
  <c r="G182" i="1"/>
  <c r="F182" i="1"/>
  <c r="E182" i="1"/>
  <c r="N182" i="1"/>
  <c r="M182" i="1"/>
  <c r="L182" i="1"/>
  <c r="K182" i="1"/>
  <c r="J182" i="1"/>
  <c r="I182" i="1"/>
  <c r="D182" i="1"/>
  <c r="C182" i="1"/>
  <c r="A182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B181" i="1"/>
  <c r="H181" i="1"/>
  <c r="G181" i="1"/>
  <c r="F181" i="1"/>
  <c r="E181" i="1"/>
  <c r="N181" i="1"/>
  <c r="M181" i="1"/>
  <c r="L181" i="1"/>
  <c r="K181" i="1"/>
  <c r="J181" i="1"/>
  <c r="I181" i="1"/>
  <c r="D181" i="1"/>
  <c r="C181" i="1"/>
  <c r="A181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B180" i="1"/>
  <c r="H180" i="1"/>
  <c r="G180" i="1"/>
  <c r="F180" i="1"/>
  <c r="E180" i="1"/>
  <c r="N180" i="1"/>
  <c r="M180" i="1"/>
  <c r="L180" i="1"/>
  <c r="K180" i="1"/>
  <c r="J180" i="1"/>
  <c r="I180" i="1"/>
  <c r="D180" i="1"/>
  <c r="C180" i="1"/>
  <c r="A180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B179" i="1"/>
  <c r="H179" i="1"/>
  <c r="G179" i="1"/>
  <c r="F179" i="1"/>
  <c r="E179" i="1"/>
  <c r="N179" i="1"/>
  <c r="M179" i="1"/>
  <c r="L179" i="1"/>
  <c r="K179" i="1"/>
  <c r="J179" i="1"/>
  <c r="I179" i="1"/>
  <c r="D179" i="1"/>
  <c r="C179" i="1"/>
  <c r="A179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B178" i="1"/>
  <c r="H178" i="1"/>
  <c r="G178" i="1"/>
  <c r="F178" i="1"/>
  <c r="E178" i="1"/>
  <c r="N178" i="1"/>
  <c r="M178" i="1"/>
  <c r="L178" i="1"/>
  <c r="K178" i="1"/>
  <c r="J178" i="1"/>
  <c r="I178" i="1"/>
  <c r="D178" i="1"/>
  <c r="C178" i="1"/>
  <c r="A178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B177" i="1"/>
  <c r="H177" i="1"/>
  <c r="G177" i="1"/>
  <c r="F177" i="1"/>
  <c r="E177" i="1"/>
  <c r="M177" i="1"/>
  <c r="L177" i="1"/>
  <c r="K177" i="1"/>
  <c r="J177" i="1"/>
  <c r="I177" i="1"/>
  <c r="D177" i="1"/>
  <c r="C177" i="1"/>
  <c r="A177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B176" i="1"/>
  <c r="H176" i="1"/>
  <c r="G176" i="1"/>
  <c r="F176" i="1"/>
  <c r="E176" i="1"/>
  <c r="N176" i="1"/>
  <c r="M176" i="1"/>
  <c r="L176" i="1"/>
  <c r="K176" i="1"/>
  <c r="J176" i="1"/>
  <c r="I176" i="1"/>
  <c r="D176" i="1"/>
  <c r="C176" i="1"/>
  <c r="A176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B175" i="1"/>
  <c r="H175" i="1"/>
  <c r="G175" i="1"/>
  <c r="F175" i="1"/>
  <c r="E175" i="1"/>
  <c r="N175" i="1"/>
  <c r="M175" i="1"/>
  <c r="L175" i="1"/>
  <c r="K175" i="1"/>
  <c r="J175" i="1"/>
  <c r="I175" i="1"/>
  <c r="D175" i="1"/>
  <c r="C175" i="1"/>
  <c r="A175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B174" i="1"/>
  <c r="H174" i="1"/>
  <c r="G174" i="1"/>
  <c r="F174" i="1"/>
  <c r="E174" i="1"/>
  <c r="N174" i="1"/>
  <c r="M174" i="1"/>
  <c r="L174" i="1"/>
  <c r="K174" i="1"/>
  <c r="J174" i="1"/>
  <c r="I174" i="1"/>
  <c r="D174" i="1"/>
  <c r="C174" i="1"/>
  <c r="A174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B173" i="1"/>
  <c r="H173" i="1"/>
  <c r="G173" i="1"/>
  <c r="F173" i="1"/>
  <c r="E173" i="1"/>
  <c r="N173" i="1"/>
  <c r="M173" i="1"/>
  <c r="L173" i="1"/>
  <c r="K173" i="1"/>
  <c r="J173" i="1"/>
  <c r="I173" i="1"/>
  <c r="D173" i="1"/>
  <c r="C173" i="1"/>
  <c r="A173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B172" i="1"/>
  <c r="H172" i="1"/>
  <c r="G172" i="1"/>
  <c r="F172" i="1"/>
  <c r="E172" i="1"/>
  <c r="M172" i="1"/>
  <c r="L172" i="1"/>
  <c r="K172" i="1"/>
  <c r="J172" i="1"/>
  <c r="I172" i="1"/>
  <c r="D172" i="1"/>
  <c r="C172" i="1"/>
  <c r="A172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B171" i="1"/>
  <c r="H171" i="1"/>
  <c r="G171" i="1"/>
  <c r="F171" i="1"/>
  <c r="E171" i="1"/>
  <c r="N171" i="1"/>
  <c r="M171" i="1"/>
  <c r="L171" i="1"/>
  <c r="K171" i="1"/>
  <c r="J171" i="1"/>
  <c r="I171" i="1"/>
  <c r="D171" i="1"/>
  <c r="C171" i="1"/>
  <c r="A171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B170" i="1"/>
  <c r="H170" i="1"/>
  <c r="G170" i="1"/>
  <c r="F170" i="1"/>
  <c r="E170" i="1"/>
  <c r="N170" i="1"/>
  <c r="M170" i="1"/>
  <c r="L170" i="1"/>
  <c r="K170" i="1"/>
  <c r="J170" i="1"/>
  <c r="I170" i="1"/>
  <c r="D170" i="1"/>
  <c r="C170" i="1"/>
  <c r="A170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B169" i="1"/>
  <c r="H169" i="1"/>
  <c r="G169" i="1"/>
  <c r="F169" i="1"/>
  <c r="E169" i="1"/>
  <c r="N169" i="1"/>
  <c r="M169" i="1"/>
  <c r="L169" i="1"/>
  <c r="K169" i="1"/>
  <c r="J169" i="1"/>
  <c r="I169" i="1"/>
  <c r="D169" i="1"/>
  <c r="C169" i="1"/>
  <c r="A169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B168" i="1"/>
  <c r="H168" i="1"/>
  <c r="G168" i="1"/>
  <c r="F168" i="1"/>
  <c r="E168" i="1"/>
  <c r="N168" i="1"/>
  <c r="M168" i="1"/>
  <c r="L168" i="1"/>
  <c r="K168" i="1"/>
  <c r="J168" i="1"/>
  <c r="I168" i="1"/>
  <c r="D168" i="1"/>
  <c r="C168" i="1"/>
  <c r="A168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B167" i="1"/>
  <c r="H167" i="1"/>
  <c r="G167" i="1"/>
  <c r="F167" i="1"/>
  <c r="E167" i="1"/>
  <c r="N167" i="1"/>
  <c r="M167" i="1"/>
  <c r="L167" i="1"/>
  <c r="K167" i="1"/>
  <c r="J167" i="1"/>
  <c r="I167" i="1"/>
  <c r="D167" i="1"/>
  <c r="C167" i="1"/>
  <c r="A167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B166" i="1"/>
  <c r="H166" i="1"/>
  <c r="G166" i="1"/>
  <c r="F166" i="1"/>
  <c r="E166" i="1"/>
  <c r="N166" i="1"/>
  <c r="M166" i="1"/>
  <c r="L166" i="1"/>
  <c r="K166" i="1"/>
  <c r="J166" i="1"/>
  <c r="I166" i="1"/>
  <c r="D166" i="1"/>
  <c r="C166" i="1"/>
  <c r="A166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B165" i="1"/>
  <c r="H165" i="1"/>
  <c r="G165" i="1"/>
  <c r="F165" i="1"/>
  <c r="E165" i="1"/>
  <c r="N165" i="1"/>
  <c r="M165" i="1"/>
  <c r="L165" i="1"/>
  <c r="K165" i="1"/>
  <c r="J165" i="1"/>
  <c r="I165" i="1"/>
  <c r="D165" i="1"/>
  <c r="C165" i="1"/>
  <c r="A165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B164" i="1"/>
  <c r="H164" i="1"/>
  <c r="G164" i="1"/>
  <c r="F164" i="1"/>
  <c r="E164" i="1"/>
  <c r="N164" i="1"/>
  <c r="M164" i="1"/>
  <c r="L164" i="1"/>
  <c r="K164" i="1"/>
  <c r="J164" i="1"/>
  <c r="I164" i="1"/>
  <c r="D164" i="1"/>
  <c r="C164" i="1"/>
  <c r="A164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B163" i="1"/>
  <c r="H163" i="1"/>
  <c r="G163" i="1"/>
  <c r="F163" i="1"/>
  <c r="E163" i="1"/>
  <c r="N163" i="1"/>
  <c r="M163" i="1"/>
  <c r="L163" i="1"/>
  <c r="K163" i="1"/>
  <c r="J163" i="1"/>
  <c r="I163" i="1"/>
  <c r="D163" i="1"/>
  <c r="C163" i="1"/>
  <c r="A163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B162" i="1"/>
  <c r="H162" i="1"/>
  <c r="G162" i="1"/>
  <c r="F162" i="1"/>
  <c r="E162" i="1"/>
  <c r="N162" i="1"/>
  <c r="M162" i="1"/>
  <c r="L162" i="1"/>
  <c r="K162" i="1"/>
  <c r="J162" i="1"/>
  <c r="I162" i="1"/>
  <c r="D162" i="1"/>
  <c r="C162" i="1"/>
  <c r="A162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B161" i="1"/>
  <c r="H161" i="1"/>
  <c r="G161" i="1"/>
  <c r="F161" i="1"/>
  <c r="E161" i="1"/>
  <c r="N161" i="1"/>
  <c r="M161" i="1"/>
  <c r="L161" i="1"/>
  <c r="K161" i="1"/>
  <c r="J161" i="1"/>
  <c r="I161" i="1"/>
  <c r="D161" i="1"/>
  <c r="C161" i="1"/>
  <c r="A161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B160" i="1"/>
  <c r="H160" i="1"/>
  <c r="G160" i="1"/>
  <c r="F160" i="1"/>
  <c r="E160" i="1"/>
  <c r="N160" i="1"/>
  <c r="M160" i="1"/>
  <c r="L160" i="1"/>
  <c r="K160" i="1"/>
  <c r="J160" i="1"/>
  <c r="I160" i="1"/>
  <c r="D160" i="1"/>
  <c r="C160" i="1"/>
  <c r="A160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B159" i="1"/>
  <c r="H159" i="1"/>
  <c r="G159" i="1"/>
  <c r="F159" i="1"/>
  <c r="E159" i="1"/>
  <c r="N159" i="1"/>
  <c r="M159" i="1"/>
  <c r="L159" i="1"/>
  <c r="K159" i="1"/>
  <c r="J159" i="1"/>
  <c r="I159" i="1"/>
  <c r="D159" i="1"/>
  <c r="C159" i="1"/>
  <c r="A159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B158" i="1"/>
  <c r="H158" i="1"/>
  <c r="G158" i="1"/>
  <c r="F158" i="1"/>
  <c r="E158" i="1"/>
  <c r="M158" i="1"/>
  <c r="L158" i="1"/>
  <c r="K158" i="1"/>
  <c r="J158" i="1"/>
  <c r="I158" i="1"/>
  <c r="D158" i="1"/>
  <c r="C158" i="1"/>
  <c r="A158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B157" i="1"/>
  <c r="H157" i="1"/>
  <c r="G157" i="1"/>
  <c r="F157" i="1"/>
  <c r="E157" i="1"/>
  <c r="N157" i="1"/>
  <c r="M157" i="1"/>
  <c r="L157" i="1"/>
  <c r="K157" i="1"/>
  <c r="J157" i="1"/>
  <c r="I157" i="1"/>
  <c r="D157" i="1"/>
  <c r="C157" i="1"/>
  <c r="A157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B156" i="1"/>
  <c r="H156" i="1"/>
  <c r="G156" i="1"/>
  <c r="F156" i="1"/>
  <c r="E156" i="1"/>
  <c r="N156" i="1"/>
  <c r="M156" i="1"/>
  <c r="L156" i="1"/>
  <c r="K156" i="1"/>
  <c r="J156" i="1"/>
  <c r="I156" i="1"/>
  <c r="D156" i="1"/>
  <c r="C156" i="1"/>
  <c r="A156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B155" i="1"/>
  <c r="H155" i="1"/>
  <c r="G155" i="1"/>
  <c r="F155" i="1"/>
  <c r="E155" i="1"/>
  <c r="N155" i="1"/>
  <c r="M155" i="1"/>
  <c r="L155" i="1"/>
  <c r="K155" i="1"/>
  <c r="J155" i="1"/>
  <c r="I155" i="1"/>
  <c r="D155" i="1"/>
  <c r="C155" i="1"/>
  <c r="A155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B154" i="1"/>
  <c r="H154" i="1"/>
  <c r="G154" i="1"/>
  <c r="F154" i="1"/>
  <c r="E154" i="1"/>
  <c r="N154" i="1"/>
  <c r="M154" i="1"/>
  <c r="L154" i="1"/>
  <c r="K154" i="1"/>
  <c r="J154" i="1"/>
  <c r="I154" i="1"/>
  <c r="D154" i="1"/>
  <c r="C154" i="1"/>
  <c r="A154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B153" i="1"/>
  <c r="H153" i="1"/>
  <c r="G153" i="1"/>
  <c r="F153" i="1"/>
  <c r="E153" i="1"/>
  <c r="N153" i="1"/>
  <c r="M153" i="1"/>
  <c r="L153" i="1"/>
  <c r="K153" i="1"/>
  <c r="J153" i="1"/>
  <c r="I153" i="1"/>
  <c r="D153" i="1"/>
  <c r="C153" i="1"/>
  <c r="A153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B152" i="1"/>
  <c r="H152" i="1"/>
  <c r="G152" i="1"/>
  <c r="F152" i="1"/>
  <c r="E152" i="1"/>
  <c r="N152" i="1"/>
  <c r="M152" i="1"/>
  <c r="L152" i="1"/>
  <c r="K152" i="1"/>
  <c r="J152" i="1"/>
  <c r="I152" i="1"/>
  <c r="D152" i="1"/>
  <c r="C152" i="1"/>
  <c r="A152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B151" i="1"/>
  <c r="H151" i="1"/>
  <c r="G151" i="1"/>
  <c r="F151" i="1"/>
  <c r="E151" i="1"/>
  <c r="N151" i="1"/>
  <c r="M151" i="1"/>
  <c r="L151" i="1"/>
  <c r="K151" i="1"/>
  <c r="J151" i="1"/>
  <c r="I151" i="1"/>
  <c r="D151" i="1"/>
  <c r="C151" i="1"/>
  <c r="A151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B150" i="1"/>
  <c r="H150" i="1"/>
  <c r="G150" i="1"/>
  <c r="F150" i="1"/>
  <c r="E150" i="1"/>
  <c r="N150" i="1"/>
  <c r="M150" i="1"/>
  <c r="L150" i="1"/>
  <c r="K150" i="1"/>
  <c r="J150" i="1"/>
  <c r="I150" i="1"/>
  <c r="D150" i="1"/>
  <c r="C150" i="1"/>
  <c r="A150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B149" i="1"/>
  <c r="H149" i="1"/>
  <c r="G149" i="1"/>
  <c r="F149" i="1"/>
  <c r="E149" i="1"/>
  <c r="N149" i="1"/>
  <c r="M149" i="1"/>
  <c r="L149" i="1"/>
  <c r="K149" i="1"/>
  <c r="J149" i="1"/>
  <c r="I149" i="1"/>
  <c r="D149" i="1"/>
  <c r="C149" i="1"/>
  <c r="A149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B148" i="1"/>
  <c r="H148" i="1"/>
  <c r="G148" i="1"/>
  <c r="F148" i="1"/>
  <c r="E148" i="1"/>
  <c r="N148" i="1"/>
  <c r="M148" i="1"/>
  <c r="L148" i="1"/>
  <c r="K148" i="1"/>
  <c r="J148" i="1"/>
  <c r="I148" i="1"/>
  <c r="D148" i="1"/>
  <c r="C148" i="1"/>
  <c r="A148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B147" i="1"/>
  <c r="H147" i="1"/>
  <c r="G147" i="1"/>
  <c r="F147" i="1"/>
  <c r="E147" i="1"/>
  <c r="N147" i="1"/>
  <c r="M147" i="1"/>
  <c r="L147" i="1"/>
  <c r="K147" i="1"/>
  <c r="J147" i="1"/>
  <c r="I147" i="1"/>
  <c r="D147" i="1"/>
  <c r="C147" i="1"/>
  <c r="A147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B146" i="1"/>
  <c r="H146" i="1"/>
  <c r="G146" i="1"/>
  <c r="F146" i="1"/>
  <c r="E146" i="1"/>
  <c r="N146" i="1"/>
  <c r="M146" i="1"/>
  <c r="L146" i="1"/>
  <c r="K146" i="1"/>
  <c r="J146" i="1"/>
  <c r="I146" i="1"/>
  <c r="D146" i="1"/>
  <c r="C146" i="1"/>
  <c r="A146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B145" i="1"/>
  <c r="H145" i="1"/>
  <c r="G145" i="1"/>
  <c r="F145" i="1"/>
  <c r="E145" i="1"/>
  <c r="N145" i="1"/>
  <c r="M145" i="1"/>
  <c r="L145" i="1"/>
  <c r="K145" i="1"/>
  <c r="J145" i="1"/>
  <c r="I145" i="1"/>
  <c r="D145" i="1"/>
  <c r="C145" i="1"/>
  <c r="A145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B144" i="1"/>
  <c r="H144" i="1"/>
  <c r="G144" i="1"/>
  <c r="F144" i="1"/>
  <c r="E144" i="1"/>
  <c r="N144" i="1"/>
  <c r="M144" i="1"/>
  <c r="L144" i="1"/>
  <c r="K144" i="1"/>
  <c r="J144" i="1"/>
  <c r="I144" i="1"/>
  <c r="D144" i="1"/>
  <c r="C144" i="1"/>
  <c r="A144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B143" i="1"/>
  <c r="H143" i="1"/>
  <c r="G143" i="1"/>
  <c r="F143" i="1"/>
  <c r="E143" i="1"/>
  <c r="N143" i="1"/>
  <c r="M143" i="1"/>
  <c r="L143" i="1"/>
  <c r="K143" i="1"/>
  <c r="J143" i="1"/>
  <c r="I143" i="1"/>
  <c r="D143" i="1"/>
  <c r="C143" i="1"/>
  <c r="A143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B142" i="1"/>
  <c r="H142" i="1"/>
  <c r="G142" i="1"/>
  <c r="F142" i="1"/>
  <c r="E142" i="1"/>
  <c r="N142" i="1"/>
  <c r="M142" i="1"/>
  <c r="L142" i="1"/>
  <c r="K142" i="1"/>
  <c r="J142" i="1"/>
  <c r="I142" i="1"/>
  <c r="D142" i="1"/>
  <c r="C142" i="1"/>
  <c r="A142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B141" i="1"/>
  <c r="H141" i="1"/>
  <c r="G141" i="1"/>
  <c r="F141" i="1"/>
  <c r="E141" i="1"/>
  <c r="N141" i="1"/>
  <c r="M141" i="1"/>
  <c r="L141" i="1"/>
  <c r="K141" i="1"/>
  <c r="J141" i="1"/>
  <c r="I141" i="1"/>
  <c r="D141" i="1"/>
  <c r="C141" i="1"/>
  <c r="A141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B140" i="1"/>
  <c r="H140" i="1"/>
  <c r="G140" i="1"/>
  <c r="F140" i="1"/>
  <c r="E140" i="1"/>
  <c r="N140" i="1"/>
  <c r="M140" i="1"/>
  <c r="L140" i="1"/>
  <c r="K140" i="1"/>
  <c r="J140" i="1"/>
  <c r="I140" i="1"/>
  <c r="D140" i="1"/>
  <c r="C140" i="1"/>
  <c r="A140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B139" i="1"/>
  <c r="H139" i="1"/>
  <c r="G139" i="1"/>
  <c r="F139" i="1"/>
  <c r="E139" i="1"/>
  <c r="N139" i="1"/>
  <c r="M139" i="1"/>
  <c r="L139" i="1"/>
  <c r="K139" i="1"/>
  <c r="J139" i="1"/>
  <c r="I139" i="1"/>
  <c r="D139" i="1"/>
  <c r="C139" i="1"/>
  <c r="A139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B138" i="1"/>
  <c r="H138" i="1"/>
  <c r="G138" i="1"/>
  <c r="F138" i="1"/>
  <c r="E138" i="1"/>
  <c r="N138" i="1"/>
  <c r="M138" i="1"/>
  <c r="L138" i="1"/>
  <c r="K138" i="1"/>
  <c r="J138" i="1"/>
  <c r="I138" i="1"/>
  <c r="D138" i="1"/>
  <c r="C138" i="1"/>
  <c r="A138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B137" i="1"/>
  <c r="H137" i="1"/>
  <c r="G137" i="1"/>
  <c r="F137" i="1"/>
  <c r="E137" i="1"/>
  <c r="N137" i="1"/>
  <c r="M137" i="1"/>
  <c r="L137" i="1"/>
  <c r="K137" i="1"/>
  <c r="J137" i="1"/>
  <c r="I137" i="1"/>
  <c r="D137" i="1"/>
  <c r="C137" i="1"/>
  <c r="A137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B136" i="1"/>
  <c r="H136" i="1"/>
  <c r="G136" i="1"/>
  <c r="F136" i="1"/>
  <c r="E136" i="1"/>
  <c r="N136" i="1"/>
  <c r="M136" i="1"/>
  <c r="L136" i="1"/>
  <c r="K136" i="1"/>
  <c r="J136" i="1"/>
  <c r="I136" i="1"/>
  <c r="D136" i="1"/>
  <c r="C136" i="1"/>
  <c r="A136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B135" i="1"/>
  <c r="H135" i="1"/>
  <c r="G135" i="1"/>
  <c r="F135" i="1"/>
  <c r="E135" i="1"/>
  <c r="N135" i="1"/>
  <c r="M135" i="1"/>
  <c r="L135" i="1"/>
  <c r="K135" i="1"/>
  <c r="J135" i="1"/>
  <c r="I135" i="1"/>
  <c r="D135" i="1"/>
  <c r="C135" i="1"/>
  <c r="A135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B134" i="1"/>
  <c r="H134" i="1"/>
  <c r="G134" i="1"/>
  <c r="F134" i="1"/>
  <c r="E134" i="1"/>
  <c r="N134" i="1"/>
  <c r="M134" i="1"/>
  <c r="L134" i="1"/>
  <c r="K134" i="1"/>
  <c r="J134" i="1"/>
  <c r="I134" i="1"/>
  <c r="D134" i="1"/>
  <c r="C134" i="1"/>
  <c r="A134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B133" i="1"/>
  <c r="H133" i="1"/>
  <c r="G133" i="1"/>
  <c r="F133" i="1"/>
  <c r="E133" i="1"/>
  <c r="N133" i="1"/>
  <c r="M133" i="1"/>
  <c r="L133" i="1"/>
  <c r="K133" i="1"/>
  <c r="J133" i="1"/>
  <c r="I133" i="1"/>
  <c r="D133" i="1"/>
  <c r="C133" i="1"/>
  <c r="A133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B132" i="1"/>
  <c r="H132" i="1"/>
  <c r="G132" i="1"/>
  <c r="F132" i="1"/>
  <c r="E132" i="1"/>
  <c r="N132" i="1"/>
  <c r="M132" i="1"/>
  <c r="L132" i="1"/>
  <c r="K132" i="1"/>
  <c r="J132" i="1"/>
  <c r="I132" i="1"/>
  <c r="D132" i="1"/>
  <c r="C132" i="1"/>
  <c r="A132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B131" i="1"/>
  <c r="H131" i="1"/>
  <c r="G131" i="1"/>
  <c r="F131" i="1"/>
  <c r="E131" i="1"/>
  <c r="N131" i="1"/>
  <c r="M131" i="1"/>
  <c r="L131" i="1"/>
  <c r="K131" i="1"/>
  <c r="J131" i="1"/>
  <c r="I131" i="1"/>
  <c r="D131" i="1"/>
  <c r="C131" i="1"/>
  <c r="A131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B130" i="1"/>
  <c r="H130" i="1"/>
  <c r="G130" i="1"/>
  <c r="F130" i="1"/>
  <c r="E130" i="1"/>
  <c r="N130" i="1"/>
  <c r="M130" i="1"/>
  <c r="L130" i="1"/>
  <c r="K130" i="1"/>
  <c r="J130" i="1"/>
  <c r="I130" i="1"/>
  <c r="D130" i="1"/>
  <c r="C130" i="1"/>
  <c r="A130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B129" i="1"/>
  <c r="H129" i="1"/>
  <c r="G129" i="1"/>
  <c r="F129" i="1"/>
  <c r="E129" i="1"/>
  <c r="M129" i="1"/>
  <c r="L129" i="1"/>
  <c r="K129" i="1"/>
  <c r="J129" i="1"/>
  <c r="I129" i="1"/>
  <c r="D129" i="1"/>
  <c r="C129" i="1"/>
  <c r="A129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B128" i="1"/>
  <c r="H128" i="1"/>
  <c r="G128" i="1"/>
  <c r="F128" i="1"/>
  <c r="E128" i="1"/>
  <c r="N128" i="1"/>
  <c r="M128" i="1"/>
  <c r="L128" i="1"/>
  <c r="K128" i="1"/>
  <c r="J128" i="1"/>
  <c r="I128" i="1"/>
  <c r="D128" i="1"/>
  <c r="C128" i="1"/>
  <c r="A128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B127" i="1"/>
  <c r="H127" i="1"/>
  <c r="G127" i="1"/>
  <c r="F127" i="1"/>
  <c r="E127" i="1"/>
  <c r="N127" i="1"/>
  <c r="M127" i="1"/>
  <c r="L127" i="1"/>
  <c r="K127" i="1"/>
  <c r="J127" i="1"/>
  <c r="I127" i="1"/>
  <c r="D127" i="1"/>
  <c r="C127" i="1"/>
  <c r="A127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B126" i="1"/>
  <c r="H126" i="1"/>
  <c r="G126" i="1"/>
  <c r="F126" i="1"/>
  <c r="E126" i="1"/>
  <c r="N126" i="1"/>
  <c r="M126" i="1"/>
  <c r="L126" i="1"/>
  <c r="K126" i="1"/>
  <c r="J126" i="1"/>
  <c r="I126" i="1"/>
  <c r="D126" i="1"/>
  <c r="C126" i="1"/>
  <c r="A126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B125" i="1"/>
  <c r="H125" i="1"/>
  <c r="G125" i="1"/>
  <c r="F125" i="1"/>
  <c r="E125" i="1"/>
  <c r="N125" i="1"/>
  <c r="M125" i="1"/>
  <c r="L125" i="1"/>
  <c r="K125" i="1"/>
  <c r="J125" i="1"/>
  <c r="I125" i="1"/>
  <c r="D125" i="1"/>
  <c r="C125" i="1"/>
  <c r="A125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B124" i="1"/>
  <c r="H124" i="1"/>
  <c r="G124" i="1"/>
  <c r="F124" i="1"/>
  <c r="E124" i="1"/>
  <c r="N124" i="1"/>
  <c r="M124" i="1"/>
  <c r="L124" i="1"/>
  <c r="K124" i="1"/>
  <c r="J124" i="1"/>
  <c r="I124" i="1"/>
  <c r="D124" i="1"/>
  <c r="C124" i="1"/>
  <c r="A124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B123" i="1"/>
  <c r="H123" i="1"/>
  <c r="G123" i="1"/>
  <c r="F123" i="1"/>
  <c r="E123" i="1"/>
  <c r="N123" i="1"/>
  <c r="M123" i="1"/>
  <c r="L123" i="1"/>
  <c r="K123" i="1"/>
  <c r="J123" i="1"/>
  <c r="I123" i="1"/>
  <c r="D123" i="1"/>
  <c r="C123" i="1"/>
  <c r="A123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B122" i="1"/>
  <c r="H122" i="1"/>
  <c r="G122" i="1"/>
  <c r="F122" i="1"/>
  <c r="E122" i="1"/>
  <c r="N122" i="1"/>
  <c r="M122" i="1"/>
  <c r="L122" i="1"/>
  <c r="K122" i="1"/>
  <c r="J122" i="1"/>
  <c r="I122" i="1"/>
  <c r="D122" i="1"/>
  <c r="C122" i="1"/>
  <c r="A122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B121" i="1"/>
  <c r="H121" i="1"/>
  <c r="G121" i="1"/>
  <c r="F121" i="1"/>
  <c r="E121" i="1"/>
  <c r="N121" i="1"/>
  <c r="M121" i="1"/>
  <c r="L121" i="1"/>
  <c r="K121" i="1"/>
  <c r="J121" i="1"/>
  <c r="I121" i="1"/>
  <c r="D121" i="1"/>
  <c r="C121" i="1"/>
  <c r="A121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B120" i="1"/>
  <c r="H120" i="1"/>
  <c r="G120" i="1"/>
  <c r="F120" i="1"/>
  <c r="E120" i="1"/>
  <c r="N120" i="1"/>
  <c r="M120" i="1"/>
  <c r="L120" i="1"/>
  <c r="K120" i="1"/>
  <c r="J120" i="1"/>
  <c r="I120" i="1"/>
  <c r="D120" i="1"/>
  <c r="C120" i="1"/>
  <c r="A120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B119" i="1"/>
  <c r="H119" i="1"/>
  <c r="G119" i="1"/>
  <c r="F119" i="1"/>
  <c r="E119" i="1"/>
  <c r="M119" i="1"/>
  <c r="L119" i="1"/>
  <c r="K119" i="1"/>
  <c r="J119" i="1"/>
  <c r="I119" i="1"/>
  <c r="D119" i="1"/>
  <c r="C119" i="1"/>
  <c r="A119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B118" i="1"/>
  <c r="H118" i="1"/>
  <c r="G118" i="1"/>
  <c r="F118" i="1"/>
  <c r="E118" i="1"/>
  <c r="N118" i="1"/>
  <c r="M118" i="1"/>
  <c r="L118" i="1"/>
  <c r="K118" i="1"/>
  <c r="J118" i="1"/>
  <c r="I118" i="1"/>
  <c r="D118" i="1"/>
  <c r="C118" i="1"/>
  <c r="A118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B117" i="1"/>
  <c r="H117" i="1"/>
  <c r="G117" i="1"/>
  <c r="F117" i="1"/>
  <c r="E117" i="1"/>
  <c r="N117" i="1"/>
  <c r="M117" i="1"/>
  <c r="L117" i="1"/>
  <c r="K117" i="1"/>
  <c r="J117" i="1"/>
  <c r="I117" i="1"/>
  <c r="D117" i="1"/>
  <c r="C117" i="1"/>
  <c r="A117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B116" i="1"/>
  <c r="H116" i="1"/>
  <c r="G116" i="1"/>
  <c r="F116" i="1"/>
  <c r="E116" i="1"/>
  <c r="N116" i="1"/>
  <c r="M116" i="1"/>
  <c r="L116" i="1"/>
  <c r="K116" i="1"/>
  <c r="J116" i="1"/>
  <c r="I116" i="1"/>
  <c r="D116" i="1"/>
  <c r="C116" i="1"/>
  <c r="A116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B115" i="1"/>
  <c r="H115" i="1"/>
  <c r="G115" i="1"/>
  <c r="F115" i="1"/>
  <c r="E115" i="1"/>
  <c r="N115" i="1"/>
  <c r="M115" i="1"/>
  <c r="L115" i="1"/>
  <c r="K115" i="1"/>
  <c r="J115" i="1"/>
  <c r="I115" i="1"/>
  <c r="D115" i="1"/>
  <c r="C115" i="1"/>
  <c r="A115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B114" i="1"/>
  <c r="H114" i="1"/>
  <c r="G114" i="1"/>
  <c r="F114" i="1"/>
  <c r="E114" i="1"/>
  <c r="N114" i="1"/>
  <c r="M114" i="1"/>
  <c r="L114" i="1"/>
  <c r="K114" i="1"/>
  <c r="J114" i="1"/>
  <c r="I114" i="1"/>
  <c r="D114" i="1"/>
  <c r="C114" i="1"/>
  <c r="A114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B113" i="1"/>
  <c r="H113" i="1"/>
  <c r="G113" i="1"/>
  <c r="F113" i="1"/>
  <c r="E113" i="1"/>
  <c r="N113" i="1"/>
  <c r="M113" i="1"/>
  <c r="L113" i="1"/>
  <c r="K113" i="1"/>
  <c r="J113" i="1"/>
  <c r="I113" i="1"/>
  <c r="D113" i="1"/>
  <c r="C113" i="1"/>
  <c r="A113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B112" i="1"/>
  <c r="H112" i="1"/>
  <c r="G112" i="1"/>
  <c r="F112" i="1"/>
  <c r="E112" i="1"/>
  <c r="N112" i="1"/>
  <c r="M112" i="1"/>
  <c r="L112" i="1"/>
  <c r="K112" i="1"/>
  <c r="J112" i="1"/>
  <c r="I112" i="1"/>
  <c r="D112" i="1"/>
  <c r="C112" i="1"/>
  <c r="A112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B111" i="1"/>
  <c r="H111" i="1"/>
  <c r="G111" i="1"/>
  <c r="F111" i="1"/>
  <c r="E111" i="1"/>
  <c r="N111" i="1"/>
  <c r="M111" i="1"/>
  <c r="L111" i="1"/>
  <c r="K111" i="1"/>
  <c r="J111" i="1"/>
  <c r="I111" i="1"/>
  <c r="D111" i="1"/>
  <c r="C111" i="1"/>
  <c r="A111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B110" i="1"/>
  <c r="H110" i="1"/>
  <c r="G110" i="1"/>
  <c r="F110" i="1"/>
  <c r="E110" i="1"/>
  <c r="N110" i="1"/>
  <c r="M110" i="1"/>
  <c r="L110" i="1"/>
  <c r="K110" i="1"/>
  <c r="J110" i="1"/>
  <c r="I110" i="1"/>
  <c r="D110" i="1"/>
  <c r="C110" i="1"/>
  <c r="A110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B109" i="1"/>
  <c r="H109" i="1"/>
  <c r="G109" i="1"/>
  <c r="F109" i="1"/>
  <c r="E109" i="1"/>
  <c r="N109" i="1"/>
  <c r="M109" i="1"/>
  <c r="L109" i="1"/>
  <c r="K109" i="1"/>
  <c r="J109" i="1"/>
  <c r="I109" i="1"/>
  <c r="D109" i="1"/>
  <c r="C109" i="1"/>
  <c r="A109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B108" i="1"/>
  <c r="H108" i="1"/>
  <c r="G108" i="1"/>
  <c r="F108" i="1"/>
  <c r="E108" i="1"/>
  <c r="N108" i="1"/>
  <c r="M108" i="1"/>
  <c r="L108" i="1"/>
  <c r="K108" i="1"/>
  <c r="J108" i="1"/>
  <c r="I108" i="1"/>
  <c r="D108" i="1"/>
  <c r="C108" i="1"/>
  <c r="A108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B107" i="1"/>
  <c r="H107" i="1"/>
  <c r="G107" i="1"/>
  <c r="F107" i="1"/>
  <c r="E107" i="1"/>
  <c r="N107" i="1"/>
  <c r="M107" i="1"/>
  <c r="L107" i="1"/>
  <c r="K107" i="1"/>
  <c r="J107" i="1"/>
  <c r="I107" i="1"/>
  <c r="D107" i="1"/>
  <c r="C107" i="1"/>
  <c r="A107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B106" i="1"/>
  <c r="H106" i="1"/>
  <c r="G106" i="1"/>
  <c r="F106" i="1"/>
  <c r="E106" i="1"/>
  <c r="N106" i="1"/>
  <c r="M106" i="1"/>
  <c r="L106" i="1"/>
  <c r="K106" i="1"/>
  <c r="J106" i="1"/>
  <c r="I106" i="1"/>
  <c r="D106" i="1"/>
  <c r="C106" i="1"/>
  <c r="A106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B105" i="1"/>
  <c r="H105" i="1"/>
  <c r="G105" i="1"/>
  <c r="F105" i="1"/>
  <c r="E105" i="1"/>
  <c r="N105" i="1"/>
  <c r="M105" i="1"/>
  <c r="L105" i="1"/>
  <c r="K105" i="1"/>
  <c r="J105" i="1"/>
  <c r="I105" i="1"/>
  <c r="D105" i="1"/>
  <c r="C105" i="1"/>
  <c r="A105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B104" i="1"/>
  <c r="H104" i="1"/>
  <c r="G104" i="1"/>
  <c r="F104" i="1"/>
  <c r="E104" i="1"/>
  <c r="N104" i="1"/>
  <c r="M104" i="1"/>
  <c r="L104" i="1"/>
  <c r="K104" i="1"/>
  <c r="J104" i="1"/>
  <c r="I104" i="1"/>
  <c r="D104" i="1"/>
  <c r="C104" i="1"/>
  <c r="A104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B103" i="1"/>
  <c r="H103" i="1"/>
  <c r="G103" i="1"/>
  <c r="F103" i="1"/>
  <c r="E103" i="1"/>
  <c r="N103" i="1"/>
  <c r="M103" i="1"/>
  <c r="L103" i="1"/>
  <c r="K103" i="1"/>
  <c r="J103" i="1"/>
  <c r="I103" i="1"/>
  <c r="D103" i="1"/>
  <c r="C103" i="1"/>
  <c r="A103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B102" i="1"/>
  <c r="H102" i="1"/>
  <c r="G102" i="1"/>
  <c r="F102" i="1"/>
  <c r="E102" i="1"/>
  <c r="N102" i="1"/>
  <c r="M102" i="1"/>
  <c r="L102" i="1"/>
  <c r="K102" i="1"/>
  <c r="J102" i="1"/>
  <c r="I102" i="1"/>
  <c r="D102" i="1"/>
  <c r="C102" i="1"/>
  <c r="A102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B101" i="1"/>
  <c r="H101" i="1"/>
  <c r="G101" i="1"/>
  <c r="F101" i="1"/>
  <c r="E101" i="1"/>
  <c r="N101" i="1"/>
  <c r="M101" i="1"/>
  <c r="L101" i="1"/>
  <c r="K101" i="1"/>
  <c r="J101" i="1"/>
  <c r="I101" i="1"/>
  <c r="D101" i="1"/>
  <c r="C101" i="1"/>
  <c r="A101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B100" i="1"/>
  <c r="H100" i="1"/>
  <c r="G100" i="1"/>
  <c r="F100" i="1"/>
  <c r="E100" i="1"/>
  <c r="N100" i="1"/>
  <c r="M100" i="1"/>
  <c r="L100" i="1"/>
  <c r="K100" i="1"/>
  <c r="J100" i="1"/>
  <c r="I100" i="1"/>
  <c r="D100" i="1"/>
  <c r="C100" i="1"/>
  <c r="A100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B99" i="1"/>
  <c r="H99" i="1"/>
  <c r="G99" i="1"/>
  <c r="F99" i="1"/>
  <c r="E99" i="1"/>
  <c r="N99" i="1"/>
  <c r="M99" i="1"/>
  <c r="L99" i="1"/>
  <c r="K99" i="1"/>
  <c r="J99" i="1"/>
  <c r="I99" i="1"/>
  <c r="D99" i="1"/>
  <c r="C99" i="1"/>
  <c r="A99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B98" i="1"/>
  <c r="H98" i="1"/>
  <c r="G98" i="1"/>
  <c r="F98" i="1"/>
  <c r="E98" i="1"/>
  <c r="N98" i="1"/>
  <c r="M98" i="1"/>
  <c r="L98" i="1"/>
  <c r="K98" i="1"/>
  <c r="J98" i="1"/>
  <c r="I98" i="1"/>
  <c r="D98" i="1"/>
  <c r="C98" i="1"/>
  <c r="A98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B97" i="1"/>
  <c r="H97" i="1"/>
  <c r="G97" i="1"/>
  <c r="F97" i="1"/>
  <c r="E97" i="1"/>
  <c r="N97" i="1"/>
  <c r="M97" i="1"/>
  <c r="L97" i="1"/>
  <c r="K97" i="1"/>
  <c r="J97" i="1"/>
  <c r="I97" i="1"/>
  <c r="D97" i="1"/>
  <c r="C97" i="1"/>
  <c r="A97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B96" i="1"/>
  <c r="H96" i="1"/>
  <c r="G96" i="1"/>
  <c r="F96" i="1"/>
  <c r="E96" i="1"/>
  <c r="N96" i="1"/>
  <c r="M96" i="1"/>
  <c r="L96" i="1"/>
  <c r="K96" i="1"/>
  <c r="J96" i="1"/>
  <c r="I96" i="1"/>
  <c r="D96" i="1"/>
  <c r="C96" i="1"/>
  <c r="A96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B95" i="1"/>
  <c r="H95" i="1"/>
  <c r="G95" i="1"/>
  <c r="F95" i="1"/>
  <c r="E95" i="1"/>
  <c r="M95" i="1"/>
  <c r="L95" i="1"/>
  <c r="K95" i="1"/>
  <c r="J95" i="1"/>
  <c r="I95" i="1"/>
  <c r="D95" i="1"/>
  <c r="C95" i="1"/>
  <c r="A95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B94" i="1"/>
  <c r="H94" i="1"/>
  <c r="G94" i="1"/>
  <c r="F94" i="1"/>
  <c r="E94" i="1"/>
  <c r="N94" i="1"/>
  <c r="M94" i="1"/>
  <c r="L94" i="1"/>
  <c r="K94" i="1"/>
  <c r="J94" i="1"/>
  <c r="I94" i="1"/>
  <c r="D94" i="1"/>
  <c r="C94" i="1"/>
  <c r="A94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B93" i="1"/>
  <c r="H93" i="1"/>
  <c r="G93" i="1"/>
  <c r="F93" i="1"/>
  <c r="E93" i="1"/>
  <c r="N93" i="1"/>
  <c r="M93" i="1"/>
  <c r="L93" i="1"/>
  <c r="K93" i="1"/>
  <c r="J93" i="1"/>
  <c r="I93" i="1"/>
  <c r="D93" i="1"/>
  <c r="C93" i="1"/>
  <c r="A93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B92" i="1"/>
  <c r="H92" i="1"/>
  <c r="G92" i="1"/>
  <c r="F92" i="1"/>
  <c r="E92" i="1"/>
  <c r="N92" i="1"/>
  <c r="M92" i="1"/>
  <c r="L92" i="1"/>
  <c r="K92" i="1"/>
  <c r="J92" i="1"/>
  <c r="I92" i="1"/>
  <c r="D92" i="1"/>
  <c r="C92" i="1"/>
  <c r="A92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B91" i="1"/>
  <c r="H91" i="1"/>
  <c r="G91" i="1"/>
  <c r="F91" i="1"/>
  <c r="E91" i="1"/>
  <c r="N91" i="1"/>
  <c r="M91" i="1"/>
  <c r="L91" i="1"/>
  <c r="K91" i="1"/>
  <c r="J91" i="1"/>
  <c r="I91" i="1"/>
  <c r="D91" i="1"/>
  <c r="C91" i="1"/>
  <c r="A91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B90" i="1"/>
  <c r="H90" i="1"/>
  <c r="G90" i="1"/>
  <c r="F90" i="1"/>
  <c r="E90" i="1"/>
  <c r="N90" i="1"/>
  <c r="M90" i="1"/>
  <c r="L90" i="1"/>
  <c r="K90" i="1"/>
  <c r="J90" i="1"/>
  <c r="I90" i="1"/>
  <c r="D90" i="1"/>
  <c r="C90" i="1"/>
  <c r="A90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B89" i="1"/>
  <c r="H89" i="1"/>
  <c r="G89" i="1"/>
  <c r="F89" i="1"/>
  <c r="E89" i="1"/>
  <c r="N89" i="1"/>
  <c r="M89" i="1"/>
  <c r="L89" i="1"/>
  <c r="K89" i="1"/>
  <c r="J89" i="1"/>
  <c r="I89" i="1"/>
  <c r="D89" i="1"/>
  <c r="C89" i="1"/>
  <c r="A89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B88" i="1"/>
  <c r="H88" i="1"/>
  <c r="G88" i="1"/>
  <c r="F88" i="1"/>
  <c r="E88" i="1"/>
  <c r="N88" i="1"/>
  <c r="M88" i="1"/>
  <c r="L88" i="1"/>
  <c r="K88" i="1"/>
  <c r="J88" i="1"/>
  <c r="I88" i="1"/>
  <c r="D88" i="1"/>
  <c r="C88" i="1"/>
  <c r="A88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B87" i="1"/>
  <c r="H87" i="1"/>
  <c r="G87" i="1"/>
  <c r="F87" i="1"/>
  <c r="E87" i="1"/>
  <c r="N87" i="1"/>
  <c r="M87" i="1"/>
  <c r="L87" i="1"/>
  <c r="K87" i="1"/>
  <c r="J87" i="1"/>
  <c r="I87" i="1"/>
  <c r="D87" i="1"/>
  <c r="C87" i="1"/>
  <c r="A87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B86" i="1"/>
  <c r="H86" i="1"/>
  <c r="G86" i="1"/>
  <c r="F86" i="1"/>
  <c r="E86" i="1"/>
  <c r="N86" i="1"/>
  <c r="M86" i="1"/>
  <c r="L86" i="1"/>
  <c r="K86" i="1"/>
  <c r="J86" i="1"/>
  <c r="I86" i="1"/>
  <c r="D86" i="1"/>
  <c r="C86" i="1"/>
  <c r="A86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B85" i="1"/>
  <c r="H85" i="1"/>
  <c r="G85" i="1"/>
  <c r="F85" i="1"/>
  <c r="E85" i="1"/>
  <c r="N85" i="1"/>
  <c r="M85" i="1"/>
  <c r="L85" i="1"/>
  <c r="K85" i="1"/>
  <c r="J85" i="1"/>
  <c r="I85" i="1"/>
  <c r="D85" i="1"/>
  <c r="C85" i="1"/>
  <c r="A85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B84" i="1"/>
  <c r="H84" i="1"/>
  <c r="G84" i="1"/>
  <c r="F84" i="1"/>
  <c r="E84" i="1"/>
  <c r="N84" i="1"/>
  <c r="M84" i="1"/>
  <c r="L84" i="1"/>
  <c r="K84" i="1"/>
  <c r="J84" i="1"/>
  <c r="I84" i="1"/>
  <c r="D84" i="1"/>
  <c r="C84" i="1"/>
  <c r="A84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B83" i="1"/>
  <c r="H83" i="1"/>
  <c r="G83" i="1"/>
  <c r="F83" i="1"/>
  <c r="E83" i="1"/>
  <c r="N83" i="1"/>
  <c r="M83" i="1"/>
  <c r="L83" i="1"/>
  <c r="K83" i="1"/>
  <c r="J83" i="1"/>
  <c r="I83" i="1"/>
  <c r="D83" i="1"/>
  <c r="C83" i="1"/>
  <c r="A83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B82" i="1"/>
  <c r="H82" i="1"/>
  <c r="G82" i="1"/>
  <c r="F82" i="1"/>
  <c r="E82" i="1"/>
  <c r="N82" i="1"/>
  <c r="M82" i="1"/>
  <c r="L82" i="1"/>
  <c r="K82" i="1"/>
  <c r="J82" i="1"/>
  <c r="I82" i="1"/>
  <c r="D82" i="1"/>
  <c r="C82" i="1"/>
  <c r="A82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B81" i="1"/>
  <c r="H81" i="1"/>
  <c r="G81" i="1"/>
  <c r="F81" i="1"/>
  <c r="E81" i="1"/>
  <c r="N81" i="1"/>
  <c r="M81" i="1"/>
  <c r="L81" i="1"/>
  <c r="K81" i="1"/>
  <c r="J81" i="1"/>
  <c r="I81" i="1"/>
  <c r="D81" i="1"/>
  <c r="C81" i="1"/>
  <c r="A81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B80" i="1"/>
  <c r="H80" i="1"/>
  <c r="G80" i="1"/>
  <c r="F80" i="1"/>
  <c r="E80" i="1"/>
  <c r="N80" i="1"/>
  <c r="M80" i="1"/>
  <c r="L80" i="1"/>
  <c r="K80" i="1"/>
  <c r="J80" i="1"/>
  <c r="I80" i="1"/>
  <c r="D80" i="1"/>
  <c r="C80" i="1"/>
  <c r="A80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B79" i="1"/>
  <c r="H79" i="1"/>
  <c r="G79" i="1"/>
  <c r="F79" i="1"/>
  <c r="E79" i="1"/>
  <c r="N79" i="1"/>
  <c r="M79" i="1"/>
  <c r="L79" i="1"/>
  <c r="K79" i="1"/>
  <c r="J79" i="1"/>
  <c r="I79" i="1"/>
  <c r="D79" i="1"/>
  <c r="C79" i="1"/>
  <c r="A79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B78" i="1"/>
  <c r="H78" i="1"/>
  <c r="G78" i="1"/>
  <c r="F78" i="1"/>
  <c r="E78" i="1"/>
  <c r="N78" i="1"/>
  <c r="M78" i="1"/>
  <c r="L78" i="1"/>
  <c r="K78" i="1"/>
  <c r="J78" i="1"/>
  <c r="I78" i="1"/>
  <c r="D78" i="1"/>
  <c r="C78" i="1"/>
  <c r="A78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B77" i="1"/>
  <c r="H77" i="1"/>
  <c r="G77" i="1"/>
  <c r="F77" i="1"/>
  <c r="E77" i="1"/>
  <c r="N77" i="1"/>
  <c r="M77" i="1"/>
  <c r="L77" i="1"/>
  <c r="K77" i="1"/>
  <c r="J77" i="1"/>
  <c r="I77" i="1"/>
  <c r="D77" i="1"/>
  <c r="C77" i="1"/>
  <c r="A77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B76" i="1"/>
  <c r="H76" i="1"/>
  <c r="G76" i="1"/>
  <c r="F76" i="1"/>
  <c r="E76" i="1"/>
  <c r="N76" i="1"/>
  <c r="M76" i="1"/>
  <c r="L76" i="1"/>
  <c r="K76" i="1"/>
  <c r="J76" i="1"/>
  <c r="I76" i="1"/>
  <c r="D76" i="1"/>
  <c r="C76" i="1"/>
  <c r="A76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B75" i="1"/>
  <c r="H75" i="1"/>
  <c r="G75" i="1"/>
  <c r="F75" i="1"/>
  <c r="E75" i="1"/>
  <c r="N75" i="1"/>
  <c r="M75" i="1"/>
  <c r="L75" i="1"/>
  <c r="K75" i="1"/>
  <c r="J75" i="1"/>
  <c r="I75" i="1"/>
  <c r="D75" i="1"/>
  <c r="C75" i="1"/>
  <c r="A75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B74" i="1"/>
  <c r="H74" i="1"/>
  <c r="G74" i="1"/>
  <c r="F74" i="1"/>
  <c r="E74" i="1"/>
  <c r="N74" i="1"/>
  <c r="M74" i="1"/>
  <c r="L74" i="1"/>
  <c r="K74" i="1"/>
  <c r="J74" i="1"/>
  <c r="I74" i="1"/>
  <c r="D74" i="1"/>
  <c r="C74" i="1"/>
  <c r="A74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B73" i="1"/>
  <c r="H73" i="1"/>
  <c r="G73" i="1"/>
  <c r="F73" i="1"/>
  <c r="E73" i="1"/>
  <c r="N73" i="1"/>
  <c r="M73" i="1"/>
  <c r="L73" i="1"/>
  <c r="K73" i="1"/>
  <c r="J73" i="1"/>
  <c r="I73" i="1"/>
  <c r="D73" i="1"/>
  <c r="C73" i="1"/>
  <c r="A73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B72" i="1"/>
  <c r="H72" i="1"/>
  <c r="G72" i="1"/>
  <c r="F72" i="1"/>
  <c r="E72" i="1"/>
  <c r="N72" i="1"/>
  <c r="M72" i="1"/>
  <c r="L72" i="1"/>
  <c r="K72" i="1"/>
  <c r="J72" i="1"/>
  <c r="I72" i="1"/>
  <c r="D72" i="1"/>
  <c r="C72" i="1"/>
  <c r="A72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B71" i="1"/>
  <c r="H71" i="1"/>
  <c r="G71" i="1"/>
  <c r="F71" i="1"/>
  <c r="E71" i="1"/>
  <c r="N71" i="1"/>
  <c r="M71" i="1"/>
  <c r="L71" i="1"/>
  <c r="K71" i="1"/>
  <c r="J71" i="1"/>
  <c r="I71" i="1"/>
  <c r="D71" i="1"/>
  <c r="C71" i="1"/>
  <c r="A71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B70" i="1"/>
  <c r="H70" i="1"/>
  <c r="G70" i="1"/>
  <c r="F70" i="1"/>
  <c r="E70" i="1"/>
  <c r="N70" i="1"/>
  <c r="M70" i="1"/>
  <c r="L70" i="1"/>
  <c r="K70" i="1"/>
  <c r="J70" i="1"/>
  <c r="I70" i="1"/>
  <c r="D70" i="1"/>
  <c r="C70" i="1"/>
  <c r="A70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B69" i="1"/>
  <c r="H69" i="1"/>
  <c r="G69" i="1"/>
  <c r="F69" i="1"/>
  <c r="E69" i="1"/>
  <c r="N69" i="1"/>
  <c r="M69" i="1"/>
  <c r="L69" i="1"/>
  <c r="K69" i="1"/>
  <c r="J69" i="1"/>
  <c r="I69" i="1"/>
  <c r="D69" i="1"/>
  <c r="C69" i="1"/>
  <c r="A69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B68" i="1"/>
  <c r="H68" i="1"/>
  <c r="G68" i="1"/>
  <c r="F68" i="1"/>
  <c r="E68" i="1"/>
  <c r="N68" i="1"/>
  <c r="M68" i="1"/>
  <c r="L68" i="1"/>
  <c r="K68" i="1"/>
  <c r="J68" i="1"/>
  <c r="I68" i="1"/>
  <c r="D68" i="1"/>
  <c r="C68" i="1"/>
  <c r="A68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B67" i="1"/>
  <c r="H67" i="1"/>
  <c r="G67" i="1"/>
  <c r="F67" i="1"/>
  <c r="E67" i="1"/>
  <c r="N67" i="1"/>
  <c r="M67" i="1"/>
  <c r="L67" i="1"/>
  <c r="K67" i="1"/>
  <c r="J67" i="1"/>
  <c r="I67" i="1"/>
  <c r="D67" i="1"/>
  <c r="C67" i="1"/>
  <c r="A67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B66" i="1"/>
  <c r="H66" i="1"/>
  <c r="G66" i="1"/>
  <c r="F66" i="1"/>
  <c r="E66" i="1"/>
  <c r="N66" i="1"/>
  <c r="M66" i="1"/>
  <c r="L66" i="1"/>
  <c r="K66" i="1"/>
  <c r="J66" i="1"/>
  <c r="I66" i="1"/>
  <c r="D66" i="1"/>
  <c r="C66" i="1"/>
  <c r="A66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B65" i="1"/>
  <c r="H65" i="1"/>
  <c r="G65" i="1"/>
  <c r="F65" i="1"/>
  <c r="E65" i="1"/>
  <c r="N65" i="1"/>
  <c r="M65" i="1"/>
  <c r="L65" i="1"/>
  <c r="K65" i="1"/>
  <c r="J65" i="1"/>
  <c r="I65" i="1"/>
  <c r="D65" i="1"/>
  <c r="C65" i="1"/>
  <c r="A65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B64" i="1"/>
  <c r="H64" i="1"/>
  <c r="G64" i="1"/>
  <c r="F64" i="1"/>
  <c r="E64" i="1"/>
  <c r="N64" i="1"/>
  <c r="M64" i="1"/>
  <c r="L64" i="1"/>
  <c r="K64" i="1"/>
  <c r="J64" i="1"/>
  <c r="I64" i="1"/>
  <c r="D64" i="1"/>
  <c r="C64" i="1"/>
  <c r="A64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B63" i="1"/>
  <c r="H63" i="1"/>
  <c r="G63" i="1"/>
  <c r="F63" i="1"/>
  <c r="E63" i="1"/>
  <c r="N63" i="1"/>
  <c r="M63" i="1"/>
  <c r="L63" i="1"/>
  <c r="K63" i="1"/>
  <c r="J63" i="1"/>
  <c r="I63" i="1"/>
  <c r="D63" i="1"/>
  <c r="C63" i="1"/>
  <c r="A63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B62" i="1"/>
  <c r="H62" i="1"/>
  <c r="G62" i="1"/>
  <c r="F62" i="1"/>
  <c r="E62" i="1"/>
  <c r="N62" i="1"/>
  <c r="M62" i="1"/>
  <c r="L62" i="1"/>
  <c r="K62" i="1"/>
  <c r="J62" i="1"/>
  <c r="I62" i="1"/>
  <c r="D62" i="1"/>
  <c r="C62" i="1"/>
  <c r="A62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B61" i="1"/>
  <c r="H61" i="1"/>
  <c r="G61" i="1"/>
  <c r="F61" i="1"/>
  <c r="E61" i="1"/>
  <c r="N61" i="1"/>
  <c r="M61" i="1"/>
  <c r="L61" i="1"/>
  <c r="K61" i="1"/>
  <c r="J61" i="1"/>
  <c r="I61" i="1"/>
  <c r="D61" i="1"/>
  <c r="C61" i="1"/>
  <c r="A61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B60" i="1"/>
  <c r="H60" i="1"/>
  <c r="G60" i="1"/>
  <c r="F60" i="1"/>
  <c r="E60" i="1"/>
  <c r="N60" i="1"/>
  <c r="M60" i="1"/>
  <c r="L60" i="1"/>
  <c r="K60" i="1"/>
  <c r="J60" i="1"/>
  <c r="I60" i="1"/>
  <c r="D60" i="1"/>
  <c r="C60" i="1"/>
  <c r="A60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B59" i="1"/>
  <c r="H59" i="1"/>
  <c r="G59" i="1"/>
  <c r="F59" i="1"/>
  <c r="E59" i="1"/>
  <c r="N59" i="1"/>
  <c r="M59" i="1"/>
  <c r="L59" i="1"/>
  <c r="K59" i="1"/>
  <c r="J59" i="1"/>
  <c r="I59" i="1"/>
  <c r="D59" i="1"/>
  <c r="C59" i="1"/>
  <c r="A59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B58" i="1"/>
  <c r="H58" i="1"/>
  <c r="G58" i="1"/>
  <c r="F58" i="1"/>
  <c r="E58" i="1"/>
  <c r="N58" i="1"/>
  <c r="M58" i="1"/>
  <c r="L58" i="1"/>
  <c r="K58" i="1"/>
  <c r="J58" i="1"/>
  <c r="I58" i="1"/>
  <c r="D58" i="1"/>
  <c r="C58" i="1"/>
  <c r="A58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B57" i="1"/>
  <c r="H57" i="1"/>
  <c r="G57" i="1"/>
  <c r="F57" i="1"/>
  <c r="E57" i="1"/>
  <c r="M57" i="1"/>
  <c r="L57" i="1"/>
  <c r="K57" i="1"/>
  <c r="J57" i="1"/>
  <c r="I57" i="1"/>
  <c r="D57" i="1"/>
  <c r="C57" i="1"/>
  <c r="A57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B56" i="1"/>
  <c r="H56" i="1"/>
  <c r="G56" i="1"/>
  <c r="F56" i="1"/>
  <c r="E56" i="1"/>
  <c r="N56" i="1"/>
  <c r="M56" i="1"/>
  <c r="L56" i="1"/>
  <c r="K56" i="1"/>
  <c r="J56" i="1"/>
  <c r="I56" i="1"/>
  <c r="D56" i="1"/>
  <c r="C56" i="1"/>
  <c r="A56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B55" i="1"/>
  <c r="H55" i="1"/>
  <c r="G55" i="1"/>
  <c r="F55" i="1"/>
  <c r="E55" i="1"/>
  <c r="N55" i="1"/>
  <c r="M55" i="1"/>
  <c r="L55" i="1"/>
  <c r="K55" i="1"/>
  <c r="J55" i="1"/>
  <c r="I55" i="1"/>
  <c r="D55" i="1"/>
  <c r="C55" i="1"/>
  <c r="A55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B54" i="1"/>
  <c r="H54" i="1"/>
  <c r="G54" i="1"/>
  <c r="F54" i="1"/>
  <c r="E54" i="1"/>
  <c r="N54" i="1"/>
  <c r="M54" i="1"/>
  <c r="L54" i="1"/>
  <c r="K54" i="1"/>
  <c r="J54" i="1"/>
  <c r="I54" i="1"/>
  <c r="D54" i="1"/>
  <c r="C54" i="1"/>
  <c r="A54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B53" i="1"/>
  <c r="H53" i="1"/>
  <c r="G53" i="1"/>
  <c r="F53" i="1"/>
  <c r="E53" i="1"/>
  <c r="N53" i="1"/>
  <c r="M53" i="1"/>
  <c r="L53" i="1"/>
  <c r="K53" i="1"/>
  <c r="J53" i="1"/>
  <c r="I53" i="1"/>
  <c r="D53" i="1"/>
  <c r="C53" i="1"/>
  <c r="A53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B52" i="1"/>
  <c r="H52" i="1"/>
  <c r="G52" i="1"/>
  <c r="F52" i="1"/>
  <c r="E52" i="1"/>
  <c r="N52" i="1"/>
  <c r="M52" i="1"/>
  <c r="L52" i="1"/>
  <c r="K52" i="1"/>
  <c r="J52" i="1"/>
  <c r="I52" i="1"/>
  <c r="D52" i="1"/>
  <c r="C52" i="1"/>
  <c r="A52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B51" i="1"/>
  <c r="H51" i="1"/>
  <c r="G51" i="1"/>
  <c r="F51" i="1"/>
  <c r="E51" i="1"/>
  <c r="N51" i="1"/>
  <c r="M51" i="1"/>
  <c r="L51" i="1"/>
  <c r="K51" i="1"/>
  <c r="J51" i="1"/>
  <c r="I51" i="1"/>
  <c r="D51" i="1"/>
  <c r="C51" i="1"/>
  <c r="A51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B50" i="1"/>
  <c r="H50" i="1"/>
  <c r="G50" i="1"/>
  <c r="F50" i="1"/>
  <c r="E50" i="1"/>
  <c r="N50" i="1"/>
  <c r="M50" i="1"/>
  <c r="L50" i="1"/>
  <c r="K50" i="1"/>
  <c r="J50" i="1"/>
  <c r="I50" i="1"/>
  <c r="D50" i="1"/>
  <c r="C50" i="1"/>
  <c r="A50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B49" i="1"/>
  <c r="H49" i="1"/>
  <c r="G49" i="1"/>
  <c r="F49" i="1"/>
  <c r="E49" i="1"/>
  <c r="N49" i="1"/>
  <c r="M49" i="1"/>
  <c r="L49" i="1"/>
  <c r="K49" i="1"/>
  <c r="J49" i="1"/>
  <c r="I49" i="1"/>
  <c r="D49" i="1"/>
  <c r="C49" i="1"/>
  <c r="A49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B48" i="1"/>
  <c r="H48" i="1"/>
  <c r="G48" i="1"/>
  <c r="F48" i="1"/>
  <c r="E48" i="1"/>
  <c r="N48" i="1"/>
  <c r="M48" i="1"/>
  <c r="L48" i="1"/>
  <c r="K48" i="1"/>
  <c r="J48" i="1"/>
  <c r="I48" i="1"/>
  <c r="D48" i="1"/>
  <c r="C48" i="1"/>
  <c r="A48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B47" i="1"/>
  <c r="H47" i="1"/>
  <c r="G47" i="1"/>
  <c r="F47" i="1"/>
  <c r="E47" i="1"/>
  <c r="N47" i="1"/>
  <c r="M47" i="1"/>
  <c r="L47" i="1"/>
  <c r="K47" i="1"/>
  <c r="J47" i="1"/>
  <c r="I47" i="1"/>
  <c r="D47" i="1"/>
  <c r="C47" i="1"/>
  <c r="A47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B46" i="1"/>
  <c r="H46" i="1"/>
  <c r="G46" i="1"/>
  <c r="F46" i="1"/>
  <c r="E46" i="1"/>
  <c r="N46" i="1"/>
  <c r="M46" i="1"/>
  <c r="L46" i="1"/>
  <c r="K46" i="1"/>
  <c r="J46" i="1"/>
  <c r="I46" i="1"/>
  <c r="D46" i="1"/>
  <c r="C46" i="1"/>
  <c r="A46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B45" i="1"/>
  <c r="H45" i="1"/>
  <c r="G45" i="1"/>
  <c r="F45" i="1"/>
  <c r="E45" i="1"/>
  <c r="N45" i="1"/>
  <c r="M45" i="1"/>
  <c r="L45" i="1"/>
  <c r="K45" i="1"/>
  <c r="J45" i="1"/>
  <c r="I45" i="1"/>
  <c r="D45" i="1"/>
  <c r="C45" i="1"/>
  <c r="A45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B44" i="1"/>
  <c r="H44" i="1"/>
  <c r="G44" i="1"/>
  <c r="F44" i="1"/>
  <c r="E44" i="1"/>
  <c r="N44" i="1"/>
  <c r="M44" i="1"/>
  <c r="L44" i="1"/>
  <c r="K44" i="1"/>
  <c r="J44" i="1"/>
  <c r="I44" i="1"/>
  <c r="D44" i="1"/>
  <c r="C44" i="1"/>
  <c r="A44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B43" i="1"/>
  <c r="H43" i="1"/>
  <c r="G43" i="1"/>
  <c r="F43" i="1"/>
  <c r="E43" i="1"/>
  <c r="N43" i="1"/>
  <c r="M43" i="1"/>
  <c r="L43" i="1"/>
  <c r="K43" i="1"/>
  <c r="J43" i="1"/>
  <c r="I43" i="1"/>
  <c r="D43" i="1"/>
  <c r="C43" i="1"/>
  <c r="A43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B42" i="1"/>
  <c r="H42" i="1"/>
  <c r="G42" i="1"/>
  <c r="F42" i="1"/>
  <c r="E42" i="1"/>
  <c r="N42" i="1"/>
  <c r="M42" i="1"/>
  <c r="L42" i="1"/>
  <c r="K42" i="1"/>
  <c r="J42" i="1"/>
  <c r="I42" i="1"/>
  <c r="D42" i="1"/>
  <c r="C42" i="1"/>
  <c r="A42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B41" i="1"/>
  <c r="H41" i="1"/>
  <c r="G41" i="1"/>
  <c r="F41" i="1"/>
  <c r="E41" i="1"/>
  <c r="N41" i="1"/>
  <c r="M41" i="1"/>
  <c r="L41" i="1"/>
  <c r="K41" i="1"/>
  <c r="J41" i="1"/>
  <c r="I41" i="1"/>
  <c r="D41" i="1"/>
  <c r="C41" i="1"/>
  <c r="A41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B40" i="1"/>
  <c r="H40" i="1"/>
  <c r="G40" i="1"/>
  <c r="F40" i="1"/>
  <c r="E40" i="1"/>
  <c r="N40" i="1"/>
  <c r="M40" i="1"/>
  <c r="L40" i="1"/>
  <c r="K40" i="1"/>
  <c r="J40" i="1"/>
  <c r="I40" i="1"/>
  <c r="D40" i="1"/>
  <c r="C40" i="1"/>
  <c r="A40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B39" i="1"/>
  <c r="H39" i="1"/>
  <c r="G39" i="1"/>
  <c r="F39" i="1"/>
  <c r="E39" i="1"/>
  <c r="N39" i="1"/>
  <c r="M39" i="1"/>
  <c r="L39" i="1"/>
  <c r="K39" i="1"/>
  <c r="J39" i="1"/>
  <c r="I39" i="1"/>
  <c r="D39" i="1"/>
  <c r="C39" i="1"/>
  <c r="A39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B38" i="1"/>
  <c r="H38" i="1"/>
  <c r="G38" i="1"/>
  <c r="F38" i="1"/>
  <c r="E38" i="1"/>
  <c r="N38" i="1"/>
  <c r="M38" i="1"/>
  <c r="L38" i="1"/>
  <c r="K38" i="1"/>
  <c r="J38" i="1"/>
  <c r="I38" i="1"/>
  <c r="D38" i="1"/>
  <c r="C38" i="1"/>
  <c r="A38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B37" i="1"/>
  <c r="H37" i="1"/>
  <c r="G37" i="1"/>
  <c r="F37" i="1"/>
  <c r="E37" i="1"/>
  <c r="N37" i="1"/>
  <c r="M37" i="1"/>
  <c r="L37" i="1"/>
  <c r="K37" i="1"/>
  <c r="J37" i="1"/>
  <c r="I37" i="1"/>
  <c r="D37" i="1"/>
  <c r="C37" i="1"/>
  <c r="A37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B36" i="1"/>
  <c r="H36" i="1"/>
  <c r="G36" i="1"/>
  <c r="F36" i="1"/>
  <c r="E36" i="1"/>
  <c r="N36" i="1"/>
  <c r="M36" i="1"/>
  <c r="L36" i="1"/>
  <c r="K36" i="1"/>
  <c r="J36" i="1"/>
  <c r="I36" i="1"/>
  <c r="D36" i="1"/>
  <c r="C36" i="1"/>
  <c r="A36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B35" i="1"/>
  <c r="H35" i="1"/>
  <c r="G35" i="1"/>
  <c r="F35" i="1"/>
  <c r="E35" i="1"/>
  <c r="N35" i="1"/>
  <c r="M35" i="1"/>
  <c r="L35" i="1"/>
  <c r="K35" i="1"/>
  <c r="J35" i="1"/>
  <c r="I35" i="1"/>
  <c r="D35" i="1"/>
  <c r="C35" i="1"/>
  <c r="A35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B34" i="1"/>
  <c r="H34" i="1"/>
  <c r="G34" i="1"/>
  <c r="F34" i="1"/>
  <c r="E34" i="1"/>
  <c r="N34" i="1"/>
  <c r="M34" i="1"/>
  <c r="L34" i="1"/>
  <c r="K34" i="1"/>
  <c r="J34" i="1"/>
  <c r="I34" i="1"/>
  <c r="D34" i="1"/>
  <c r="C34" i="1"/>
  <c r="A34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B33" i="1"/>
  <c r="H33" i="1"/>
  <c r="G33" i="1"/>
  <c r="F33" i="1"/>
  <c r="E33" i="1"/>
  <c r="N33" i="1"/>
  <c r="M33" i="1"/>
  <c r="L33" i="1"/>
  <c r="K33" i="1"/>
  <c r="J33" i="1"/>
  <c r="I33" i="1"/>
  <c r="D33" i="1"/>
  <c r="C33" i="1"/>
  <c r="A33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B32" i="1"/>
  <c r="H32" i="1"/>
  <c r="G32" i="1"/>
  <c r="F32" i="1"/>
  <c r="E32" i="1"/>
  <c r="N32" i="1"/>
  <c r="M32" i="1"/>
  <c r="L32" i="1"/>
  <c r="K32" i="1"/>
  <c r="J32" i="1"/>
  <c r="I32" i="1"/>
  <c r="D32" i="1"/>
  <c r="C32" i="1"/>
  <c r="A32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B31" i="1"/>
  <c r="H31" i="1"/>
  <c r="G31" i="1"/>
  <c r="F31" i="1"/>
  <c r="E31" i="1"/>
  <c r="N31" i="1"/>
  <c r="M31" i="1"/>
  <c r="L31" i="1"/>
  <c r="K31" i="1"/>
  <c r="J31" i="1"/>
  <c r="I31" i="1"/>
  <c r="D31" i="1"/>
  <c r="C31" i="1"/>
  <c r="A31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B30" i="1"/>
  <c r="H30" i="1"/>
  <c r="G30" i="1"/>
  <c r="F30" i="1"/>
  <c r="E30" i="1"/>
  <c r="N30" i="1"/>
  <c r="M30" i="1"/>
  <c r="L30" i="1"/>
  <c r="K30" i="1"/>
  <c r="J30" i="1"/>
  <c r="I30" i="1"/>
  <c r="D30" i="1"/>
  <c r="C30" i="1"/>
  <c r="A30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B29" i="1"/>
  <c r="H29" i="1"/>
  <c r="G29" i="1"/>
  <c r="F29" i="1"/>
  <c r="E29" i="1"/>
  <c r="N29" i="1"/>
  <c r="M29" i="1"/>
  <c r="L29" i="1"/>
  <c r="K29" i="1"/>
  <c r="J29" i="1"/>
  <c r="I29" i="1"/>
  <c r="D29" i="1"/>
  <c r="C29" i="1"/>
  <c r="A29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B28" i="1"/>
  <c r="H28" i="1"/>
  <c r="G28" i="1"/>
  <c r="F28" i="1"/>
  <c r="E28" i="1"/>
  <c r="N28" i="1"/>
  <c r="M28" i="1"/>
  <c r="L28" i="1"/>
  <c r="K28" i="1"/>
  <c r="J28" i="1"/>
  <c r="I28" i="1"/>
  <c r="D28" i="1"/>
  <c r="C28" i="1"/>
  <c r="A28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B27" i="1"/>
  <c r="H27" i="1"/>
  <c r="G27" i="1"/>
  <c r="F27" i="1"/>
  <c r="E27" i="1"/>
  <c r="N27" i="1"/>
  <c r="M27" i="1"/>
  <c r="L27" i="1"/>
  <c r="K27" i="1"/>
  <c r="J27" i="1"/>
  <c r="I27" i="1"/>
  <c r="D27" i="1"/>
  <c r="C27" i="1"/>
  <c r="A27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B26" i="1"/>
  <c r="H26" i="1"/>
  <c r="G26" i="1"/>
  <c r="F26" i="1"/>
  <c r="E26" i="1"/>
  <c r="N26" i="1"/>
  <c r="M26" i="1"/>
  <c r="L26" i="1"/>
  <c r="K26" i="1"/>
  <c r="J26" i="1"/>
  <c r="I26" i="1"/>
  <c r="D26" i="1"/>
  <c r="C26" i="1"/>
  <c r="A26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B25" i="1"/>
  <c r="H25" i="1"/>
  <c r="G25" i="1"/>
  <c r="F25" i="1"/>
  <c r="E25" i="1"/>
  <c r="N25" i="1"/>
  <c r="M25" i="1"/>
  <c r="L25" i="1"/>
  <c r="K25" i="1"/>
  <c r="J25" i="1"/>
  <c r="I25" i="1"/>
  <c r="D25" i="1"/>
  <c r="C25" i="1"/>
  <c r="A25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B24" i="1"/>
  <c r="H24" i="1"/>
  <c r="G24" i="1"/>
  <c r="F24" i="1"/>
  <c r="E24" i="1"/>
  <c r="N24" i="1"/>
  <c r="M24" i="1"/>
  <c r="L24" i="1"/>
  <c r="K24" i="1"/>
  <c r="J24" i="1"/>
  <c r="I24" i="1"/>
  <c r="D24" i="1"/>
  <c r="C24" i="1"/>
  <c r="A24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B23" i="1"/>
  <c r="H23" i="1"/>
  <c r="G23" i="1"/>
  <c r="F23" i="1"/>
  <c r="E23" i="1"/>
  <c r="M23" i="1"/>
  <c r="L23" i="1"/>
  <c r="K23" i="1"/>
  <c r="J23" i="1"/>
  <c r="I23" i="1"/>
  <c r="D23" i="1"/>
  <c r="C23" i="1"/>
  <c r="A23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B22" i="1"/>
  <c r="H22" i="1"/>
  <c r="G22" i="1"/>
  <c r="F22" i="1"/>
  <c r="E22" i="1"/>
  <c r="N22" i="1"/>
  <c r="M22" i="1"/>
  <c r="L22" i="1"/>
  <c r="K22" i="1"/>
  <c r="J22" i="1"/>
  <c r="I22" i="1"/>
  <c r="D22" i="1"/>
  <c r="C22" i="1"/>
  <c r="A22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B21" i="1"/>
  <c r="H21" i="1"/>
  <c r="G21" i="1"/>
  <c r="F21" i="1"/>
  <c r="E21" i="1"/>
  <c r="N21" i="1"/>
  <c r="M21" i="1"/>
  <c r="L21" i="1"/>
  <c r="K21" i="1"/>
  <c r="J21" i="1"/>
  <c r="I21" i="1"/>
  <c r="D21" i="1"/>
  <c r="C21" i="1"/>
  <c r="A21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B20" i="1"/>
  <c r="H20" i="1"/>
  <c r="G20" i="1"/>
  <c r="F20" i="1"/>
  <c r="E20" i="1"/>
  <c r="N20" i="1"/>
  <c r="M20" i="1"/>
  <c r="L20" i="1"/>
  <c r="K20" i="1"/>
  <c r="J20" i="1"/>
  <c r="I20" i="1"/>
  <c r="D20" i="1"/>
  <c r="C20" i="1"/>
  <c r="A20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B19" i="1"/>
  <c r="H19" i="1"/>
  <c r="G19" i="1"/>
  <c r="F19" i="1"/>
  <c r="E19" i="1"/>
  <c r="N19" i="1"/>
  <c r="M19" i="1"/>
  <c r="L19" i="1"/>
  <c r="K19" i="1"/>
  <c r="J19" i="1"/>
  <c r="I19" i="1"/>
  <c r="D19" i="1"/>
  <c r="C19" i="1"/>
  <c r="A19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B18" i="1"/>
  <c r="H18" i="1"/>
  <c r="G18" i="1"/>
  <c r="F18" i="1"/>
  <c r="E18" i="1"/>
  <c r="N18" i="1"/>
  <c r="M18" i="1"/>
  <c r="L18" i="1"/>
  <c r="K18" i="1"/>
  <c r="J18" i="1"/>
  <c r="I18" i="1"/>
  <c r="D18" i="1"/>
  <c r="C18" i="1"/>
  <c r="A18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B17" i="1"/>
  <c r="H17" i="1"/>
  <c r="G17" i="1"/>
  <c r="F17" i="1"/>
  <c r="E17" i="1"/>
  <c r="N17" i="1"/>
  <c r="M17" i="1"/>
  <c r="L17" i="1"/>
  <c r="K17" i="1"/>
  <c r="J17" i="1"/>
  <c r="I17" i="1"/>
  <c r="D17" i="1"/>
  <c r="C17" i="1"/>
  <c r="A17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B16" i="1"/>
  <c r="H16" i="1"/>
  <c r="G16" i="1"/>
  <c r="F16" i="1"/>
  <c r="E16" i="1"/>
  <c r="N16" i="1"/>
  <c r="M16" i="1"/>
  <c r="L16" i="1"/>
  <c r="K16" i="1"/>
  <c r="J16" i="1"/>
  <c r="I16" i="1"/>
  <c r="D16" i="1"/>
  <c r="C16" i="1"/>
  <c r="A1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B15" i="1"/>
  <c r="H15" i="1"/>
  <c r="G15" i="1"/>
  <c r="F15" i="1"/>
  <c r="E15" i="1"/>
  <c r="N15" i="1"/>
  <c r="M15" i="1"/>
  <c r="L15" i="1"/>
  <c r="K15" i="1"/>
  <c r="J15" i="1"/>
  <c r="I15" i="1"/>
  <c r="D15" i="1"/>
  <c r="C15" i="1"/>
  <c r="A15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B14" i="1"/>
  <c r="H14" i="1"/>
  <c r="G14" i="1"/>
  <c r="F14" i="1"/>
  <c r="E14" i="1"/>
  <c r="N14" i="1"/>
  <c r="M14" i="1"/>
  <c r="L14" i="1"/>
  <c r="K14" i="1"/>
  <c r="J14" i="1"/>
  <c r="I14" i="1"/>
  <c r="D14" i="1"/>
  <c r="C14" i="1"/>
  <c r="A1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B13" i="1"/>
  <c r="H13" i="1"/>
  <c r="G13" i="1"/>
  <c r="F13" i="1"/>
  <c r="E13" i="1"/>
  <c r="N13" i="1"/>
  <c r="M13" i="1"/>
  <c r="L13" i="1"/>
  <c r="K13" i="1"/>
  <c r="J13" i="1"/>
  <c r="I13" i="1"/>
  <c r="D13" i="1"/>
  <c r="C13" i="1"/>
  <c r="A13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B12" i="1"/>
  <c r="H12" i="1"/>
  <c r="G12" i="1"/>
  <c r="F12" i="1"/>
  <c r="E12" i="1"/>
  <c r="N12" i="1"/>
  <c r="M12" i="1"/>
  <c r="L12" i="1"/>
  <c r="K12" i="1"/>
  <c r="J12" i="1"/>
  <c r="I12" i="1"/>
  <c r="D12" i="1"/>
  <c r="C12" i="1"/>
  <c r="A12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B11" i="1"/>
  <c r="H11" i="1"/>
  <c r="G11" i="1"/>
  <c r="F11" i="1"/>
  <c r="E11" i="1"/>
  <c r="N11" i="1"/>
  <c r="M11" i="1"/>
  <c r="L11" i="1"/>
  <c r="K11" i="1"/>
  <c r="J11" i="1"/>
  <c r="I11" i="1"/>
  <c r="D11" i="1"/>
  <c r="C11" i="1"/>
  <c r="A11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B10" i="1"/>
  <c r="H10" i="1"/>
  <c r="G10" i="1"/>
  <c r="F10" i="1"/>
  <c r="E10" i="1"/>
  <c r="N10" i="1"/>
  <c r="M10" i="1"/>
  <c r="L10" i="1"/>
  <c r="K10" i="1"/>
  <c r="J10" i="1"/>
  <c r="I10" i="1"/>
  <c r="D10" i="1"/>
  <c r="C10" i="1"/>
  <c r="A10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B9" i="1"/>
  <c r="H9" i="1"/>
  <c r="G9" i="1"/>
  <c r="F9" i="1"/>
  <c r="E9" i="1"/>
  <c r="N9" i="1"/>
  <c r="M9" i="1"/>
  <c r="L9" i="1"/>
  <c r="K9" i="1"/>
  <c r="J9" i="1"/>
  <c r="I9" i="1"/>
  <c r="D9" i="1"/>
  <c r="C9" i="1"/>
  <c r="A9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B8" i="1"/>
  <c r="H8" i="1"/>
  <c r="G8" i="1"/>
  <c r="F8" i="1"/>
  <c r="E8" i="1"/>
  <c r="N8" i="1"/>
  <c r="M8" i="1"/>
  <c r="L8" i="1"/>
  <c r="K8" i="1"/>
  <c r="J8" i="1"/>
  <c r="I8" i="1"/>
  <c r="D8" i="1"/>
  <c r="C8" i="1"/>
  <c r="A8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B7" i="1"/>
  <c r="H7" i="1"/>
  <c r="G7" i="1"/>
  <c r="F7" i="1"/>
  <c r="E7" i="1"/>
  <c r="N7" i="1"/>
  <c r="M7" i="1"/>
  <c r="L7" i="1"/>
  <c r="K7" i="1"/>
  <c r="J7" i="1"/>
  <c r="I7" i="1"/>
  <c r="D7" i="1"/>
  <c r="C7" i="1"/>
  <c r="A7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B6" i="1"/>
  <c r="H6" i="1"/>
  <c r="G6" i="1"/>
  <c r="F6" i="1"/>
  <c r="E6" i="1"/>
  <c r="N6" i="1"/>
  <c r="M6" i="1"/>
  <c r="L6" i="1"/>
  <c r="K6" i="1"/>
  <c r="J6" i="1"/>
  <c r="I6" i="1"/>
  <c r="D6" i="1"/>
  <c r="C6" i="1"/>
  <c r="A6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B5" i="1"/>
  <c r="H5" i="1"/>
  <c r="G5" i="1"/>
  <c r="F5" i="1"/>
  <c r="E5" i="1"/>
  <c r="N5" i="1"/>
  <c r="M5" i="1"/>
  <c r="L5" i="1"/>
  <c r="K5" i="1"/>
  <c r="J5" i="1"/>
  <c r="I5" i="1"/>
  <c r="D5" i="1"/>
  <c r="C5" i="1"/>
  <c r="A5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B4" i="1"/>
  <c r="H4" i="1"/>
  <c r="G4" i="1"/>
  <c r="F4" i="1"/>
  <c r="E4" i="1"/>
  <c r="N4" i="1"/>
  <c r="M4" i="1"/>
  <c r="L4" i="1"/>
  <c r="K4" i="1"/>
  <c r="J4" i="1"/>
  <c r="I4" i="1"/>
  <c r="D4" i="1"/>
  <c r="C4" i="1"/>
  <c r="A4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B3" i="1"/>
  <c r="H3" i="1"/>
  <c r="G3" i="1"/>
  <c r="F3" i="1"/>
  <c r="E3" i="1"/>
  <c r="N3" i="1"/>
  <c r="M3" i="1"/>
  <c r="L3" i="1"/>
  <c r="K3" i="1"/>
  <c r="J3" i="1"/>
  <c r="I3" i="1"/>
  <c r="D3" i="1"/>
  <c r="C3" i="1"/>
  <c r="A3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B2" i="1"/>
  <c r="H2" i="1"/>
  <c r="G2" i="1"/>
  <c r="F2" i="1"/>
  <c r="E2" i="1"/>
  <c r="N2" i="1"/>
  <c r="M2" i="1"/>
  <c r="L2" i="1"/>
  <c r="K2" i="1"/>
  <c r="J2" i="1"/>
  <c r="I2" i="1"/>
  <c r="D2" i="1"/>
  <c r="C2" i="1"/>
  <c r="A2" i="1"/>
</calcChain>
</file>

<file path=xl/sharedStrings.xml><?xml version="1.0" encoding="utf-8"?>
<sst xmlns="http://schemas.openxmlformats.org/spreadsheetml/2006/main" count="116" uniqueCount="113">
  <si>
    <t>ФИО</t>
  </si>
  <si>
    <t>Паспорт</t>
  </si>
  <si>
    <t>Номер карты</t>
  </si>
  <si>
    <t>ОСБ</t>
  </si>
  <si>
    <t>Филиал</t>
  </si>
  <si>
    <t>Адрес работы</t>
  </si>
  <si>
    <t>Дата опердня</t>
  </si>
  <si>
    <t>Место работы</t>
  </si>
  <si>
    <t>Срок действ. карты</t>
  </si>
  <si>
    <t>Сост. карты по WAY4</t>
  </si>
  <si>
    <t>Сост. дог-ра по WAY4</t>
  </si>
  <si>
    <t>Номер счета карты</t>
  </si>
  <si>
    <t>Дата рождения держателя</t>
  </si>
  <si>
    <t>Почт.индекс (р)</t>
  </si>
  <si>
    <t>Регион (р)</t>
  </si>
  <si>
    <t>Район (р)</t>
  </si>
  <si>
    <t>Город (р)</t>
  </si>
  <si>
    <t>Насел.пункт (р)</t>
  </si>
  <si>
    <t>Улица (р)</t>
  </si>
  <si>
    <t>Дом (р)</t>
  </si>
  <si>
    <t>Строение (р)</t>
  </si>
  <si>
    <t>Корпус (р)</t>
  </si>
  <si>
    <t>Офис (р)</t>
  </si>
  <si>
    <t>Квартира (р)</t>
  </si>
  <si>
    <t>W4 телефон</t>
  </si>
  <si>
    <t>W4 телефон домашний</t>
  </si>
  <si>
    <t>W4 телефон мобильный</t>
  </si>
  <si>
    <t>СПООБК телефон по месту жительства</t>
  </si>
  <si>
    <t>СПООБК телефон мобильный</t>
  </si>
  <si>
    <t>СПООБК телефон по месту работы</t>
  </si>
  <si>
    <t>="ООО "БАШНЕФТЬ-РОЗНИЦА""</t>
  </si>
  <si>
    <t>="АУ СОН ТО "СОГЛАСИЕ""</t>
  </si>
  <si>
    <t>="ООО "ПКФ ИНТА УРАЛ""</t>
  </si>
  <si>
    <t>="АО "НПЦ "ПРОМЭЛЕКТРОНИКА"</t>
  </si>
  <si>
    <t>="ООО "ССК""</t>
  </si>
  <si>
    <t>="ООО "ЭКСТРЕЙЧ""</t>
  </si>
  <si>
    <t>="ООО "НПЦ РАЗНЫЕ ВОЗМОЖНОСТИ""</t>
  </si>
  <si>
    <t>="ООО "ДЕНТЭЛ""</t>
  </si>
  <si>
    <t>="ООО "РЕМДОРМАШ""</t>
  </si>
  <si>
    <t>="АО "ЕКАТЕРИНБУРГЭНЕРГОСБЫТ""</t>
  </si>
  <si>
    <t>="ОАО "СУРГУТНЕФТЕГАЗ""</t>
  </si>
  <si>
    <t>="ООО "ЛИНЗИНГХОЛД""</t>
  </si>
  <si>
    <t>="ООО "МАГНИТ""</t>
  </si>
  <si>
    <t>="ООО "КАСКАД""</t>
  </si>
  <si>
    <t>="ООО "ЗАВОД СМАЗОЧНЫХ МАТЕРИАЛОВ""</t>
  </si>
  <si>
    <t>="ООО "ВОДОВОЗ""</t>
  </si>
  <si>
    <t>="ООО "ПРОГРЕССНЕФТЕСЕРВИС""</t>
  </si>
  <si>
    <t>="ООО "УНИВЕРСАЛ""</t>
  </si>
  <si>
    <t>="ООО "НОВЕКС""</t>
  </si>
  <si>
    <t>="ООО "РМП""</t>
  </si>
  <si>
    <t>="ООО "АМ""</t>
  </si>
  <si>
    <t>="ООО "СМУ-1""</t>
  </si>
  <si>
    <t>="ООО "РЕАЛЬНЫЕ ДЕНЬГИ""</t>
  </si>
  <si>
    <t>="МУП "КОМСЕРВИС АМР""</t>
  </si>
  <si>
    <t>="СПК "КИЛАЧЕВСКОЕ""</t>
  </si>
  <si>
    <t>="ИП "ЗУБОВ А П""</t>
  </si>
  <si>
    <t>="ЗАО "НИЖНЕВАРТОВСКСТРОЙДЕТАЛЬ""</t>
  </si>
  <si>
    <t>="ООО "ОКУЛИСТ""</t>
  </si>
  <si>
    <t>="ООО "СИБКОМПЛЕКТ СЕРВИС""</t>
  </si>
  <si>
    <t>="МАУ "ДЗОЛ "ЗАРЯ""</t>
  </si>
  <si>
    <t>="ООО "РУССКИЕ ПРЯНИКИ""</t>
  </si>
  <si>
    <t>="ООО "ПБУ ПЛЮС""</t>
  </si>
  <si>
    <t>="ООО "ТЕХНОАВИА-ЧЕЛЯБИНСК""</t>
  </si>
  <si>
    <t>="ООО "ССТ""</t>
  </si>
  <si>
    <t>="ООО "ЭНЕРГОТЕХ""</t>
  </si>
  <si>
    <t>="ЗАО "КЕДР""</t>
  </si>
  <si>
    <t>="ОАО "ИНЖЕНЕРНЫЙ ЦЕНТР ЭНЕРГЕТИКИ УРАЛА""</t>
  </si>
  <si>
    <t>="ООО "ЭЛЕКТРИКА""</t>
  </si>
  <si>
    <t>="ИП "КОМОЛКИНА ОЛЬГА ГЕОРГИЕВНА""</t>
  </si>
  <si>
    <t>="72003921 ИП "АПАЛЬКОВА Д. П.""</t>
  </si>
  <si>
    <t>="ООО "ВЕГА-СЕРВИС""</t>
  </si>
  <si>
    <t>="ООО "УРАЛ СТАН"</t>
  </si>
  <si>
    <t>="ОАО "УМПО""</t>
  </si>
  <si>
    <t>="АО НПК "УРАЛВАГОНЗАВОД""</t>
  </si>
  <si>
    <t>="ООО "СПЕЦСТРОЙ""</t>
  </si>
  <si>
    <t>="МДОУ "ЦРР ДЕТСКИЙ САД "РОСИНКА""</t>
  </si>
  <si>
    <t>="ООО "СИБЭСК""</t>
  </si>
  <si>
    <t>="ТСЖ" РЕПИНА 107""</t>
  </si>
  <si>
    <t>="МОУ ДОД "ЛДДТ" Г. МАГНИТОГОРСКА"</t>
  </si>
  <si>
    <t>="ООО "АРГОС-КЕДР""</t>
  </si>
  <si>
    <t>="МБДОУ Д/С "РОДНИЧОК""</t>
  </si>
  <si>
    <t>="ООО "АЛЬТЕРНАТИВА""</t>
  </si>
  <si>
    <t>="ОАО "КУМАПП""</t>
  </si>
  <si>
    <t>="ОАО "ТАНДЕР""</t>
  </si>
  <si>
    <t>="ООО "ШТРУЛИ""</t>
  </si>
  <si>
    <t>="Д/С № "ЦВЕТИК СЕМИЦВЕТИК""</t>
  </si>
  <si>
    <t>="ООО "ППР СВЕРДЛОВСКИЙ""</t>
  </si>
  <si>
    <t>="ООО "ОДИСЕЙ""</t>
  </si>
  <si>
    <t>="ОАО "СИНТЕЗ""</t>
  </si>
  <si>
    <t>="ООО "АВК АЛЬЯНС""</t>
  </si>
  <si>
    <t>="ООО "ИЗОТЕРМ БАШКОРТОСТАН""</t>
  </si>
  <si>
    <t>="ИП "РЯБИНИН А.А.""</t>
  </si>
  <si>
    <t>="АО ПФ "СКБ-КОНТУР""</t>
  </si>
  <si>
    <t>="ООО "ЮНИВЕРС""</t>
  </si>
  <si>
    <t>="АО"ГАЗПРОМ.ГАЗОРАСПРЕДЕЛЕНИЕ ЧЕЛЯБИНСК""</t>
  </si>
  <si>
    <t>="ОАО "АГРОТОРГ""</t>
  </si>
  <si>
    <t>="ИП ИШИМОВ КАФЕ "ВОСТОЧНАЯ КУХНЯ""</t>
  </si>
  <si>
    <t>="ООО "РИФТ""</t>
  </si>
  <si>
    <t>="ООО УК "МОЙ ДОМ""</t>
  </si>
  <si>
    <t>="ООО "УРАЛЬСКАЯ МЯСНАЯ КОМПАНИЯ""</t>
  </si>
  <si>
    <t>="ООО "СОЮЗ""</t>
  </si>
  <si>
    <t>="ОАО "УРАЛАСБЕСТ""</t>
  </si>
  <si>
    <t>="ССЦ ЛПР "УСО""</t>
  </si>
  <si>
    <t>="АО "БАШСПИРТ" ОПТОВЫЙ СКЛАД №46"</t>
  </si>
  <si>
    <t>="ИП "ГУЛЯЕВА""</t>
  </si>
  <si>
    <t>="МУП "КОМБИНАТ ПИТАНИЯ""</t>
  </si>
  <si>
    <t>="ЗАО "ЕПРС""</t>
  </si>
  <si>
    <t>="ЧОО "ОХРАНА""</t>
  </si>
  <si>
    <t>="ООО "ТЕХНОКЕРАМИКА""</t>
  </si>
  <si>
    <t>="ООО "НОВАЦИЯ""</t>
  </si>
  <si>
    <t>="ПАО "СБЕРБАНК РОССИИ""</t>
  </si>
  <si>
    <t>="ЧПОУ "ЦИО НЕФТЕГАЗ""</t>
  </si>
  <si>
    <t>Лимит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</si>
</sst>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00"/>
  <sheetViews>
    <sheetView tabSelected="1" workbookViewId="0"/>
  </sheetViews>
  <sheetFormatPr defaultRowHeight="14.25" x14ac:dyDescent="0.45"/>
  <cols>
    <col min="1" max="1" width="34.6640625" customWidth="1"/>
    <col min="2" max="2" width="13.86328125" customWidth="1"/>
    <col min="3" max="3" width="14.6640625" customWidth="1"/>
    <col min="4" max="4" width="20.86328125" customWidth="1"/>
    <col min="5" max="5" width="14.265625" customWidth="1"/>
    <col min="8" max="8" width="26" customWidth="1"/>
    <col min="12" max="12" width="39.265625" customWidth="1"/>
    <col min="13" max="13" width="12.06640625" customWidth="1"/>
    <col min="14" max="14" width="13.73046875" customWidth="1"/>
    <col min="16" max="16" width="23.73046875" customWidth="1"/>
    <col min="17" max="17" width="15.73046875" customWidth="1"/>
    <col min="18" max="18" width="18" customWidth="1"/>
    <col min="19" max="19" width="15.265625" customWidth="1"/>
    <col min="20" max="20" width="19.59765625" customWidth="1"/>
    <col min="21" max="25" width="9.06640625" style="1"/>
    <col min="26" max="26" width="13.9296875" customWidth="1"/>
    <col min="27" max="27" width="12.06640625" customWidth="1"/>
    <col min="28" max="28" width="12.53125" customWidth="1"/>
    <col min="29" max="29" width="16.3984375" customWidth="1"/>
    <col min="30" max="30" width="12.3984375" customWidth="1"/>
    <col min="31" max="31" width="13.59765625" customWidth="1"/>
  </cols>
  <sheetData>
    <row r="1" spans="1:31" x14ac:dyDescent="0.45">
      <c r="A1" t="s">
        <v>0</v>
      </c>
      <c r="B1" t="s">
        <v>12</v>
      </c>
      <c r="C1" t="s">
        <v>1</v>
      </c>
      <c r="D1" t="s">
        <v>2</v>
      </c>
      <c r="E1" t="s">
        <v>8</v>
      </c>
      <c r="F1" t="s">
        <v>9</v>
      </c>
      <c r="G1" t="s">
        <v>10</v>
      </c>
      <c r="H1" t="s">
        <v>11</v>
      </c>
      <c r="I1" t="s">
        <v>3</v>
      </c>
      <c r="J1" t="s">
        <v>4</v>
      </c>
      <c r="K1" t="s">
        <v>112</v>
      </c>
      <c r="L1" t="s">
        <v>5</v>
      </c>
      <c r="M1" t="s">
        <v>6</v>
      </c>
      <c r="N1" t="s">
        <v>7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x14ac:dyDescent="0.45">
      <c r="A2" t="str">
        <f>"МАЛЬЦЕВА НАТАЛЬЯ ЮРЬЕВНА"</f>
        <v>МАЛЬЦЕВА НАТАЛЬЯ ЮРЬЕВНА</v>
      </c>
      <c r="B2" t="str">
        <f>"1984-01-19"</f>
        <v>1984-01-19</v>
      </c>
      <c r="C2" t="str">
        <f>"65 05 153538"</f>
        <v>65 05 153538</v>
      </c>
      <c r="D2" t="str">
        <f>"4279011634073251"</f>
        <v>4279011634073251</v>
      </c>
      <c r="E2" t="str">
        <f t="shared" ref="E2:E16" si="0">"2021-05-31"</f>
        <v>2021-05-31</v>
      </c>
      <c r="F2" t="str">
        <f>"+"</f>
        <v>+</v>
      </c>
      <c r="G2" t="str">
        <f>"+"</f>
        <v>+</v>
      </c>
      <c r="H2" t="str">
        <f>"40817810316991419179"</f>
        <v>40817810316991419179</v>
      </c>
      <c r="I2" t="str">
        <f>"7003"</f>
        <v>7003</v>
      </c>
      <c r="J2" t="str">
        <f>"0335"</f>
        <v>0335</v>
      </c>
      <c r="K2" t="str">
        <f>"600000.00"</f>
        <v>600000.00</v>
      </c>
      <c r="L2" t="str">
        <f>"620000 ОБЛ СВЕРДЛОВСКАЯ   Г ЕКАТЕРИНБУРГ   УЛ ЦИОЛКОВСКОГО д. 29 кв. 574"</f>
        <v>620000 ОБЛ СВЕРДЛОВСКАЯ   Г ЕКАТЕРИНБУРГ   УЛ ЦИОЛКОВСКОГО д. 29 кв. 574</v>
      </c>
      <c r="M2" t="str">
        <f t="shared" ref="M2:M65" si="1">"2019-08-24"</f>
        <v>2019-08-24</v>
      </c>
      <c r="N2" t="str">
        <f>"ДОМОХОЗЯЙКА"</f>
        <v>ДОМОХОЗЯЙКА</v>
      </c>
      <c r="O2" t="str">
        <f>"620000"</f>
        <v>620000</v>
      </c>
      <c r="P2" t="str">
        <f>"ОБЛ СВЕРДЛОВСКАЯ"</f>
        <v>ОБЛ СВЕРДЛОВСКАЯ</v>
      </c>
      <c r="Q2" t="str">
        <f>""</f>
        <v/>
      </c>
      <c r="R2" t="str">
        <f>"Г ЕКАТЕРИНБУРГ"</f>
        <v>Г ЕКАТЕРИНБУРГ</v>
      </c>
      <c r="S2" t="str">
        <f>""</f>
        <v/>
      </c>
      <c r="T2" t="str">
        <f>"УЛ ЦИОЛКОВСКОГО"</f>
        <v>УЛ ЦИОЛКОВСКОГО</v>
      </c>
      <c r="U2" s="1" t="str">
        <f>"29"</f>
        <v>29</v>
      </c>
      <c r="V2" s="1" t="str">
        <f>""</f>
        <v/>
      </c>
      <c r="W2" s="1" t="str">
        <f>""</f>
        <v/>
      </c>
      <c r="X2" s="1" t="str">
        <f>""</f>
        <v/>
      </c>
      <c r="Y2" s="1" t="str">
        <f>"574"</f>
        <v>574</v>
      </c>
      <c r="Z2" t="str">
        <f>"9221091076"</f>
        <v>9221091076</v>
      </c>
      <c r="AA2" t="str">
        <f>"9221091076"</f>
        <v>9221091076</v>
      </c>
      <c r="AB2" t="str">
        <f>"9221091076"</f>
        <v>9221091076</v>
      </c>
      <c r="AC2" t="str">
        <f>"9221091076"</f>
        <v>9221091076</v>
      </c>
      <c r="AD2" t="str">
        <f>"9221091076"</f>
        <v>9221091076</v>
      </c>
      <c r="AE2" t="str">
        <f>"9221091076"</f>
        <v>9221091076</v>
      </c>
    </row>
    <row r="3" spans="1:31" x14ac:dyDescent="0.45">
      <c r="A3" t="str">
        <f>"КОРНИЛОВА НАТАЛЬЯ АНДРЕЕВНА"</f>
        <v>КОРНИЛОВА НАТАЛЬЯ АНДРЕЕВНА</v>
      </c>
      <c r="B3" t="str">
        <f>"1978-05-24"</f>
        <v>1978-05-24</v>
      </c>
      <c r="C3" t="str">
        <f>"65 08 347368"</f>
        <v>65 08 347368</v>
      </c>
      <c r="D3" t="str">
        <f>"4279011641771012"</f>
        <v>4279011641771012</v>
      </c>
      <c r="E3" t="str">
        <f t="shared" si="0"/>
        <v>2021-05-31</v>
      </c>
      <c r="F3" t="str">
        <f>"K"</f>
        <v>K</v>
      </c>
      <c r="G3" t="str">
        <f>"Q"</f>
        <v>Q</v>
      </c>
      <c r="H3" t="str">
        <f>"40817810316991419182"</f>
        <v>40817810316991419182</v>
      </c>
      <c r="I3" t="str">
        <f>"7003"</f>
        <v>7003</v>
      </c>
      <c r="J3" t="str">
        <f>"0897"</f>
        <v>0897</v>
      </c>
      <c r="K3" t="str">
        <f>"0.00"</f>
        <v>0.00</v>
      </c>
      <c r="L3" t="str">
        <f>"693000 ОБЛ САХАЛИНСКАЯ   Г ЕКАТЕРИНБУРГ   УЛ ЧЕРКАНСКАЯ д. 9 корп. 1"</f>
        <v>693000 ОБЛ САХАЛИНСКАЯ   Г ЕКАТЕРИНБУРГ   УЛ ЧЕРКАНСКАЯ д. 9 корп. 1</v>
      </c>
      <c r="M3" t="str">
        <f t="shared" si="1"/>
        <v>2019-08-24</v>
      </c>
      <c r="N3" t="str">
        <f>"16545526"</f>
        <v>16545526</v>
      </c>
      <c r="O3" t="str">
        <f>"620000"</f>
        <v>620000</v>
      </c>
      <c r="P3" t="str">
        <f>"ОБЛ СВЕРДЛОВСКАЯ"</f>
        <v>ОБЛ СВЕРДЛОВСКАЯ</v>
      </c>
      <c r="Q3" t="str">
        <f>""</f>
        <v/>
      </c>
      <c r="R3" t="str">
        <f>"Г ЕКАТЕРИНБУРГ"</f>
        <v>Г ЕКАТЕРИНБУРГ</v>
      </c>
      <c r="S3" t="str">
        <f>""</f>
        <v/>
      </c>
      <c r="T3" t="str">
        <f>"УЛ ШАУМЯНА"</f>
        <v>УЛ ШАУМЯНА</v>
      </c>
      <c r="U3" s="1" t="str">
        <f>"88"</f>
        <v>88</v>
      </c>
      <c r="V3" s="1" t="str">
        <f>""</f>
        <v/>
      </c>
      <c r="W3" s="1" t="str">
        <f>""</f>
        <v/>
      </c>
      <c r="X3" s="1" t="str">
        <f>""</f>
        <v/>
      </c>
      <c r="Y3" s="1" t="str">
        <f>"43"</f>
        <v>43</v>
      </c>
      <c r="Z3" t="str">
        <f>"3514925336"</f>
        <v>3514925336</v>
      </c>
      <c r="AA3" t="str">
        <f>"3432342216"</f>
        <v>3432342216</v>
      </c>
      <c r="AB3" t="str">
        <f>"9222144141"</f>
        <v>9222144141</v>
      </c>
      <c r="AC3" t="str">
        <f>"3432342216"</f>
        <v>3432342216</v>
      </c>
      <c r="AD3" t="str">
        <f>"9222144141"</f>
        <v>9222144141</v>
      </c>
      <c r="AE3" t="str">
        <f>"3514925336"</f>
        <v>3514925336</v>
      </c>
    </row>
    <row r="4" spans="1:31" x14ac:dyDescent="0.45">
      <c r="A4" t="str">
        <f>"ОПРОКИДНЕВА ТАТЬЯНА ОЛЕГОВНА"</f>
        <v>ОПРОКИДНЕВА ТАТЬЯНА ОЛЕГОВНА</v>
      </c>
      <c r="B4" t="str">
        <f>"1993-07-25"</f>
        <v>1993-07-25</v>
      </c>
      <c r="C4" t="str">
        <f>"80 12 696637"</f>
        <v>80 12 696637</v>
      </c>
      <c r="D4" t="str">
        <f>"5484011604441023"</f>
        <v>5484011604441023</v>
      </c>
      <c r="E4" t="str">
        <f t="shared" si="0"/>
        <v>2021-05-31</v>
      </c>
      <c r="F4" t="str">
        <f t="shared" ref="F4:G9" si="2">"+"</f>
        <v>+</v>
      </c>
      <c r="G4" t="str">
        <f t="shared" si="2"/>
        <v>+</v>
      </c>
      <c r="H4" t="str">
        <f>"40817810016991419181"</f>
        <v>40817810016991419181</v>
      </c>
      <c r="I4" t="str">
        <f>"8598"</f>
        <v>8598</v>
      </c>
      <c r="J4" t="str">
        <f>"7770"</f>
        <v>7770</v>
      </c>
      <c r="K4" t="str">
        <f>"25000.00"</f>
        <v>25000.00</v>
      </c>
      <c r="L4" t="str">
        <f>"450000 РЕСП БАШКОРТОСТАН     Г УФА УЛ НОВОЖЕНОВА д. 86А"</f>
        <v>450000 РЕСП БАШКОРТОСТАН     Г УФА УЛ НОВОЖЕНОВА д. 86А</v>
      </c>
      <c r="M4" t="str">
        <f t="shared" si="1"/>
        <v>2019-08-24</v>
      </c>
      <c r="N4" t="str">
        <f>"ГУФСИН ФКУ ИК-9 РОССИИ ПО РБ"</f>
        <v>ГУФСИН ФКУ ИК-9 РОССИИ ПО РБ</v>
      </c>
      <c r="O4" t="str">
        <f>"450000"</f>
        <v>450000</v>
      </c>
      <c r="P4" t="str">
        <f>"РЕСП БАШКОРТОСТАН"</f>
        <v>РЕСП БАШКОРТОСТАН</v>
      </c>
      <c r="Q4" t="str">
        <f>""</f>
        <v/>
      </c>
      <c r="R4" t="str">
        <f>""</f>
        <v/>
      </c>
      <c r="S4" t="str">
        <f>"Г УФА"</f>
        <v>Г УФА</v>
      </c>
      <c r="T4" t="str">
        <f>"УЛ СОЧИНСКАЯ"</f>
        <v>УЛ СОЧИНСКАЯ</v>
      </c>
      <c r="U4" s="1" t="str">
        <f>"15"</f>
        <v>15</v>
      </c>
      <c r="V4" s="1" t="str">
        <f>""</f>
        <v/>
      </c>
      <c r="W4" s="1" t="str">
        <f>"1"</f>
        <v>1</v>
      </c>
      <c r="X4" s="1" t="str">
        <f>""</f>
        <v/>
      </c>
      <c r="Y4" s="1" t="str">
        <f>"115"</f>
        <v>115</v>
      </c>
      <c r="Z4" t="str">
        <f>"3472842695"</f>
        <v>3472842695</v>
      </c>
      <c r="AA4" t="str">
        <f>"3472843343"</f>
        <v>3472843343</v>
      </c>
      <c r="AB4" t="str">
        <f>"9273401065"</f>
        <v>9273401065</v>
      </c>
      <c r="AC4" t="str">
        <f>"3472843343"</f>
        <v>3472843343</v>
      </c>
      <c r="AD4" t="str">
        <f>"9273401065"</f>
        <v>9273401065</v>
      </c>
      <c r="AE4" t="str">
        <f>"3472842695"</f>
        <v>3472842695</v>
      </c>
    </row>
    <row r="5" spans="1:31" x14ac:dyDescent="0.45">
      <c r="A5" t="str">
        <f>"ЛЫТАЕВА РОЗА РАШИТОВНА"</f>
        <v>ЛЫТАЕВА РОЗА РАШИТОВНА</v>
      </c>
      <c r="B5" t="str">
        <f>"1975-04-10"</f>
        <v>1975-04-10</v>
      </c>
      <c r="C5" t="str">
        <f>"65 09 742021"</f>
        <v>65 09 742021</v>
      </c>
      <c r="D5" t="str">
        <f>"4279011644976907"</f>
        <v>4279011644976907</v>
      </c>
      <c r="E5" t="str">
        <f t="shared" si="0"/>
        <v>2021-05-31</v>
      </c>
      <c r="F5" t="str">
        <f t="shared" si="2"/>
        <v>+</v>
      </c>
      <c r="G5" t="str">
        <f t="shared" si="2"/>
        <v>+</v>
      </c>
      <c r="H5" t="str">
        <f>"40817810616991419183"</f>
        <v>40817810616991419183</v>
      </c>
      <c r="I5" t="str">
        <f>"7003"</f>
        <v>7003</v>
      </c>
      <c r="J5" t="str">
        <f>"0878"</f>
        <v>0878</v>
      </c>
      <c r="K5" t="str">
        <f>"45000.00"</f>
        <v>45000.00</v>
      </c>
      <c r="L5" t="str">
        <f>"620000 ОБЛ СВЕРДЛОВСКАЯ   Г ЕКАТЕРИНБУРГ   ПЕР КРАСНЫЙ д. 6"</f>
        <v>620000 ОБЛ СВЕРДЛОВСКАЯ   Г ЕКАТЕРИНБУРГ   ПЕР КРАСНЫЙ д. 6</v>
      </c>
      <c r="M5" t="str">
        <f t="shared" si="1"/>
        <v>2019-08-24</v>
      </c>
      <c r="N5" t="str">
        <f>"ИП СИМАВИНА Т Ю"</f>
        <v>ИП СИМАВИНА Т Ю</v>
      </c>
      <c r="O5" t="str">
        <f>"620000"</f>
        <v>620000</v>
      </c>
      <c r="P5" t="str">
        <f>"ОБЛ СВЕРДЛОВСКАЯ"</f>
        <v>ОБЛ СВЕРДЛОВСКАЯ</v>
      </c>
      <c r="Q5" t="str">
        <f>""</f>
        <v/>
      </c>
      <c r="R5" t="str">
        <f>"Г ЕКАТЕРИНБУРГ"</f>
        <v>Г ЕКАТЕРИНБУРГ</v>
      </c>
      <c r="S5" t="str">
        <f>"СНТ ВОДНИК ПО ВКХ ВОДОКАНАЛ"</f>
        <v>СНТ ВОДНИК ПО ВКХ ВОДОКАНАЛ</v>
      </c>
      <c r="T5" t="str">
        <f>""</f>
        <v/>
      </c>
      <c r="U5" s="1" t="str">
        <f>"35"</f>
        <v>35</v>
      </c>
      <c r="V5" s="1" t="str">
        <f>""</f>
        <v/>
      </c>
      <c r="W5" s="1" t="str">
        <f>""</f>
        <v/>
      </c>
      <c r="X5" s="1" t="str">
        <f>""</f>
        <v/>
      </c>
      <c r="Y5" s="1" t="str">
        <f>""</f>
        <v/>
      </c>
      <c r="Z5" t="str">
        <f>"3433882920"</f>
        <v>3433882920</v>
      </c>
      <c r="AA5" t="str">
        <f>"9221376454"</f>
        <v>9221376454</v>
      </c>
      <c r="AB5" t="str">
        <f>"9193967615"</f>
        <v>9193967615</v>
      </c>
      <c r="AC5" t="str">
        <f>"9221376454"</f>
        <v>9221376454</v>
      </c>
      <c r="AD5" t="str">
        <f>"9193967615"</f>
        <v>9193967615</v>
      </c>
      <c r="AE5" t="str">
        <f>""</f>
        <v/>
      </c>
    </row>
    <row r="6" spans="1:31" x14ac:dyDescent="0.45">
      <c r="A6" t="str">
        <f>"АКАТЬЕВ ИГОРЬ ГЕННАДЬЕВИЧ"</f>
        <v>АКАТЬЕВ ИГОРЬ ГЕННАДЬЕВИЧ</v>
      </c>
      <c r="B6" t="str">
        <f>"1975-03-13"</f>
        <v>1975-03-13</v>
      </c>
      <c r="C6" t="str">
        <f>"74 02 246187"</f>
        <v>74 02 246187</v>
      </c>
      <c r="D6" t="str">
        <f>"4279011623045963"</f>
        <v>4279011623045963</v>
      </c>
      <c r="E6" t="str">
        <f t="shared" si="0"/>
        <v>2021-05-31</v>
      </c>
      <c r="F6" t="str">
        <f t="shared" si="2"/>
        <v>+</v>
      </c>
      <c r="G6" t="str">
        <f t="shared" si="2"/>
        <v>+</v>
      </c>
      <c r="H6" t="str">
        <f>"40817810216991419185"</f>
        <v>40817810216991419185</v>
      </c>
      <c r="I6" t="str">
        <f>"8598"</f>
        <v>8598</v>
      </c>
      <c r="J6" t="str">
        <f>"0533"</f>
        <v>0533</v>
      </c>
      <c r="K6" t="str">
        <f>"100000.00"</f>
        <v>100000.00</v>
      </c>
      <c r="L6" t="str">
        <f>"450000 ОБЛ ТЮМЕНСКАЯ   Г МУРАВЛЕНКО   УЛ МИРА д. 1"</f>
        <v>450000 ОБЛ ТЮМЕНСКАЯ   Г МУРАВЛЕНКО   УЛ МИРА д. 1</v>
      </c>
      <c r="M6" t="str">
        <f t="shared" si="1"/>
        <v>2019-08-24</v>
      </c>
      <c r="N6" t="str">
        <f>"ООО ЛИДЕР"</f>
        <v>ООО ЛИДЕР</v>
      </c>
      <c r="O6" t="str">
        <f>"450000"</f>
        <v>450000</v>
      </c>
      <c r="P6" t="str">
        <f>"ОБЛ ТЮМЕНСКАЯ"</f>
        <v>ОБЛ ТЮМЕНСКАЯ</v>
      </c>
      <c r="Q6" t="str">
        <f>"Р-Н ЯНАО"</f>
        <v>Р-Н ЯНАО</v>
      </c>
      <c r="R6" t="str">
        <f>"Г МУРАВЛЕНКО"</f>
        <v>Г МУРАВЛЕНКО</v>
      </c>
      <c r="S6" t="str">
        <f>""</f>
        <v/>
      </c>
      <c r="T6" t="str">
        <f>"УЛ ЛЕНИНА"</f>
        <v>УЛ ЛЕНИНА</v>
      </c>
      <c r="U6" s="1" t="str">
        <f>"96"</f>
        <v>96</v>
      </c>
      <c r="V6" s="1" t="str">
        <f>""</f>
        <v/>
      </c>
      <c r="W6" s="1" t="str">
        <f>""</f>
        <v/>
      </c>
      <c r="X6" s="1" t="str">
        <f>""</f>
        <v/>
      </c>
      <c r="Y6" s="1" t="str">
        <f>"36"</f>
        <v>36</v>
      </c>
      <c r="Z6" t="str">
        <f>"9220554087"</f>
        <v>9220554087</v>
      </c>
      <c r="AA6" t="str">
        <f>"9220554189"</f>
        <v>9220554189</v>
      </c>
      <c r="AB6" t="str">
        <f>"9220554189"</f>
        <v>9220554189</v>
      </c>
      <c r="AC6" t="str">
        <f>"9220554189"</f>
        <v>9220554189</v>
      </c>
      <c r="AD6" t="str">
        <f>"9220554189"</f>
        <v>9220554189</v>
      </c>
      <c r="AE6" t="str">
        <f>"9220554087"</f>
        <v>9220554087</v>
      </c>
    </row>
    <row r="7" spans="1:31" x14ac:dyDescent="0.45">
      <c r="A7" t="str">
        <f>"АПАТИН ДМИТРИЙ ГЕННАДЬЕВИЧ"</f>
        <v>АПАТИН ДМИТРИЙ ГЕННАДЬЕВИЧ</v>
      </c>
      <c r="B7" t="str">
        <f>"1982-11-06"</f>
        <v>1982-11-06</v>
      </c>
      <c r="C7" t="str">
        <f>"37 14 605052"</f>
        <v>37 14 605052</v>
      </c>
      <c r="D7" t="str">
        <f>"4279011628101589"</f>
        <v>4279011628101589</v>
      </c>
      <c r="E7" t="str">
        <f t="shared" si="0"/>
        <v>2021-05-31</v>
      </c>
      <c r="F7" t="str">
        <f t="shared" si="2"/>
        <v>+</v>
      </c>
      <c r="G7" t="str">
        <f t="shared" si="2"/>
        <v>+</v>
      </c>
      <c r="H7" t="str">
        <f>"40817810816991419187"</f>
        <v>40817810816991419187</v>
      </c>
      <c r="I7" t="str">
        <f>"8599"</f>
        <v>8599</v>
      </c>
      <c r="J7" t="str">
        <f>"0045"</f>
        <v>0045</v>
      </c>
      <c r="K7" t="str">
        <f>"99000.00"</f>
        <v>99000.00</v>
      </c>
      <c r="L7" t="str">
        <f>"641000 ОБЛ КУРГАНСКАЯ   Г КУРГАН   УЛ ЛЕНИНА д. 27 кв. 45"</f>
        <v>641000 ОБЛ КУРГАНСКАЯ   Г КУРГАН   УЛ ЛЕНИНА д. 27 кв. 45</v>
      </c>
      <c r="M7" t="str">
        <f t="shared" si="1"/>
        <v>2019-08-24</v>
      </c>
      <c r="N7" t="str">
        <f>"ООО ТИНГЛ"</f>
        <v>ООО ТИНГЛ</v>
      </c>
      <c r="O7" t="str">
        <f>"641000"</f>
        <v>641000</v>
      </c>
      <c r="P7" t="str">
        <f>"ОБЛ КУРГАНСКАЯ"</f>
        <v>ОБЛ КУРГАНСКАЯ</v>
      </c>
      <c r="Q7" t="str">
        <f>""</f>
        <v/>
      </c>
      <c r="R7" t="str">
        <f>"Г КУРГАН"</f>
        <v>Г КУРГАН</v>
      </c>
      <c r="S7" t="str">
        <f>""</f>
        <v/>
      </c>
      <c r="T7" t="str">
        <f>"УЛ СТАНЦИОННАЯ"</f>
        <v>УЛ СТАНЦИОННАЯ</v>
      </c>
      <c r="U7" s="1" t="str">
        <f>"38"</f>
        <v>38</v>
      </c>
      <c r="V7" s="1" t="str">
        <f>""</f>
        <v/>
      </c>
      <c r="W7" s="1" t="str">
        <f>""</f>
        <v/>
      </c>
      <c r="X7" s="1" t="str">
        <f>""</f>
        <v/>
      </c>
      <c r="Y7" s="1" t="str">
        <f>"515"</f>
        <v>515</v>
      </c>
      <c r="Z7" t="str">
        <f>""</f>
        <v/>
      </c>
      <c r="AA7" t="str">
        <f>"9128350302"</f>
        <v>9128350302</v>
      </c>
      <c r="AB7" t="str">
        <f>"9120649485"</f>
        <v>9120649485</v>
      </c>
      <c r="AC7" t="str">
        <f>"9128350302"</f>
        <v>9128350302</v>
      </c>
      <c r="AD7" t="str">
        <f>"9120649485"</f>
        <v>9120649485</v>
      </c>
      <c r="AE7" t="str">
        <f>""</f>
        <v/>
      </c>
    </row>
    <row r="8" spans="1:31" x14ac:dyDescent="0.45">
      <c r="A8" t="str">
        <f>"ЕФРЕМОВА ОЛЬГА АЛЕКСАНДРОВНА"</f>
        <v>ЕФРЕМОВА ОЛЬГА АЛЕКСАНДРОВНА</v>
      </c>
      <c r="B8" t="str">
        <f>"1993-03-29"</f>
        <v>1993-03-29</v>
      </c>
      <c r="C8" t="str">
        <f>"75 18 177137"</f>
        <v>75 18 177137</v>
      </c>
      <c r="D8" t="str">
        <f>"4279011661790546"</f>
        <v>4279011661790546</v>
      </c>
      <c r="E8" t="str">
        <f t="shared" si="0"/>
        <v>2021-05-31</v>
      </c>
      <c r="F8" t="str">
        <f t="shared" si="2"/>
        <v>+</v>
      </c>
      <c r="G8" t="str">
        <f t="shared" si="2"/>
        <v>+</v>
      </c>
      <c r="H8" t="str">
        <f>"40817810416991419189"</f>
        <v>40817810416991419189</v>
      </c>
      <c r="I8" t="str">
        <f>"8597"</f>
        <v>8597</v>
      </c>
      <c r="J8" t="str">
        <f>"0205"</f>
        <v>0205</v>
      </c>
      <c r="K8" t="str">
        <f>"60000.00"</f>
        <v>60000.00</v>
      </c>
      <c r="L8" t="str">
        <f>"454000 ОБЛ ЧЕЛЯБИНСКАЯ   Г ЧЕЛЯБИНСК   УЛ ДОВАТОРА д. 29"</f>
        <v>454000 ОБЛ ЧЕЛЯБИНСКАЯ   Г ЧЕЛЯБИНСК   УЛ ДОВАТОРА д. 29</v>
      </c>
      <c r="M8" t="str">
        <f t="shared" si="1"/>
        <v>2019-08-24</v>
      </c>
      <c r="N8" t="str">
        <f>"ПАО БАНК РОССИЙСКИЙ КАПИТАЛ"</f>
        <v>ПАО БАНК РОССИЙСКИЙ КАПИТАЛ</v>
      </c>
      <c r="O8" t="str">
        <f>"454000"</f>
        <v>454000</v>
      </c>
      <c r="P8" t="str">
        <f>"ОБЛ ЧЕЛЯБИНСКАЯ"</f>
        <v>ОБЛ ЧЕЛЯБИНСКАЯ</v>
      </c>
      <c r="Q8" t="str">
        <f>""</f>
        <v/>
      </c>
      <c r="R8" t="str">
        <f>"Г ЧЕЛЯБИНСК"</f>
        <v>Г ЧЕЛЯБИНСК</v>
      </c>
      <c r="S8" t="str">
        <f>""</f>
        <v/>
      </c>
      <c r="T8" t="str">
        <f>"ПР-КТ КОМСОМОЛЬСКИЙ"</f>
        <v>ПР-КТ КОМСОМОЛЬСКИЙ</v>
      </c>
      <c r="U8" s="1" t="str">
        <f>"84А"</f>
        <v>84А</v>
      </c>
      <c r="V8" s="1" t="str">
        <f>""</f>
        <v/>
      </c>
      <c r="W8" s="1" t="str">
        <f>""</f>
        <v/>
      </c>
      <c r="X8" s="1" t="str">
        <f>""</f>
        <v/>
      </c>
      <c r="Y8" s="1" t="str">
        <f>"251"</f>
        <v>251</v>
      </c>
      <c r="Z8" t="str">
        <f>""</f>
        <v/>
      </c>
      <c r="AA8" t="str">
        <f>"9507378048"</f>
        <v>9507378048</v>
      </c>
      <c r="AB8" t="str">
        <f>"9507378048"</f>
        <v>9507378048</v>
      </c>
      <c r="AC8" t="str">
        <f>"9507378048"</f>
        <v>9507378048</v>
      </c>
      <c r="AD8" t="str">
        <f>"9507378048"</f>
        <v>9507378048</v>
      </c>
      <c r="AE8" t="str">
        <f>""</f>
        <v/>
      </c>
    </row>
    <row r="9" spans="1:31" x14ac:dyDescent="0.45">
      <c r="A9" t="str">
        <f>"САРАЕВ АРТЕМ АЛЕКСАНДРОВИЧ"</f>
        <v>САРАЕВ АРТЕМ АЛЕКСАНДРОВИЧ</v>
      </c>
      <c r="B9" t="str">
        <f>"1984-05-14"</f>
        <v>1984-05-14</v>
      </c>
      <c r="C9" t="str">
        <f>"65 05 163994"</f>
        <v>65 05 163994</v>
      </c>
      <c r="D9" t="str">
        <f>"4279011630294505"</f>
        <v>4279011630294505</v>
      </c>
      <c r="E9" t="str">
        <f t="shared" si="0"/>
        <v>2021-05-31</v>
      </c>
      <c r="F9" t="str">
        <f t="shared" si="2"/>
        <v>+</v>
      </c>
      <c r="G9" t="str">
        <f t="shared" si="2"/>
        <v>+</v>
      </c>
      <c r="H9" t="str">
        <f>"40817810816991419190"</f>
        <v>40817810816991419190</v>
      </c>
      <c r="I9" t="str">
        <f>"7003"</f>
        <v>7003</v>
      </c>
      <c r="J9" t="str">
        <f>"0570"</f>
        <v>0570</v>
      </c>
      <c r="K9" t="str">
        <f>"400000.00"</f>
        <v>400000.00</v>
      </c>
      <c r="L9" t="str">
        <f>"620000 ОБЛ СВЕРДЛОВСКАЯ Р-Н КАМЕНСКИЙ   С ТРАВЯНСКОЕ УЛ ВОРОШИЛОВА д. 18 кв. 9"</f>
        <v>620000 ОБЛ СВЕРДЛОВСКАЯ Р-Н КАМЕНСКИЙ   С ТРАВЯНСКОЕ УЛ ВОРОШИЛОВА д. 18 кв. 9</v>
      </c>
      <c r="M9" t="str">
        <f t="shared" si="1"/>
        <v>2019-08-24</v>
      </c>
      <c r="N9" t="str">
        <f>"ИП САРАЕВ АА"</f>
        <v>ИП САРАЕВ АА</v>
      </c>
      <c r="O9" t="str">
        <f>"620000"</f>
        <v>620000</v>
      </c>
      <c r="P9" t="str">
        <f>"ОБЛ СВЕРДЛОВСКАЯ"</f>
        <v>ОБЛ СВЕРДЛОВСКАЯ</v>
      </c>
      <c r="Q9" t="str">
        <f>"Р-Н КАМЕНСКИЙ"</f>
        <v>Р-Н КАМЕНСКИЙ</v>
      </c>
      <c r="R9" t="str">
        <f>""</f>
        <v/>
      </c>
      <c r="S9" t="str">
        <f>"С ТРАВЯНСКОЕ"</f>
        <v>С ТРАВЯНСКОЕ</v>
      </c>
      <c r="T9" t="str">
        <f>"УЛ ВОРОШИЛОВА"</f>
        <v>УЛ ВОРОШИЛОВА</v>
      </c>
      <c r="U9" s="1" t="str">
        <f>"18"</f>
        <v>18</v>
      </c>
      <c r="V9" s="1" t="str">
        <f>""</f>
        <v/>
      </c>
      <c r="W9" s="1" t="str">
        <f>""</f>
        <v/>
      </c>
      <c r="X9" s="1" t="str">
        <f>""</f>
        <v/>
      </c>
      <c r="Y9" s="1" t="str">
        <f>"9"</f>
        <v>9</v>
      </c>
      <c r="Z9" t="str">
        <f>""</f>
        <v/>
      </c>
      <c r="AA9" t="str">
        <f>"9089246783"</f>
        <v>9089246783</v>
      </c>
      <c r="AB9" t="str">
        <f>"9089246783"</f>
        <v>9089246783</v>
      </c>
      <c r="AC9" t="str">
        <f>"9089246783"</f>
        <v>9089246783</v>
      </c>
      <c r="AD9" t="str">
        <f>"9089246783"</f>
        <v>9089246783</v>
      </c>
      <c r="AE9" t="str">
        <f>""</f>
        <v/>
      </c>
    </row>
    <row r="10" spans="1:31" x14ac:dyDescent="0.45">
      <c r="A10" t="str">
        <f>"АБСАЛЯМОВА НАТАЛЬЯ ВАЛЕРЬЕВНА"</f>
        <v>АБСАЛЯМОВА НАТАЛЬЯ ВАЛЕРЬЕВНА</v>
      </c>
      <c r="B10" t="str">
        <f>"1984-01-12"</f>
        <v>1984-01-12</v>
      </c>
      <c r="C10" t="str">
        <f>"80 06 282673"</f>
        <v>80 06 282673</v>
      </c>
      <c r="D10" t="str">
        <f>"4279011684880860"</f>
        <v>4279011684880860</v>
      </c>
      <c r="E10" t="str">
        <f t="shared" si="0"/>
        <v>2021-05-31</v>
      </c>
      <c r="F10" t="str">
        <f>"J"</f>
        <v>J</v>
      </c>
      <c r="G10" t="str">
        <f>"Q"</f>
        <v>Q</v>
      </c>
      <c r="H10" t="str">
        <f>"40817810116991419191"</f>
        <v>40817810116991419191</v>
      </c>
      <c r="I10" t="str">
        <f>"8598"</f>
        <v>8598</v>
      </c>
      <c r="J10" t="str">
        <f>"0692"</f>
        <v>0692</v>
      </c>
      <c r="K10" t="str">
        <f>"0.00"</f>
        <v>0.00</v>
      </c>
      <c r="L10" t="str">
        <f>"453300 ОБЛ РБ Р-Н КУЮРГАЗИНСКИЙ Г КУМЕРТАУ НП КУМЕРТАУ УЛ НОВОЗАРИНСКАЯ д. 15 корп. А"</f>
        <v>453300 ОБЛ РБ Р-Н КУЮРГАЗИНСКИЙ Г КУМЕРТАУ НП КУМЕРТАУ УЛ НОВОЗАРИНСКАЯ д. 15 корп. А</v>
      </c>
      <c r="M10" t="str">
        <f t="shared" si="1"/>
        <v>2019-08-24</v>
      </c>
      <c r="N10" t="str">
        <f>"КУМАПП"</f>
        <v>КУМАПП</v>
      </c>
      <c r="O10" t="str">
        <f>"450000"</f>
        <v>450000</v>
      </c>
      <c r="P10" t="str">
        <f>"РЕСП БАШКОРТОСТАН"</f>
        <v>РЕСП БАШКОРТОСТАН</v>
      </c>
      <c r="Q10" t="str">
        <f>"ТЕР РБ"</f>
        <v>ТЕР РБ</v>
      </c>
      <c r="R10" t="str">
        <f>"Г КУМЕРТАУ"</f>
        <v>Г КУМЕРТАУ</v>
      </c>
      <c r="S10" t="str">
        <f>"Г КУМЕРТАУ"</f>
        <v>Г КУМЕРТАУ</v>
      </c>
      <c r="T10" t="str">
        <f>"УЛ 60 ЛЕТ БАССР"</f>
        <v>УЛ 60 ЛЕТ БАССР</v>
      </c>
      <c r="U10" s="1" t="str">
        <f>"3"</f>
        <v>3</v>
      </c>
      <c r="V10" s="1" t="str">
        <f>""</f>
        <v/>
      </c>
      <c r="W10" s="1" t="str">
        <f>""</f>
        <v/>
      </c>
      <c r="X10" s="1" t="str">
        <f>""</f>
        <v/>
      </c>
      <c r="Y10" s="1" t="str">
        <f>"36"</f>
        <v>36</v>
      </c>
      <c r="Z10" t="str">
        <f>"9603847750"</f>
        <v>9603847750</v>
      </c>
      <c r="AA10" t="str">
        <f>"3476143667"</f>
        <v>3476143667</v>
      </c>
      <c r="AB10" t="str">
        <f>"9603847750"</f>
        <v>9603847750</v>
      </c>
      <c r="AC10" t="str">
        <f>"3476143667"</f>
        <v>3476143667</v>
      </c>
      <c r="AD10" t="str">
        <f>"9603847750"</f>
        <v>9603847750</v>
      </c>
      <c r="AE10" t="str">
        <f>"9603847750"</f>
        <v>9603847750</v>
      </c>
    </row>
    <row r="11" spans="1:31" x14ac:dyDescent="0.45">
      <c r="A11" t="str">
        <f>"ТИМСКАЯ ДАРЬЯ СЕРГЕЕВНА"</f>
        <v>ТИМСКАЯ ДАРЬЯ СЕРГЕЕВНА</v>
      </c>
      <c r="B11" t="str">
        <f>"1991-02-15"</f>
        <v>1991-02-15</v>
      </c>
      <c r="C11" t="str">
        <f>"80 16 512914"</f>
        <v>80 16 512914</v>
      </c>
      <c r="D11" t="str">
        <f>"4279011616281153"</f>
        <v>4279011616281153</v>
      </c>
      <c r="E11" t="str">
        <f t="shared" si="0"/>
        <v>2021-05-31</v>
      </c>
      <c r="F11" t="str">
        <f>"+"</f>
        <v>+</v>
      </c>
      <c r="G11" t="str">
        <f>"+"</f>
        <v>+</v>
      </c>
      <c r="H11" t="str">
        <f>"40817810416991419192"</f>
        <v>40817810416991419192</v>
      </c>
      <c r="I11" t="str">
        <f>"8598"</f>
        <v>8598</v>
      </c>
      <c r="J11" t="str">
        <f>"0171"</f>
        <v>0171</v>
      </c>
      <c r="K11" t="str">
        <f>"410000.00"</f>
        <v>410000.00</v>
      </c>
      <c r="L11" t="str">
        <f>"450000 РЕСП БАШКОРТОСТАН   Г УФА   УЛ КУВЫКИНА д. 4"</f>
        <v>450000 РЕСП БАШКОРТОСТАН   Г УФА   УЛ КУВЫКИНА д. 4</v>
      </c>
      <c r="M11" t="str">
        <f t="shared" si="1"/>
        <v>2019-08-24</v>
      </c>
      <c r="N11" t="str">
        <f>"ИП ТИМСКОЙ"</f>
        <v>ИП ТИМСКОЙ</v>
      </c>
      <c r="O11" t="str">
        <f>"450000"</f>
        <v>450000</v>
      </c>
      <c r="P11" t="str">
        <f>"РЕСП БАШКОРТОСТАН"</f>
        <v>РЕСП БАШКОРТОСТАН</v>
      </c>
      <c r="Q11" t="str">
        <f>""</f>
        <v/>
      </c>
      <c r="R11" t="str">
        <f>"Г УФА"</f>
        <v>Г УФА</v>
      </c>
      <c r="S11" t="str">
        <f>""</f>
        <v/>
      </c>
      <c r="T11" t="str">
        <f>"УЛ УФИМСКОЕ ШОССЕ"</f>
        <v>УЛ УФИМСКОЕ ШОССЕ</v>
      </c>
      <c r="U11" s="1" t="str">
        <f>"8"</f>
        <v>8</v>
      </c>
      <c r="V11" s="1" t="str">
        <f>""</f>
        <v/>
      </c>
      <c r="W11" s="1" t="str">
        <f>""</f>
        <v/>
      </c>
      <c r="X11" s="1" t="str">
        <f>""</f>
        <v/>
      </c>
      <c r="Y11" s="1" t="str">
        <f>"104"</f>
        <v>104</v>
      </c>
      <c r="Z11" t="str">
        <f>""</f>
        <v/>
      </c>
      <c r="AA11" t="str">
        <f>"9872562235"</f>
        <v>9872562235</v>
      </c>
      <c r="AB11" t="str">
        <f>"79872562235"</f>
        <v>79872562235</v>
      </c>
      <c r="AC11" t="str">
        <f>"9872562235"</f>
        <v>9872562235</v>
      </c>
      <c r="AD11" t="str">
        <f>"9872562235"</f>
        <v>9872562235</v>
      </c>
      <c r="AE11" t="str">
        <f>""</f>
        <v/>
      </c>
    </row>
    <row r="12" spans="1:31" x14ac:dyDescent="0.45">
      <c r="A12" t="str">
        <f>"БЕГИЧЕВА КРИСТИНА ВЛАДИМИРОВНА"</f>
        <v>БЕГИЧЕВА КРИСТИНА ВЛАДИМИРОВНА</v>
      </c>
      <c r="B12" t="str">
        <f>"1987-12-13"</f>
        <v>1987-12-13</v>
      </c>
      <c r="C12" t="str">
        <f>"65 11 157365"</f>
        <v>65 11 157365</v>
      </c>
      <c r="D12" t="str">
        <f>"4279011614060336"</f>
        <v>4279011614060336</v>
      </c>
      <c r="E12" t="str">
        <f t="shared" si="0"/>
        <v>2021-05-31</v>
      </c>
      <c r="F12" t="str">
        <f>"Y"</f>
        <v>Y</v>
      </c>
      <c r="G12" t="str">
        <f>"Q"</f>
        <v>Q</v>
      </c>
      <c r="H12" t="str">
        <f>"40817810716991419193"</f>
        <v>40817810716991419193</v>
      </c>
      <c r="I12" t="str">
        <f>"7003"</f>
        <v>7003</v>
      </c>
      <c r="J12" t="str">
        <f>"0378"</f>
        <v>0378</v>
      </c>
      <c r="K12" t="str">
        <f>"0.00"</f>
        <v>0.00</v>
      </c>
      <c r="L12" t="str">
        <f>"620000 ОБЛ СВЕРДЛОВСКАЯ   Г ЕКАТЕРИНБУРГ   УЛ КОСМОНАВТОВ д. 54"</f>
        <v>620000 ОБЛ СВЕРДЛОВСКАЯ   Г ЕКАТЕРИНБУРГ   УЛ КОСМОНАВТОВ д. 54</v>
      </c>
      <c r="M12" t="str">
        <f t="shared" si="1"/>
        <v>2019-08-24</v>
      </c>
      <c r="N12" t="str">
        <f>"ПКФ УРАЛГИДРОМАШ"</f>
        <v>ПКФ УРАЛГИДРОМАШ</v>
      </c>
      <c r="O12" t="str">
        <f>"620000"</f>
        <v>620000</v>
      </c>
      <c r="P12" t="str">
        <f>"ОБЛ СВЕРДЛОВСКАЯ"</f>
        <v>ОБЛ СВЕРДЛОВСКАЯ</v>
      </c>
      <c r="Q12" t="str">
        <f>"Р-Н ЛЕНИНСКИЙ"</f>
        <v>Р-Н ЛЕНИНСКИЙ</v>
      </c>
      <c r="R12" t="str">
        <f>"Г ЕКАТЕРИНБУРГ"</f>
        <v>Г ЕКАТЕРИНБУРГ</v>
      </c>
      <c r="S12" t="str">
        <f>""</f>
        <v/>
      </c>
      <c r="T12" t="str">
        <f>"УЛ БАРВИНКА"</f>
        <v>УЛ БАРВИНКА</v>
      </c>
      <c r="U12" s="1" t="str">
        <f>"45"</f>
        <v>45</v>
      </c>
      <c r="V12" s="1" t="str">
        <f>""</f>
        <v/>
      </c>
      <c r="W12" s="1" t="str">
        <f>""</f>
        <v/>
      </c>
      <c r="X12" s="1" t="str">
        <f>""</f>
        <v/>
      </c>
      <c r="Y12" s="1" t="str">
        <f>"67"</f>
        <v>67</v>
      </c>
      <c r="Z12" t="str">
        <f>"9097044156"</f>
        <v>9097044156</v>
      </c>
      <c r="AA12" t="str">
        <f>"3434265204"</f>
        <v>3434265204</v>
      </c>
      <c r="AB12" t="str">
        <f>"9097044156"</f>
        <v>9097044156</v>
      </c>
      <c r="AC12" t="str">
        <f>"9097044156"</f>
        <v>9097044156</v>
      </c>
      <c r="AD12" t="str">
        <f>"9097044156"</f>
        <v>9097044156</v>
      </c>
      <c r="AE12" t="str">
        <f>"9097044156"</f>
        <v>9097044156</v>
      </c>
    </row>
    <row r="13" spans="1:31" x14ac:dyDescent="0.45">
      <c r="A13" t="str">
        <f>"ДЕГТЯРЕВА ИРИНА НИКОЛАЕВНА"</f>
        <v>ДЕГТЯРЕВА ИРИНА НИКОЛАЕВНА</v>
      </c>
      <c r="B13" t="str">
        <f>"1986-06-26"</f>
        <v>1986-06-26</v>
      </c>
      <c r="C13" t="str">
        <f>"75 08 301382"</f>
        <v>75 08 301382</v>
      </c>
      <c r="D13" t="str">
        <f>"4279011642821436"</f>
        <v>4279011642821436</v>
      </c>
      <c r="E13" t="str">
        <f t="shared" si="0"/>
        <v>2021-05-31</v>
      </c>
      <c r="F13" t="str">
        <f t="shared" ref="F13:G24" si="3">"+"</f>
        <v>+</v>
      </c>
      <c r="G13" t="str">
        <f>"7"</f>
        <v>7</v>
      </c>
      <c r="H13" t="str">
        <f>"40817810016991419194"</f>
        <v>40817810016991419194</v>
      </c>
      <c r="I13" t="str">
        <f>"8597"</f>
        <v>8597</v>
      </c>
      <c r="J13" t="str">
        <f>"0274"</f>
        <v>0274</v>
      </c>
      <c r="K13" t="str">
        <f>"56993.27"</f>
        <v>56993.27</v>
      </c>
      <c r="L13" t="str">
        <f>"454000 ОБЛ ЧЕЛЯБИНСКАЯ   Г ЧЕЛЯБИНСК   ПР-КТ ПОБЕДЫ д. 215 офис 6"</f>
        <v>454000 ОБЛ ЧЕЛЯБИНСКАЯ   Г ЧЕЛЯБИНСК   ПР-КТ ПОБЕДЫ д. 215 офис 6</v>
      </c>
      <c r="M13" t="str">
        <f t="shared" si="1"/>
        <v>2019-08-24</v>
      </c>
      <c r="N13" t="str">
        <f>"ООО ТРУБОСЕРВИСНАЯ КОМПАНИЯ УРАЛ"</f>
        <v>ООО ТРУБОСЕРВИСНАЯ КОМПАНИЯ УРАЛ</v>
      </c>
      <c r="O13" t="str">
        <f>"454000"</f>
        <v>454000</v>
      </c>
      <c r="P13" t="str">
        <f>"ОБЛ ЧЕЛЯБИНСКАЯ"</f>
        <v>ОБЛ ЧЕЛЯБИНСКАЯ</v>
      </c>
      <c r="Q13" t="str">
        <f>"Р-Н КРАСНОАРМЕЙСКИЙ"</f>
        <v>Р-Н КРАСНОАРМЕЙСКИЙ</v>
      </c>
      <c r="R13" t="str">
        <f>""</f>
        <v/>
      </c>
      <c r="S13" t="str">
        <f>"С МИАССКОЕ"</f>
        <v>С МИАССКОЕ</v>
      </c>
      <c r="T13" t="str">
        <f>"УЛ ПОЛИТОТДЕЛА"</f>
        <v>УЛ ПОЛИТОТДЕЛА</v>
      </c>
      <c r="U13" s="1" t="str">
        <f>"26"</f>
        <v>26</v>
      </c>
      <c r="V13" s="1" t="str">
        <f>""</f>
        <v/>
      </c>
      <c r="W13" s="1" t="str">
        <f>""</f>
        <v/>
      </c>
      <c r="X13" s="1" t="str">
        <f>""</f>
        <v/>
      </c>
      <c r="Y13" s="1" t="str">
        <f>""</f>
        <v/>
      </c>
      <c r="Z13" t="str">
        <f>""</f>
        <v/>
      </c>
      <c r="AA13" t="str">
        <f>"+7 (922) 7494104"</f>
        <v>+7 (922) 7494104</v>
      </c>
      <c r="AB13" t="str">
        <f>"+7 (999) 5852910"</f>
        <v>+7 (999) 5852910</v>
      </c>
      <c r="AC13" t="str">
        <f>"9227494104"</f>
        <v>9227494104</v>
      </c>
      <c r="AD13" t="str">
        <f>"9995852910"</f>
        <v>9995852910</v>
      </c>
      <c r="AE13" t="str">
        <f>""</f>
        <v/>
      </c>
    </row>
    <row r="14" spans="1:31" x14ac:dyDescent="0.45">
      <c r="A14" t="str">
        <f>"ЗИЯТДИНОВ ОЛЕГ РАФАЭЛЬЕВИЧ"</f>
        <v>ЗИЯТДИНОВ ОЛЕГ РАФАЭЛЬЕВИЧ</v>
      </c>
      <c r="B14" t="str">
        <f>"1981-05-05"</f>
        <v>1981-05-05</v>
      </c>
      <c r="C14" t="str">
        <f>"80 18 800799"</f>
        <v>80 18 800799</v>
      </c>
      <c r="D14" t="str">
        <f>"4279011649842708"</f>
        <v>4279011649842708</v>
      </c>
      <c r="E14" t="str">
        <f t="shared" si="0"/>
        <v>2021-05-31</v>
      </c>
      <c r="F14" t="str">
        <f t="shared" si="3"/>
        <v>+</v>
      </c>
      <c r="G14" t="str">
        <f t="shared" si="3"/>
        <v>+</v>
      </c>
      <c r="H14" t="str">
        <f>"40817810616991419196"</f>
        <v>40817810616991419196</v>
      </c>
      <c r="I14" t="str">
        <f>"8598"</f>
        <v>8598</v>
      </c>
      <c r="J14" t="str">
        <f>"0172"</f>
        <v>0172</v>
      </c>
      <c r="K14" t="str">
        <f>"115000.00"</f>
        <v>115000.00</v>
      </c>
      <c r="L14" t="str">
        <f>"450000 РЕСП БАШКОРТОСТАН   Г УФА   УЛ - д. -"</f>
        <v>450000 РЕСП БАШКОРТОСТАН   Г УФА   УЛ - д. -</v>
      </c>
      <c r="M14" t="str">
        <f t="shared" si="1"/>
        <v>2019-08-24</v>
      </c>
      <c r="N14" t="str">
        <f>"-"</f>
        <v>-</v>
      </c>
      <c r="O14" t="str">
        <f>"000000"</f>
        <v>000000</v>
      </c>
      <c r="P14" t="str">
        <f>"ОБЛ НОВГОРОДСКАЯ"</f>
        <v>ОБЛ НОВГОРОДСКАЯ</v>
      </c>
      <c r="Q14" t="str">
        <f>""</f>
        <v/>
      </c>
      <c r="R14" t="str">
        <f>"Г ПЕСТОВО"</f>
        <v>Г ПЕСТОВО</v>
      </c>
      <c r="S14" t="str">
        <f>""</f>
        <v/>
      </c>
      <c r="T14" t="str">
        <f>"УЛ ЧАПАЕВА"</f>
        <v>УЛ ЧАПАЕВА</v>
      </c>
      <c r="U14" s="1" t="str">
        <f>"14"</f>
        <v>14</v>
      </c>
      <c r="V14" s="1" t="str">
        <f>""</f>
        <v/>
      </c>
      <c r="W14" s="1" t="str">
        <f>""</f>
        <v/>
      </c>
      <c r="X14" s="1" t="str">
        <f>""</f>
        <v/>
      </c>
      <c r="Y14" s="1" t="str">
        <f>"64"</f>
        <v>64</v>
      </c>
      <c r="Z14" t="str">
        <f>""</f>
        <v/>
      </c>
      <c r="AA14" t="str">
        <f>"9771744640"</f>
        <v>9771744640</v>
      </c>
      <c r="AB14" t="str">
        <f>"9771744640"</f>
        <v>9771744640</v>
      </c>
      <c r="AC14" t="str">
        <f>"9771744640"</f>
        <v>9771744640</v>
      </c>
      <c r="AD14" t="str">
        <f>"9771744640"</f>
        <v>9771744640</v>
      </c>
      <c r="AE14" t="str">
        <f>""</f>
        <v/>
      </c>
    </row>
    <row r="15" spans="1:31" x14ac:dyDescent="0.45">
      <c r="A15" t="str">
        <f>"ПОДОЛЬСКАЯ МАРИЯ ВЯЧЕСЛАВОВНА"</f>
        <v>ПОДОЛЬСКАЯ МАРИЯ ВЯЧЕСЛАВОВНА</v>
      </c>
      <c r="B15" t="str">
        <f>"1988-02-01"</f>
        <v>1988-02-01</v>
      </c>
      <c r="C15" t="str">
        <f>"65 07 300555"</f>
        <v>65 07 300555</v>
      </c>
      <c r="D15" t="str">
        <f>"4279011648519976"</f>
        <v>4279011648519976</v>
      </c>
      <c r="E15" t="str">
        <f t="shared" si="0"/>
        <v>2021-05-31</v>
      </c>
      <c r="F15" t="str">
        <f t="shared" si="3"/>
        <v>+</v>
      </c>
      <c r="G15" t="str">
        <f t="shared" si="3"/>
        <v>+</v>
      </c>
      <c r="H15" t="str">
        <f>"40817810916991419197"</f>
        <v>40817810916991419197</v>
      </c>
      <c r="I15" t="str">
        <f>"7003"</f>
        <v>7003</v>
      </c>
      <c r="J15" t="str">
        <f>"0875"</f>
        <v>0875</v>
      </c>
      <c r="K15" t="str">
        <f>"28000.00"</f>
        <v>28000.00</v>
      </c>
      <c r="L15" t="str">
        <f>"620000 ОБЛ СВЕРДЛОВСКАЯ   Г ЕКАТЕРИНБУРГ   УЛ КРЕСТИНСКОГО д. 59 корп. 1"</f>
        <v>620000 ОБЛ СВЕРДЛОВСКАЯ   Г ЕКАТЕРИНБУРГ   УЛ КРЕСТИНСКОГО д. 59 корп. 1</v>
      </c>
      <c r="M15" t="str">
        <f t="shared" si="1"/>
        <v>2019-08-24</v>
      </c>
      <c r="N15" t="str">
        <f>"ООО ФОН"</f>
        <v>ООО ФОН</v>
      </c>
      <c r="O15" t="str">
        <f>"620000"</f>
        <v>620000</v>
      </c>
      <c r="P15" t="str">
        <f>"ОБЛ СВЕРДЛОВСКАЯ"</f>
        <v>ОБЛ СВЕРДЛОВСКАЯ</v>
      </c>
      <c r="Q15" t="str">
        <f>""</f>
        <v/>
      </c>
      <c r="R15" t="str">
        <f>"Г ЕКАТЕРИНБУРГ"</f>
        <v>Г ЕКАТЕРИНБУРГ</v>
      </c>
      <c r="S15" t="str">
        <f>""</f>
        <v/>
      </c>
      <c r="T15" t="str">
        <f>"ПЕР РЕМЕСЛЕННЫЙ"</f>
        <v>ПЕР РЕМЕСЛЕННЫЙ</v>
      </c>
      <c r="U15" s="1" t="str">
        <f>"12"</f>
        <v>12</v>
      </c>
      <c r="V15" s="1" t="str">
        <f>""</f>
        <v/>
      </c>
      <c r="W15" s="1" t="str">
        <f>""</f>
        <v/>
      </c>
      <c r="X15" s="1" t="str">
        <f>""</f>
        <v/>
      </c>
      <c r="Y15" s="1" t="str">
        <f>"7"</f>
        <v>7</v>
      </c>
      <c r="Z15" t="str">
        <f>""</f>
        <v/>
      </c>
      <c r="AA15" t="str">
        <f>"0000000000"</f>
        <v>0000000000</v>
      </c>
      <c r="AB15" t="str">
        <f>"9049806639"</f>
        <v>9049806639</v>
      </c>
      <c r="AC15" t="str">
        <f>"0000000000"</f>
        <v>0000000000</v>
      </c>
      <c r="AD15" t="str">
        <f>"9049806639"</f>
        <v>9049806639</v>
      </c>
      <c r="AE15" t="str">
        <f>""</f>
        <v/>
      </c>
    </row>
    <row r="16" spans="1:31" x14ac:dyDescent="0.45">
      <c r="A16" t="str">
        <f>"ГАВРИЛОВ СЕРГЕЙ АНАТОЛЬЕВИЧ"</f>
        <v>ГАВРИЛОВ СЕРГЕЙ АНАТОЛЬЕВИЧ</v>
      </c>
      <c r="B16" t="str">
        <f>"1974-09-04"</f>
        <v>1974-09-04</v>
      </c>
      <c r="C16" t="str">
        <f>"80 04 248142"</f>
        <v>80 04 248142</v>
      </c>
      <c r="D16" t="str">
        <f>"4279011689114265"</f>
        <v>4279011689114265</v>
      </c>
      <c r="E16" t="str">
        <f t="shared" si="0"/>
        <v>2021-05-31</v>
      </c>
      <c r="F16" t="str">
        <f t="shared" si="3"/>
        <v>+</v>
      </c>
      <c r="G16" t="str">
        <f t="shared" si="3"/>
        <v>+</v>
      </c>
      <c r="H16" t="str">
        <f>"40817810216991419198"</f>
        <v>40817810216991419198</v>
      </c>
      <c r="I16" t="str">
        <f>"8598"</f>
        <v>8598</v>
      </c>
      <c r="J16" t="str">
        <f>"0224"</f>
        <v>0224</v>
      </c>
      <c r="K16" t="str">
        <f>"150000.00"</f>
        <v>150000.00</v>
      </c>
      <c r="L16" t="str">
        <f>"453430 РЕСП БАШКОРТОСТАН   Г БЛАГОВЕЩЕНСК   УЛ СЕДОВА д. 1"</f>
        <v>453430 РЕСП БАШКОРТОСТАН   Г БЛАГОВЕЩЕНСК   УЛ СЕДОВА д. 1</v>
      </c>
      <c r="M16" t="str">
        <f t="shared" si="1"/>
        <v>2019-08-24</v>
      </c>
      <c r="N16" t="str">
        <f>"ОАО БАЗ"</f>
        <v>ОАО БАЗ</v>
      </c>
      <c r="O16" t="str">
        <f>"453430"</f>
        <v>453430</v>
      </c>
      <c r="P16" t="str">
        <f>"РЕСП БАШКОРТОСТАН"</f>
        <v>РЕСП БАШКОРТОСТАН</v>
      </c>
      <c r="Q16" t="str">
        <f>""</f>
        <v/>
      </c>
      <c r="R16" t="str">
        <f>"Г БЛАГОВЕЩЕНСК"</f>
        <v>Г БЛАГОВЕЩЕНСК</v>
      </c>
      <c r="S16" t="str">
        <f>""</f>
        <v/>
      </c>
      <c r="T16" t="str">
        <f>"УЛ КРАСНАЯ"</f>
        <v>УЛ КРАСНАЯ</v>
      </c>
      <c r="U16" s="1" t="str">
        <f>"25"</f>
        <v>25</v>
      </c>
      <c r="V16" s="1" t="str">
        <f>""</f>
        <v/>
      </c>
      <c r="W16" s="1" t="str">
        <f>""</f>
        <v/>
      </c>
      <c r="X16" s="1" t="str">
        <f>""</f>
        <v/>
      </c>
      <c r="Y16" s="1" t="str">
        <f>""</f>
        <v/>
      </c>
      <c r="Z16" t="str">
        <f>"9371624546"</f>
        <v>9371624546</v>
      </c>
      <c r="AA16" t="str">
        <f>"9371624546"</f>
        <v>9371624546</v>
      </c>
      <c r="AB16" t="str">
        <f>"9371624546"</f>
        <v>9371624546</v>
      </c>
      <c r="AC16" t="str">
        <f>"9371624546"</f>
        <v>9371624546</v>
      </c>
      <c r="AD16" t="str">
        <f>"9371624546"</f>
        <v>9371624546</v>
      </c>
      <c r="AE16" t="str">
        <f>"9371624546"</f>
        <v>9371624546</v>
      </c>
    </row>
    <row r="17" spans="1:31" x14ac:dyDescent="0.45">
      <c r="A17" t="str">
        <f>"ФИЛЮТИН МАКСИМ ПЕТРОВИЧ"</f>
        <v>ФИЛЮТИН МАКСИМ ПЕТРОВИЧ</v>
      </c>
      <c r="B17" t="str">
        <f>"1973-06-22"</f>
        <v>1973-06-22</v>
      </c>
      <c r="C17" t="str">
        <f>"65 05 625210"</f>
        <v>65 05 625210</v>
      </c>
      <c r="D17" t="str">
        <f>"4279011651494620"</f>
        <v>4279011651494620</v>
      </c>
      <c r="E17" t="str">
        <f t="shared" ref="E17:E26" si="4">"2021-06-30"</f>
        <v>2021-06-30</v>
      </c>
      <c r="F17" t="str">
        <f t="shared" si="3"/>
        <v>+</v>
      </c>
      <c r="G17" t="str">
        <f t="shared" si="3"/>
        <v>+</v>
      </c>
      <c r="H17" t="str">
        <f>"40817810416991443304"</f>
        <v>40817810416991443304</v>
      </c>
      <c r="I17" t="str">
        <f>"7003"</f>
        <v>7003</v>
      </c>
      <c r="J17" t="str">
        <f>"7770"</f>
        <v>7770</v>
      </c>
      <c r="K17" t="str">
        <f>"85000.00"</f>
        <v>85000.00</v>
      </c>
      <c r="L17" t="str">
        <f>"620017 ОБЛ СВЕРДЛОВСКАЯ   Г ЕКАТЕРИНБУРГ   УЛ ФРОНТОВЫХ БРИГАД д. 18"</f>
        <v>620017 ОБЛ СВЕРДЛОВСКАЯ   Г ЕКАТЕРИНБУРГ   УЛ ФРОНТОВЫХ БРИГАД д. 18</v>
      </c>
      <c r="M17" t="str">
        <f t="shared" si="1"/>
        <v>2019-08-24</v>
      </c>
      <c r="N17" t="str">
        <f>"УТЗ"</f>
        <v>УТЗ</v>
      </c>
      <c r="O17" t="str">
        <f>"620000"</f>
        <v>620000</v>
      </c>
      <c r="P17" t="str">
        <f>"ОБЛ СВЕРДЛОВСКАЯ"</f>
        <v>ОБЛ СВЕРДЛОВСКАЯ</v>
      </c>
      <c r="Q17" t="str">
        <f>""</f>
        <v/>
      </c>
      <c r="R17" t="str">
        <f>"Г ЕКАТЕРИНБУРГ"</f>
        <v>Г ЕКАТЕРИНБУРГ</v>
      </c>
      <c r="S17" t="str">
        <f>""</f>
        <v/>
      </c>
      <c r="T17" t="str">
        <f>"УЛ ВОССТАНИЯ"</f>
        <v>УЛ ВОССТАНИЯ</v>
      </c>
      <c r="U17" s="1" t="str">
        <f>"58"</f>
        <v>58</v>
      </c>
      <c r="V17" s="1" t="str">
        <f>""</f>
        <v/>
      </c>
      <c r="W17" s="1" t="str">
        <f>""</f>
        <v/>
      </c>
      <c r="X17" s="1" t="str">
        <f>""</f>
        <v/>
      </c>
      <c r="Y17" s="1" t="str">
        <f>"233"</f>
        <v>233</v>
      </c>
      <c r="Z17" t="str">
        <f>"3433001301"</f>
        <v>3433001301</v>
      </c>
      <c r="AA17" t="str">
        <f>"9089275433"</f>
        <v>9089275433</v>
      </c>
      <c r="AB17" t="str">
        <f>"9089275433"</f>
        <v>9089275433</v>
      </c>
      <c r="AC17" t="str">
        <f>"9089275433"</f>
        <v>9089275433</v>
      </c>
      <c r="AD17" t="str">
        <f>"9089275433"</f>
        <v>9089275433</v>
      </c>
      <c r="AE17" t="str">
        <f>"3433001301"</f>
        <v>3433001301</v>
      </c>
    </row>
    <row r="18" spans="1:31" x14ac:dyDescent="0.45">
      <c r="A18" t="str">
        <f>"КАЮМОВА ЛАРИСА ЮРЬЕВНА"</f>
        <v>КАЮМОВА ЛАРИСА ЮРЬЕВНА</v>
      </c>
      <c r="B18" t="str">
        <f>"1972-04-13"</f>
        <v>1972-04-13</v>
      </c>
      <c r="C18" t="str">
        <f>"65 17 430281"</f>
        <v>65 17 430281</v>
      </c>
      <c r="D18" t="str">
        <f>"4279011631636191"</f>
        <v>4279011631636191</v>
      </c>
      <c r="E18" t="str">
        <f t="shared" si="4"/>
        <v>2021-06-30</v>
      </c>
      <c r="F18" t="str">
        <f t="shared" si="3"/>
        <v>+</v>
      </c>
      <c r="G18" t="str">
        <f t="shared" si="3"/>
        <v>+</v>
      </c>
      <c r="H18" t="str">
        <f>"40817810716991443305"</f>
        <v>40817810716991443305</v>
      </c>
      <c r="I18" t="str">
        <f>"7003"</f>
        <v>7003</v>
      </c>
      <c r="J18" t="str">
        <f>"7774"</f>
        <v>7774</v>
      </c>
      <c r="K18" t="str">
        <f>"85000.00"</f>
        <v>85000.00</v>
      </c>
      <c r="L18" t="str">
        <f>"623100 ОБЛ СВЕРДЛОВСКАЯ   Г ПЕРВОУРАЛЬСК   УЛ МЕТАЛЛУРГОВ д. 3А"</f>
        <v>623100 ОБЛ СВЕРДЛОВСКАЯ   Г ПЕРВОУРАЛЬСК   УЛ МЕТАЛЛУРГОВ д. 3А</v>
      </c>
      <c r="M18" t="str">
        <f t="shared" si="1"/>
        <v>2019-08-24</v>
      </c>
      <c r="N18" t="str">
        <f>"ГБУЗ СО ГБ ПЕРВОУРАЛЬСК"</f>
        <v>ГБУЗ СО ГБ ПЕРВОУРАЛЬСК</v>
      </c>
      <c r="O18" t="str">
        <f>"623100"</f>
        <v>623100</v>
      </c>
      <c r="P18" t="str">
        <f>"ОБЛ СВЕРДЛОВСКАЯ"</f>
        <v>ОБЛ СВЕРДЛОВСКАЯ</v>
      </c>
      <c r="Q18" t="str">
        <f>""</f>
        <v/>
      </c>
      <c r="R18" t="str">
        <f>"Г ПЕРВОУРАЛЬСК"</f>
        <v>Г ПЕРВОУРАЛЬСК</v>
      </c>
      <c r="S18" t="str">
        <f>""</f>
        <v/>
      </c>
      <c r="T18" t="str">
        <f>"УЛ ВОЛОДАРСКОГО"</f>
        <v>УЛ ВОЛОДАРСКОГО</v>
      </c>
      <c r="U18" s="1" t="str">
        <f>"16"</f>
        <v>16</v>
      </c>
      <c r="V18" s="1" t="str">
        <f>""</f>
        <v/>
      </c>
      <c r="W18" s="1" t="str">
        <f>""</f>
        <v/>
      </c>
      <c r="X18" s="1" t="str">
        <f>""</f>
        <v/>
      </c>
      <c r="Y18" s="1" t="str">
        <f>"61"</f>
        <v>61</v>
      </c>
      <c r="Z18" t="str">
        <f>"3439648415"</f>
        <v>3439648415</v>
      </c>
      <c r="AA18" t="str">
        <f>"9086348424"</f>
        <v>9086348424</v>
      </c>
      <c r="AB18" t="str">
        <f>"9086348424"</f>
        <v>9086348424</v>
      </c>
      <c r="AC18" t="str">
        <f>"9086348424"</f>
        <v>9086348424</v>
      </c>
      <c r="AD18" t="str">
        <f>"9086348424"</f>
        <v>9086348424</v>
      </c>
      <c r="AE18" t="str">
        <f>"3439648415"</f>
        <v>3439648415</v>
      </c>
    </row>
    <row r="19" spans="1:31" x14ac:dyDescent="0.45">
      <c r="A19" t="str">
        <f>"ГАРТВИК ЮЛИЯ АНАТОЛЬЕВНА"</f>
        <v>ГАРТВИК ЮЛИЯ АНАТОЛЬЕВНА</v>
      </c>
      <c r="B19" t="str">
        <f>"1984-07-04"</f>
        <v>1984-07-04</v>
      </c>
      <c r="C19" t="str">
        <f>"71 09 761338"</f>
        <v>71 09 761338</v>
      </c>
      <c r="D19" t="str">
        <f>"4279016731902716"</f>
        <v>4279016731902716</v>
      </c>
      <c r="E19" t="str">
        <f t="shared" si="4"/>
        <v>2021-06-30</v>
      </c>
      <c r="F19" t="str">
        <f t="shared" si="3"/>
        <v>+</v>
      </c>
      <c r="G19" t="str">
        <f t="shared" si="3"/>
        <v>+</v>
      </c>
      <c r="H19" t="str">
        <f>"40817810616992401611"</f>
        <v>40817810616992401611</v>
      </c>
      <c r="I19" t="str">
        <f>"8647"</f>
        <v>8647</v>
      </c>
      <c r="J19" t="str">
        <f>"0079"</f>
        <v>0079</v>
      </c>
      <c r="K19" t="str">
        <f>"110000.00"</f>
        <v>110000.00</v>
      </c>
      <c r="L19" t="str">
        <f>"625000 ОБЛ ТЮМЕНСКАЯ   Г ТЮМЕНЬ   УЛ ПЕРМЯКОВА д. 50Б"</f>
        <v>625000 ОБЛ ТЮМЕНСКАЯ   Г ТЮМЕНЬ   УЛ ПЕРМЯКОВА д. 50Б</v>
      </c>
      <c r="M19" t="str">
        <f t="shared" si="1"/>
        <v>2019-08-24</v>
      </c>
      <c r="N19" t="str">
        <f>"ИП ТАРАЧЕВА А.А."</f>
        <v>ИП ТАРАЧЕВА А.А.</v>
      </c>
      <c r="O19" t="str">
        <f>"625000"</f>
        <v>625000</v>
      </c>
      <c r="P19" t="str">
        <f>"ОБЛ ТЮМЕНСКАЯ"</f>
        <v>ОБЛ ТЮМЕНСКАЯ</v>
      </c>
      <c r="Q19" t="str">
        <f>""</f>
        <v/>
      </c>
      <c r="R19" t="str">
        <f>"Г ТЮМЕНЬ"</f>
        <v>Г ТЮМЕНЬ</v>
      </c>
      <c r="S19" t="str">
        <f>""</f>
        <v/>
      </c>
      <c r="T19" t="str">
        <f>"УЛ ОЛИМПИЙСКАЯ"</f>
        <v>УЛ ОЛИМПИЙСКАЯ</v>
      </c>
      <c r="U19" s="1" t="str">
        <f>"8"</f>
        <v>8</v>
      </c>
      <c r="V19" s="1" t="str">
        <f>""</f>
        <v/>
      </c>
      <c r="W19" s="1" t="str">
        <f>""</f>
        <v/>
      </c>
      <c r="X19" s="1" t="str">
        <f>""</f>
        <v/>
      </c>
      <c r="Y19" s="1" t="str">
        <f>"805"</f>
        <v>805</v>
      </c>
      <c r="Z19" t="str">
        <f>"9222612940"</f>
        <v>9222612940</v>
      </c>
      <c r="AA19" t="str">
        <f>"9199304574"</f>
        <v>9199304574</v>
      </c>
      <c r="AB19" t="str">
        <f>"9199304574"</f>
        <v>9199304574</v>
      </c>
      <c r="AC19" t="str">
        <f>"9199304574"</f>
        <v>9199304574</v>
      </c>
      <c r="AD19" t="str">
        <f>"9199304574"</f>
        <v>9199304574</v>
      </c>
      <c r="AE19" t="str">
        <f>"9222612940"</f>
        <v>9222612940</v>
      </c>
    </row>
    <row r="20" spans="1:31" x14ac:dyDescent="0.45">
      <c r="A20" t="str">
        <f>"ВОРОТЫНЕЦ КАРИНА ПАВЛОВНА"</f>
        <v>ВОРОТЫНЕЦ КАРИНА ПАВЛОВНА</v>
      </c>
      <c r="B20" t="str">
        <f>"1991-08-11"</f>
        <v>1991-08-11</v>
      </c>
      <c r="C20" t="str">
        <f>"67 11 177748"</f>
        <v>67 11 177748</v>
      </c>
      <c r="D20" t="str">
        <f>"5484016703770578"</f>
        <v>5484016703770578</v>
      </c>
      <c r="E20" t="str">
        <f t="shared" si="4"/>
        <v>2021-06-30</v>
      </c>
      <c r="F20" t="str">
        <f t="shared" si="3"/>
        <v>+</v>
      </c>
      <c r="G20" t="str">
        <f t="shared" si="3"/>
        <v>+</v>
      </c>
      <c r="H20" t="str">
        <f>"40817810616992093647"</f>
        <v>40817810616992093647</v>
      </c>
      <c r="I20" t="str">
        <f>"5940"</f>
        <v>5940</v>
      </c>
      <c r="J20" t="str">
        <f>"7771"</f>
        <v>7771</v>
      </c>
      <c r="K20" t="str">
        <f>"14000.00"</f>
        <v>14000.00</v>
      </c>
      <c r="L20" t="str">
        <f>"628400 ОБЛ ТЮМЕНСКАЯ   Г СУРГУТ   УЛ БАХИЛОВА д. 5"</f>
        <v>628400 ОБЛ ТЮМЕНСКАЯ   Г СУРГУТ   УЛ БАХИЛОВА д. 5</v>
      </c>
      <c r="M20" t="str">
        <f t="shared" si="1"/>
        <v>2019-08-24</v>
      </c>
      <c r="N20" t="str">
        <f>"МБОУ СОШ №26 Г. СУРГУТ"</f>
        <v>МБОУ СОШ №26 Г. СУРГУТ</v>
      </c>
      <c r="O20" t="str">
        <f>"634003"</f>
        <v>634003</v>
      </c>
      <c r="P20" t="str">
        <f>"ОБЛ ТОМСКАЯ"</f>
        <v>ОБЛ ТОМСКАЯ</v>
      </c>
      <c r="Q20" t="str">
        <f>"Р-Н АЛЕКСАНДРОВСКИЙ"</f>
        <v>Р-Н АЛЕКСАНДРОВСКИЙ</v>
      </c>
      <c r="R20" t="str">
        <f>""</f>
        <v/>
      </c>
      <c r="S20" t="str">
        <f>"С АЛЕКСАНДРОВСКОЕ"</f>
        <v>С АЛЕКСАНДРОВСКОЕ</v>
      </c>
      <c r="T20" t="str">
        <f>"УЛ ПУШКИНА"</f>
        <v>УЛ ПУШКИНА</v>
      </c>
      <c r="U20" s="1" t="str">
        <f>"46"</f>
        <v>46</v>
      </c>
      <c r="V20" s="1" t="str">
        <f>""</f>
        <v/>
      </c>
      <c r="W20" s="1" t="str">
        <f>""</f>
        <v/>
      </c>
      <c r="X20" s="1" t="str">
        <f>""</f>
        <v/>
      </c>
      <c r="Y20" s="1" t="str">
        <f>"6"</f>
        <v>6</v>
      </c>
      <c r="Z20" t="str">
        <f>"3462942950"</f>
        <v>3462942950</v>
      </c>
      <c r="AA20" t="str">
        <f>"(346)2222425"</f>
        <v>(346)2222425</v>
      </c>
      <c r="AB20" t="str">
        <f>"9821936826"</f>
        <v>9821936826</v>
      </c>
      <c r="AC20" t="str">
        <f>"9821936826"</f>
        <v>9821936826</v>
      </c>
      <c r="AD20" t="str">
        <f>"9138488151"</f>
        <v>9138488151</v>
      </c>
      <c r="AE20" t="str">
        <f>"3462942950"</f>
        <v>3462942950</v>
      </c>
    </row>
    <row r="21" spans="1:31" x14ac:dyDescent="0.45">
      <c r="A21" t="str">
        <f>"ВОРФОЛОМЕЕВ АЛЕКСАНДР НИКОЛАЕВИЧ"</f>
        <v>ВОРФОЛОМЕЕВ АЛЕКСАНДР НИКОЛАЕВИЧ</v>
      </c>
      <c r="B21" t="str">
        <f>"1989-06-27"</f>
        <v>1989-06-27</v>
      </c>
      <c r="C21" t="str">
        <f>"67 10 028648"</f>
        <v>67 10 028648</v>
      </c>
      <c r="D21" t="str">
        <f>"5484016709998660"</f>
        <v>5484016709998660</v>
      </c>
      <c r="E21" t="str">
        <f t="shared" si="4"/>
        <v>2021-06-30</v>
      </c>
      <c r="F21" t="str">
        <f t="shared" si="3"/>
        <v>+</v>
      </c>
      <c r="G21" t="str">
        <f t="shared" si="3"/>
        <v>+</v>
      </c>
      <c r="H21" t="str">
        <f>"40817810916992093596"</f>
        <v>40817810916992093596</v>
      </c>
      <c r="I21" t="str">
        <f>"5940"</f>
        <v>5940</v>
      </c>
      <c r="J21" t="str">
        <f>"7771"</f>
        <v>7771</v>
      </c>
      <c r="K21" t="str">
        <f>"360000.00"</f>
        <v>360000.00</v>
      </c>
      <c r="L21" t="str">
        <f>"628400 ОБЛ ТЮМЕНСКАЯ   Г СУРГУТ   УЛ ЛЕНИНА д. 75"</f>
        <v>628400 ОБЛ ТЮМЕНСКАЯ   Г СУРГУТ   УЛ ЛЕНИНА д. 75</v>
      </c>
      <c r="M21" t="str">
        <f t="shared" si="1"/>
        <v>2019-08-24</v>
      </c>
      <c r="N21" t="str">
        <f>"ОАО НГДУ БЫСТРИНСКНЕФТЬ"</f>
        <v>ОАО НГДУ БЫСТРИНСКНЕФТЬ</v>
      </c>
      <c r="O21" t="str">
        <f>"628400"</f>
        <v>628400</v>
      </c>
      <c r="P21" t="str">
        <f>"ОБЛ ТЮМЕНСКАЯ"</f>
        <v>ОБЛ ТЮМЕНСКАЯ</v>
      </c>
      <c r="Q21" t="str">
        <f>""</f>
        <v/>
      </c>
      <c r="R21" t="str">
        <f>"Г СУРГУТ"</f>
        <v>Г СУРГУТ</v>
      </c>
      <c r="S21" t="str">
        <f>""</f>
        <v/>
      </c>
      <c r="T21" t="str">
        <f>"УЛ НЕФТЯНИКОВ"</f>
        <v>УЛ НЕФТЯНИКОВ</v>
      </c>
      <c r="U21" s="1" t="str">
        <f>"6/1"</f>
        <v>6/1</v>
      </c>
      <c r="V21" s="1" t="str">
        <f>""</f>
        <v/>
      </c>
      <c r="W21" s="1" t="str">
        <f>""</f>
        <v/>
      </c>
      <c r="X21" s="1" t="str">
        <f>""</f>
        <v/>
      </c>
      <c r="Y21" s="1" t="str">
        <f>"68"</f>
        <v>68</v>
      </c>
      <c r="Z21" t="str">
        <f>"3462419977"</f>
        <v>3462419977</v>
      </c>
      <c r="AA21" t="str">
        <f>"3462250008"</f>
        <v>3462250008</v>
      </c>
      <c r="AB21" t="str">
        <f>"9227711048"</f>
        <v>9227711048</v>
      </c>
      <c r="AC21" t="str">
        <f>"3462250008"</f>
        <v>3462250008</v>
      </c>
      <c r="AD21" t="str">
        <f>"9227711048"</f>
        <v>9227711048</v>
      </c>
      <c r="AE21" t="str">
        <f>"3462419977"</f>
        <v>3462419977</v>
      </c>
    </row>
    <row r="22" spans="1:31" x14ac:dyDescent="0.45">
      <c r="A22" t="str">
        <f>"РОМАНОВА МАРИНА ВИКТОРОВНА"</f>
        <v>РОМАНОВА МАРИНА ВИКТОРОВНА</v>
      </c>
      <c r="B22" t="str">
        <f>"1961-11-07"</f>
        <v>1961-11-07</v>
      </c>
      <c r="C22" t="str">
        <f>"67 05 610649"</f>
        <v>67 05 610649</v>
      </c>
      <c r="D22" t="str">
        <f>"4279016716596293"</f>
        <v>4279016716596293</v>
      </c>
      <c r="E22" t="str">
        <f t="shared" si="4"/>
        <v>2021-06-30</v>
      </c>
      <c r="F22" t="str">
        <f t="shared" si="3"/>
        <v>+</v>
      </c>
      <c r="G22" t="str">
        <f t="shared" si="3"/>
        <v>+</v>
      </c>
      <c r="H22" t="str">
        <f>"40817810616992402157"</f>
        <v>40817810616992402157</v>
      </c>
      <c r="I22" t="str">
        <f>"5940"</f>
        <v>5940</v>
      </c>
      <c r="J22" t="str">
        <f>"0016"</f>
        <v>0016</v>
      </c>
      <c r="K22" t="str">
        <f>"80000.00"</f>
        <v>80000.00</v>
      </c>
      <c r="L22" t="str">
        <f>"628433 ОБЛ ТЮМЕНСКАЯ Р-Н СУРГУТ Г СУРГУТ П БЕЛЫЙ ЯР УЛ ШУКШИНА д. 5"</f>
        <v>628433 ОБЛ ТЮМЕНСКАЯ Р-Н СУРГУТ Г СУРГУТ П БЕЛЫЙ ЯР УЛ ШУКШИНА д. 5</v>
      </c>
      <c r="M22" t="str">
        <f t="shared" si="1"/>
        <v>2019-08-24</v>
      </c>
      <c r="N22" t="str">
        <f>"ПЕНСИЯ"</f>
        <v>ПЕНСИЯ</v>
      </c>
      <c r="O22" t="str">
        <f>"628433"</f>
        <v>628433</v>
      </c>
      <c r="P22" t="str">
        <f>"ОБЛ ТЮМЕНСКАЯ"</f>
        <v>ОБЛ ТЮМЕНСКАЯ</v>
      </c>
      <c r="Q22" t="str">
        <f>"Р-Н СУРГУТСКИЙ"</f>
        <v>Р-Н СУРГУТСКИЙ</v>
      </c>
      <c r="R22" t="str">
        <f>"Г СУРГУТСКИЙ"</f>
        <v>Г СУРГУТСКИЙ</v>
      </c>
      <c r="S22" t="str">
        <f>"П БЕЛЫЙ ЯР"</f>
        <v>П БЕЛЫЙ ЯР</v>
      </c>
      <c r="T22" t="str">
        <f>"УЛ ШУКШИНА"</f>
        <v>УЛ ШУКШИНА</v>
      </c>
      <c r="U22" s="1" t="str">
        <f>"7"</f>
        <v>7</v>
      </c>
      <c r="V22" s="1" t="str">
        <f>""</f>
        <v/>
      </c>
      <c r="W22" s="1" t="str">
        <f>""</f>
        <v/>
      </c>
      <c r="X22" s="1" t="str">
        <f>""</f>
        <v/>
      </c>
      <c r="Y22" s="1" t="str">
        <f>"10"</f>
        <v>10</v>
      </c>
      <c r="Z22" t="str">
        <f>""</f>
        <v/>
      </c>
      <c r="AA22" t="str">
        <f>"3462745896"</f>
        <v>3462745896</v>
      </c>
      <c r="AB22" t="str">
        <f>"9097083225"</f>
        <v>9097083225</v>
      </c>
      <c r="AC22" t="str">
        <f>"3462745896"</f>
        <v>3462745896</v>
      </c>
      <c r="AD22" t="str">
        <f>"9097083225"</f>
        <v>9097083225</v>
      </c>
      <c r="AE22" t="str">
        <f>""</f>
        <v/>
      </c>
    </row>
    <row r="23" spans="1:31" x14ac:dyDescent="0.45">
      <c r="A23" t="str">
        <f>"ГАЛЕЕВ ЗИНУР РЯЗАПОВИЧ"</f>
        <v>ГАЛЕЕВ ЗИНУР РЯЗАПОВИЧ</v>
      </c>
      <c r="B23" t="str">
        <f>"1960-05-27"</f>
        <v>1960-05-27</v>
      </c>
      <c r="C23" t="str">
        <f>"80 05 363706"</f>
        <v>80 05 363706</v>
      </c>
      <c r="D23" t="str">
        <f>"5484011605778548"</f>
        <v>5484011605778548</v>
      </c>
      <c r="E23" t="str">
        <f t="shared" si="4"/>
        <v>2021-06-30</v>
      </c>
      <c r="F23" t="str">
        <f t="shared" si="3"/>
        <v>+</v>
      </c>
      <c r="G23" t="str">
        <f t="shared" si="3"/>
        <v>+</v>
      </c>
      <c r="H23" t="str">
        <f>"40817810616991443308"</f>
        <v>40817810616991443308</v>
      </c>
      <c r="I23" t="str">
        <f>"8598"</f>
        <v>8598</v>
      </c>
      <c r="J23" t="str">
        <f>"7770"</f>
        <v>7770</v>
      </c>
      <c r="K23" t="str">
        <f>"125000.00"</f>
        <v>125000.00</v>
      </c>
      <c r="L23" t="str">
        <f>"450000 РЕСП БАШКОРТОСТАН   Г УФА   УЛ ЧЕКМАГУШЕВСКАЯ д. 1А"</f>
        <v>450000 РЕСП БАШКОРТОСТАН   Г УФА   УЛ ЧЕКМАГУШЕВСКАЯ д. 1А</v>
      </c>
      <c r="M23" t="str">
        <f t="shared" si="1"/>
        <v>2019-08-24</v>
      </c>
      <c r="N23" t="s">
        <v>30</v>
      </c>
      <c r="O23" t="str">
        <f>"450000"</f>
        <v>450000</v>
      </c>
      <c r="P23" t="str">
        <f>"РЕСП БАШКОРТОСТАН"</f>
        <v>РЕСП БАШКОРТОСТАН</v>
      </c>
      <c r="Q23" t="str">
        <f>"Р-Н ИГЛИНСКИЙ"</f>
        <v>Р-Н ИГЛИНСКИЙ</v>
      </c>
      <c r="R23" t="str">
        <f>""</f>
        <v/>
      </c>
      <c r="S23" t="str">
        <f>"С ИГЛИНО"</f>
        <v>С ИГЛИНО</v>
      </c>
      <c r="T23" t="str">
        <f>"УЛ ТИХАЯ"</f>
        <v>УЛ ТИХАЯ</v>
      </c>
      <c r="U23" s="1" t="str">
        <f>"19"</f>
        <v>19</v>
      </c>
      <c r="V23" s="1" t="str">
        <f>""</f>
        <v/>
      </c>
      <c r="W23" s="1" t="str">
        <f>"-"</f>
        <v>-</v>
      </c>
      <c r="X23" s="1" t="str">
        <f>""</f>
        <v/>
      </c>
      <c r="Y23" s="1" t="str">
        <f>"-"</f>
        <v>-</v>
      </c>
      <c r="Z23" t="str">
        <f>"3472699400"</f>
        <v>3472699400</v>
      </c>
      <c r="AA23" t="str">
        <f>"9175568497"</f>
        <v>9175568497</v>
      </c>
      <c r="AB23" t="str">
        <f>"9174844471"</f>
        <v>9174844471</v>
      </c>
      <c r="AC23" t="str">
        <f>"9175568497"</f>
        <v>9175568497</v>
      </c>
      <c r="AD23" t="str">
        <f>"9174844471"</f>
        <v>9174844471</v>
      </c>
      <c r="AE23" t="str">
        <f>"3472699400"</f>
        <v>3472699400</v>
      </c>
    </row>
    <row r="24" spans="1:31" x14ac:dyDescent="0.45">
      <c r="A24" t="str">
        <f>"ГАЛИМОВ РАЛИФ НАЗИПОВИЧ"</f>
        <v>ГАЛИМОВ РАЛИФ НАЗИПОВИЧ</v>
      </c>
      <c r="B24" t="str">
        <f>"1963-08-20"</f>
        <v>1963-08-20</v>
      </c>
      <c r="C24" t="str">
        <f>"80 08 614394"</f>
        <v>80 08 614394</v>
      </c>
      <c r="D24" t="str">
        <f>"5484011605176115"</f>
        <v>5484011605176115</v>
      </c>
      <c r="E24" t="str">
        <f t="shared" si="4"/>
        <v>2021-06-30</v>
      </c>
      <c r="F24" t="str">
        <f t="shared" si="3"/>
        <v>+</v>
      </c>
      <c r="G24" t="str">
        <f t="shared" si="3"/>
        <v>+</v>
      </c>
      <c r="H24" t="str">
        <f>"40817810916991443309"</f>
        <v>40817810916991443309</v>
      </c>
      <c r="I24" t="str">
        <f>"8598"</f>
        <v>8598</v>
      </c>
      <c r="J24" t="str">
        <f>"7770"</f>
        <v>7770</v>
      </c>
      <c r="K24" t="str">
        <f>"155000.00"</f>
        <v>155000.00</v>
      </c>
      <c r="L24" t="str">
        <f>"450000 РЕСП БАШКОРТОСТАН   Г УФА   УЛ БЕССОНОВА д. 2"</f>
        <v>450000 РЕСП БАШКОРТОСТАН   Г УФА   УЛ БЕССОНОВА д. 2</v>
      </c>
      <c r="M24" t="str">
        <f t="shared" si="1"/>
        <v>2019-08-24</v>
      </c>
      <c r="N24" t="str">
        <f>"ООО БАШНЕФТЬ-РОЗНИЦА"</f>
        <v>ООО БАШНЕФТЬ-РОЗНИЦА</v>
      </c>
      <c r="O24" t="str">
        <f>"450000"</f>
        <v>450000</v>
      </c>
      <c r="P24" t="str">
        <f>"РЕСП БАШКОРТОСТАН"</f>
        <v>РЕСП БАШКОРТОСТАН</v>
      </c>
      <c r="Q24" t="str">
        <f>""</f>
        <v/>
      </c>
      <c r="R24" t="str">
        <f>"Г УФА"</f>
        <v>Г УФА</v>
      </c>
      <c r="S24" t="str">
        <f>""</f>
        <v/>
      </c>
      <c r="T24" t="str">
        <f>"УЛ Б.БИКБАЯ"</f>
        <v>УЛ Б.БИКБАЯ</v>
      </c>
      <c r="U24" s="1" t="str">
        <f>"30"</f>
        <v>30</v>
      </c>
      <c r="V24" s="1" t="str">
        <f>""</f>
        <v/>
      </c>
      <c r="W24" s="1" t="str">
        <f>""</f>
        <v/>
      </c>
      <c r="X24" s="1" t="str">
        <f>""</f>
        <v/>
      </c>
      <c r="Y24" s="1" t="str">
        <f>"174"</f>
        <v>174</v>
      </c>
      <c r="Z24" t="str">
        <f>"3472144727"</f>
        <v>3472144727</v>
      </c>
      <c r="AA24" t="str">
        <f>""</f>
        <v/>
      </c>
      <c r="AB24" t="str">
        <f>"9276378094"</f>
        <v>9276378094</v>
      </c>
      <c r="AC24" t="str">
        <f>"0000000000"</f>
        <v>0000000000</v>
      </c>
      <c r="AD24" t="str">
        <f>"9276378094"</f>
        <v>9276378094</v>
      </c>
      <c r="AE24" t="str">
        <f>"3472144727"</f>
        <v>3472144727</v>
      </c>
    </row>
    <row r="25" spans="1:31" x14ac:dyDescent="0.45">
      <c r="A25" t="str">
        <f>"ХАМИДУЛЛИНА ВЕНЕРА ФАНИЛОВНА"</f>
        <v>ХАМИДУЛЛИНА ВЕНЕРА ФАНИЛОВНА</v>
      </c>
      <c r="B25" t="str">
        <f>"1973-10-15"</f>
        <v>1973-10-15</v>
      </c>
      <c r="C25" t="str">
        <f>"80 04 347634"</f>
        <v>80 04 347634</v>
      </c>
      <c r="D25" t="str">
        <f>"5484011604150079"</f>
        <v>5484011604150079</v>
      </c>
      <c r="E25" t="str">
        <f t="shared" si="4"/>
        <v>2021-06-30</v>
      </c>
      <c r="F25" t="str">
        <f>"Q"</f>
        <v>Q</v>
      </c>
      <c r="G25" t="str">
        <f>"Q"</f>
        <v>Q</v>
      </c>
      <c r="H25" t="str">
        <f>"40817810616991443382"</f>
        <v>40817810616991443382</v>
      </c>
      <c r="I25" t="str">
        <f>"8598"</f>
        <v>8598</v>
      </c>
      <c r="J25" t="str">
        <f>"7770"</f>
        <v>7770</v>
      </c>
      <c r="K25" t="str">
        <f>"0.00"</f>
        <v>0.00</v>
      </c>
      <c r="L25" t="str">
        <f>"450000 РЕСП БАШКОРТОСТАН   Г УФА   УЛ БЕССОНОВА д. 2"</f>
        <v>450000 РЕСП БАШКОРТОСТАН   Г УФА   УЛ БЕССОНОВА д. 2</v>
      </c>
      <c r="M25" t="str">
        <f t="shared" si="1"/>
        <v>2019-08-24</v>
      </c>
      <c r="N25" t="str">
        <f>"ООО БАШНЕФТЬ-РОЗНИЦА"</f>
        <v>ООО БАШНЕФТЬ-РОЗНИЦА</v>
      </c>
      <c r="O25" t="str">
        <f>"450000"</f>
        <v>450000</v>
      </c>
      <c r="P25" t="str">
        <f>"РЕСП БАШКОРТОСТАН"</f>
        <v>РЕСП БАШКОРТОСТАН</v>
      </c>
      <c r="Q25" t="str">
        <f>""</f>
        <v/>
      </c>
      <c r="R25" t="str">
        <f>"Г УФА"</f>
        <v>Г УФА</v>
      </c>
      <c r="S25" t="str">
        <f>""</f>
        <v/>
      </c>
      <c r="T25" t="str">
        <f>"УЛ М.ФЕРИНА"</f>
        <v>УЛ М.ФЕРИНА</v>
      </c>
      <c r="U25" s="1" t="str">
        <f>"14"</f>
        <v>14</v>
      </c>
      <c r="V25" s="1" t="str">
        <f>""</f>
        <v/>
      </c>
      <c r="W25" s="1" t="str">
        <f>""</f>
        <v/>
      </c>
      <c r="X25" s="1" t="str">
        <f>""</f>
        <v/>
      </c>
      <c r="Y25" s="1" t="str">
        <f>"120"</f>
        <v>120</v>
      </c>
      <c r="Z25" t="str">
        <f>"3472144727"</f>
        <v>3472144727</v>
      </c>
      <c r="AA25" t="str">
        <f>"9174169996"</f>
        <v>9174169996</v>
      </c>
      <c r="AB25" t="str">
        <f>"9177507956"</f>
        <v>9177507956</v>
      </c>
      <c r="AC25" t="str">
        <f>"9174169996"</f>
        <v>9174169996</v>
      </c>
      <c r="AD25" t="str">
        <f>"9177507956"</f>
        <v>9177507956</v>
      </c>
      <c r="AE25" t="str">
        <f>"3472144727"</f>
        <v>3472144727</v>
      </c>
    </row>
    <row r="26" spans="1:31" x14ac:dyDescent="0.45">
      <c r="A26" t="str">
        <f>"ЛАВРОВА РЕГИНА ФАРИТОВНА"</f>
        <v>ЛАВРОВА РЕГИНА ФАРИТОВНА</v>
      </c>
      <c r="B26" t="str">
        <f>"1982-11-14"</f>
        <v>1982-11-14</v>
      </c>
      <c r="C26" t="str">
        <f>"80 13 858775"</f>
        <v>80 13 858775</v>
      </c>
      <c r="D26" t="str">
        <f>"5484011603483836"</f>
        <v>5484011603483836</v>
      </c>
      <c r="E26" t="str">
        <f t="shared" si="4"/>
        <v>2021-06-30</v>
      </c>
      <c r="F26" t="str">
        <f>"Q"</f>
        <v>Q</v>
      </c>
      <c r="G26" t="str">
        <f>"Q"</f>
        <v>Q</v>
      </c>
      <c r="H26" t="str">
        <f>"40817810916991443383"</f>
        <v>40817810916991443383</v>
      </c>
      <c r="I26" t="str">
        <f>"8598"</f>
        <v>8598</v>
      </c>
      <c r="J26" t="str">
        <f>"7770"</f>
        <v>7770</v>
      </c>
      <c r="K26" t="str">
        <f>"0.00"</f>
        <v>0.00</v>
      </c>
      <c r="L26" t="str">
        <f>"450000 РЕСП БАШКОРТОСТАН   Г УФА   УЛ ЧЕКМАГУШЕВСКАЯ д. 1А"</f>
        <v>450000 РЕСП БАШКОРТОСТАН   Г УФА   УЛ ЧЕКМАГУШЕВСКАЯ д. 1А</v>
      </c>
      <c r="M26" t="str">
        <f t="shared" si="1"/>
        <v>2019-08-24</v>
      </c>
      <c r="N26" t="str">
        <f>"06006658"</f>
        <v>06006658</v>
      </c>
      <c r="O26" t="str">
        <f>"450000"</f>
        <v>450000</v>
      </c>
      <c r="P26" t="str">
        <f>"РЕСП БАШКОРТОСТАН"</f>
        <v>РЕСП БАШКОРТОСТАН</v>
      </c>
      <c r="Q26" t="str">
        <f>""</f>
        <v/>
      </c>
      <c r="R26" t="str">
        <f>"Г УФА"</f>
        <v>Г УФА</v>
      </c>
      <c r="S26" t="str">
        <f>""</f>
        <v/>
      </c>
      <c r="T26" t="str">
        <f>"УЛ Б-Р ХАДИИ ДАВЛЕТШИНОЙ"</f>
        <v>УЛ Б-Р ХАДИИ ДАВЛЕТШИНОЙ</v>
      </c>
      <c r="U26" s="1" t="str">
        <f>"6"</f>
        <v>6</v>
      </c>
      <c r="V26" s="1" t="str">
        <f>""</f>
        <v/>
      </c>
      <c r="W26" s="1" t="str">
        <f>""</f>
        <v/>
      </c>
      <c r="X26" s="1" t="str">
        <f>""</f>
        <v/>
      </c>
      <c r="Y26" s="1" t="str">
        <f>"98"</f>
        <v>98</v>
      </c>
      <c r="Z26" t="str">
        <f>"3472699413"</f>
        <v>3472699413</v>
      </c>
      <c r="AA26" t="str">
        <f>"3472203234"</f>
        <v>3472203234</v>
      </c>
      <c r="AB26" t="str">
        <f>"9273308192"</f>
        <v>9273308192</v>
      </c>
      <c r="AC26" t="str">
        <f>"3472203234"</f>
        <v>3472203234</v>
      </c>
      <c r="AD26" t="str">
        <f>"9273308192"</f>
        <v>9273308192</v>
      </c>
      <c r="AE26" t="str">
        <f>"3472699413"</f>
        <v>3472699413</v>
      </c>
    </row>
    <row r="27" spans="1:31" x14ac:dyDescent="0.45">
      <c r="A27" t="str">
        <f>"ПЛОТНИКОВА ИРИНА АЛЕКСАНДРОВНА"</f>
        <v>ПЛОТНИКОВА ИРИНА АЛЕКСАНДРОВНА</v>
      </c>
      <c r="B27" t="str">
        <f>"1984-01-14"</f>
        <v>1984-01-14</v>
      </c>
      <c r="C27" t="str">
        <f>"75 11 950356"</f>
        <v>75 11 950356</v>
      </c>
      <c r="D27" t="str">
        <f>"4854630423929473"</f>
        <v>4854630423929473</v>
      </c>
      <c r="E27" t="str">
        <f>"2021-04-30"</f>
        <v>2021-04-30</v>
      </c>
      <c r="F27" t="str">
        <f>"+"</f>
        <v>+</v>
      </c>
      <c r="G27" t="str">
        <f>"+"</f>
        <v>+</v>
      </c>
      <c r="H27" t="str">
        <f>"40817810516991419199"</f>
        <v>40817810516991419199</v>
      </c>
      <c r="I27" t="str">
        <f>"8597"</f>
        <v>8597</v>
      </c>
      <c r="J27" t="str">
        <f>"0297"</f>
        <v>0297</v>
      </c>
      <c r="K27" t="str">
        <f>"15000.00"</f>
        <v>15000.00</v>
      </c>
      <c r="L27" t="str">
        <f>"454000 ОБЛ ЧЕЛЯБИНСКАЯ   Г ЧЕЛЯБИНСК   УЛ БЛЮХЕРА д. 69А"</f>
        <v>454000 ОБЛ ЧЕЛЯБИНСКАЯ   Г ЧЕЛЯБИНСК   УЛ БЛЮХЕРА д. 69А</v>
      </c>
      <c r="M27" t="str">
        <f t="shared" si="1"/>
        <v>2019-08-24</v>
      </c>
      <c r="N27" t="str">
        <f>"ООО ТОРГОВЫЙ ДОМ МИАСС МЕБЕЛЬ"</f>
        <v>ООО ТОРГОВЫЙ ДОМ МИАСС МЕБЕЛЬ</v>
      </c>
      <c r="O27" t="str">
        <f>"456621"</f>
        <v>456621</v>
      </c>
      <c r="P27" t="str">
        <f>"ОБЛ ЧЕЛЯБИНСКАЯ"</f>
        <v>ОБЛ ЧЕЛЯБИНСКАЯ</v>
      </c>
      <c r="Q27" t="str">
        <f>""</f>
        <v/>
      </c>
      <c r="R27" t="str">
        <f>"Г КОПЕЙСК"</f>
        <v>Г КОПЕЙСК</v>
      </c>
      <c r="S27" t="str">
        <f>""</f>
        <v/>
      </c>
      <c r="T27" t="str">
        <f>"УЛ ТУЛЬСКАЯ"</f>
        <v>УЛ ТУЛЬСКАЯ</v>
      </c>
      <c r="U27" s="1" t="str">
        <f>"6"</f>
        <v>6</v>
      </c>
      <c r="V27" s="1" t="str">
        <f>""</f>
        <v/>
      </c>
      <c r="W27" s="1" t="str">
        <f>""</f>
        <v/>
      </c>
      <c r="X27" s="1" t="str">
        <f>""</f>
        <v/>
      </c>
      <c r="Y27" s="1" t="str">
        <f>""</f>
        <v/>
      </c>
      <c r="Z27" t="str">
        <f>"3513575951"</f>
        <v>3513575951</v>
      </c>
      <c r="AA27" t="str">
        <f>"9507324888"</f>
        <v>9507324888</v>
      </c>
      <c r="AB27" t="str">
        <f>"9000298888"</f>
        <v>9000298888</v>
      </c>
      <c r="AC27" t="str">
        <f>"9507324888"</f>
        <v>9507324888</v>
      </c>
      <c r="AD27" t="str">
        <f>"9000298888"</f>
        <v>9000298888</v>
      </c>
      <c r="AE27" t="str">
        <f>""</f>
        <v/>
      </c>
    </row>
    <row r="28" spans="1:31" x14ac:dyDescent="0.45">
      <c r="A28" t="str">
        <f>"АЛИАКБАРОВ РУСЛАН РИНАТОВИЧ"</f>
        <v>АЛИАКБАРОВ РУСЛАН РИНАТОВИЧ</v>
      </c>
      <c r="B28" t="str">
        <f>"1987-02-20"</f>
        <v>1987-02-20</v>
      </c>
      <c r="C28" t="str">
        <f>"67 08 819098"</f>
        <v>67 08 819098</v>
      </c>
      <c r="D28" t="str">
        <f>"4817810038495260"</f>
        <v>4817810038495260</v>
      </c>
      <c r="E28" t="str">
        <f>"2021-05-31"</f>
        <v>2021-05-31</v>
      </c>
      <c r="F28" t="str">
        <f>"+"</f>
        <v>+</v>
      </c>
      <c r="G28" t="str">
        <f>"7"</f>
        <v>7</v>
      </c>
      <c r="H28" t="str">
        <f>"40817810216992065871"</f>
        <v>40817810216992065871</v>
      </c>
      <c r="I28" t="str">
        <f>"5940"</f>
        <v>5940</v>
      </c>
      <c r="J28" t="str">
        <f>"0053"</f>
        <v>0053</v>
      </c>
      <c r="K28" t="str">
        <f>"214626.92"</f>
        <v>214626.92</v>
      </c>
      <c r="L28" t="str">
        <f>"628400 ОБЛ ТЮМЕНСКАЯ АО ХМАО-ЮГРА Г СУРГУТ     д. 0"</f>
        <v>628400 ОБЛ ТЮМЕНСКАЯ АО ХМАО-ЮГРА Г СУРГУТ     д. 0</v>
      </c>
      <c r="M28" t="str">
        <f t="shared" si="1"/>
        <v>2019-08-24</v>
      </c>
      <c r="N28" t="str">
        <f>"ООО СОЮЗЛИФТ МОНТАЖ"</f>
        <v>ООО СОЮЗЛИФТ МОНТАЖ</v>
      </c>
      <c r="O28" t="str">
        <f>"628400"</f>
        <v>628400</v>
      </c>
      <c r="P28" t="str">
        <f t="shared" ref="P28:P34" si="5">"ОБЛ ТЮМЕНСКАЯ"</f>
        <v>ОБЛ ТЮМЕНСКАЯ</v>
      </c>
      <c r="Q28" t="str">
        <f>"АО ХМАО-ЮГРА"</f>
        <v>АО ХМАО-ЮГРА</v>
      </c>
      <c r="R28" t="str">
        <f>"Г СУРГУТ"</f>
        <v>Г СУРГУТ</v>
      </c>
      <c r="S28" t="str">
        <f>""</f>
        <v/>
      </c>
      <c r="T28" t="str">
        <f>"ПР-КТ НАБЕРЕЖНЫЙ"</f>
        <v>ПР-КТ НАБЕРЕЖНЫЙ</v>
      </c>
      <c r="U28" s="1" t="str">
        <f>"53"</f>
        <v>53</v>
      </c>
      <c r="V28" s="1" t="str">
        <f>""</f>
        <v/>
      </c>
      <c r="W28" s="1" t="str">
        <f>""</f>
        <v/>
      </c>
      <c r="X28" s="1" t="str">
        <f>""</f>
        <v/>
      </c>
      <c r="Y28" s="1" t="str">
        <f>"40"</f>
        <v>40</v>
      </c>
      <c r="Z28" t="str">
        <f>""</f>
        <v/>
      </c>
      <c r="AA28" t="str">
        <f>"9821354617"</f>
        <v>9821354617</v>
      </c>
      <c r="AB28" t="str">
        <f>"9822187570"</f>
        <v>9822187570</v>
      </c>
      <c r="AC28" t="str">
        <f>"9821354617"</f>
        <v>9821354617</v>
      </c>
      <c r="AD28" t="str">
        <f>"9822187570"</f>
        <v>9822187570</v>
      </c>
      <c r="AE28" t="str">
        <f>""</f>
        <v/>
      </c>
    </row>
    <row r="29" spans="1:31" x14ac:dyDescent="0.45">
      <c r="A29" t="str">
        <f>"РОМАШКИНА ЕВГЕНИЯ АЛЕКСЕЕВНА"</f>
        <v>РОМАШКИНА ЕВГЕНИЯ АЛЕКСЕЕВНА</v>
      </c>
      <c r="B29" t="str">
        <f>"1974-12-23"</f>
        <v>1974-12-23</v>
      </c>
      <c r="C29" t="str">
        <f>"75 07 052376"</f>
        <v>75 07 052376</v>
      </c>
      <c r="D29" t="str">
        <f>"4276016705205685"</f>
        <v>4276016705205685</v>
      </c>
      <c r="E29" t="str">
        <f>"2021-05-31"</f>
        <v>2021-05-31</v>
      </c>
      <c r="F29" t="str">
        <f>"+"</f>
        <v>+</v>
      </c>
      <c r="G29" t="str">
        <f>"+"</f>
        <v>+</v>
      </c>
      <c r="H29" t="str">
        <f>"40817810616992065824"</f>
        <v>40817810616992065824</v>
      </c>
      <c r="I29" t="str">
        <f>"8647"</f>
        <v>8647</v>
      </c>
      <c r="J29" t="str">
        <f>"0171"</f>
        <v>0171</v>
      </c>
      <c r="K29" t="str">
        <f>"400000.00"</f>
        <v>400000.00</v>
      </c>
      <c r="L29" t="str">
        <f>"625000 ОБЛ ТЮМЕНСКАЯ   Г ТЮМЕНЬ   УЛ 50 ЛЕТ ОКТЯБРЯ д. 23 корп. 1"</f>
        <v>625000 ОБЛ ТЮМЕНСКАЯ   Г ТЮМЕНЬ   УЛ 50 ЛЕТ ОКТЯБРЯ д. 23 корп. 1</v>
      </c>
      <c r="M29" t="str">
        <f t="shared" si="1"/>
        <v>2019-08-24</v>
      </c>
      <c r="N29" t="str">
        <f>"ООО ИНСТАЙЛ"</f>
        <v>ООО ИНСТАЙЛ</v>
      </c>
      <c r="O29" t="str">
        <f>"625000"</f>
        <v>625000</v>
      </c>
      <c r="P29" t="str">
        <f t="shared" si="5"/>
        <v>ОБЛ ТЮМЕНСКАЯ</v>
      </c>
      <c r="Q29" t="str">
        <f>""</f>
        <v/>
      </c>
      <c r="R29" t="str">
        <f>"Г ТЮМЕНЬ"</f>
        <v>Г ТЮМЕНЬ</v>
      </c>
      <c r="S29" t="str">
        <f>""</f>
        <v/>
      </c>
      <c r="T29" t="str">
        <f>"УЛ ОЛИМПИЙСКАЯ"</f>
        <v>УЛ ОЛИМПИЙСКАЯ</v>
      </c>
      <c r="U29" s="1" t="str">
        <f>"15"</f>
        <v>15</v>
      </c>
      <c r="V29" s="1" t="str">
        <f>""</f>
        <v/>
      </c>
      <c r="W29" s="1" t="str">
        <f>""</f>
        <v/>
      </c>
      <c r="X29" s="1" t="str">
        <f>""</f>
        <v/>
      </c>
      <c r="Y29" s="1" t="str">
        <f>"23К9"</f>
        <v>23К9</v>
      </c>
      <c r="Z29" t="str">
        <f>"3452550999"</f>
        <v>3452550999</v>
      </c>
      <c r="AA29" t="str">
        <f>"9612099455"</f>
        <v>9612099455</v>
      </c>
      <c r="AB29" t="str">
        <f>"9058579900"</f>
        <v>9058579900</v>
      </c>
      <c r="AC29" t="str">
        <f>"9612099455"</f>
        <v>9612099455</v>
      </c>
      <c r="AD29" t="str">
        <f>"9058579900"</f>
        <v>9058579900</v>
      </c>
      <c r="AE29" t="str">
        <f>"3452550999"</f>
        <v>3452550999</v>
      </c>
    </row>
    <row r="30" spans="1:31" x14ac:dyDescent="0.45">
      <c r="A30" t="str">
        <f>"МАГОМЕДОВА КЛЯНАТ МАГОМЕДОВНА"</f>
        <v>МАГОМЕДОВА КЛЯНАТ МАГОМЕДОВНА</v>
      </c>
      <c r="B30" t="str">
        <f>"1957-02-10"</f>
        <v>1957-02-10</v>
      </c>
      <c r="C30" t="str">
        <f>"67 02 705609"</f>
        <v>67 02 705609</v>
      </c>
      <c r="D30" t="str">
        <f>"4276016713611403"</f>
        <v>4276016713611403</v>
      </c>
      <c r="E30" t="str">
        <f>"2021-05-31"</f>
        <v>2021-05-31</v>
      </c>
      <c r="F30" t="str">
        <f>"+"</f>
        <v>+</v>
      </c>
      <c r="G30" t="str">
        <f>"+"</f>
        <v>+</v>
      </c>
      <c r="H30" t="str">
        <f>"40817810216992404717"</f>
        <v>40817810216992404717</v>
      </c>
      <c r="I30" t="str">
        <f>"5940"</f>
        <v>5940</v>
      </c>
      <c r="J30" t="str">
        <f>"0098"</f>
        <v>0098</v>
      </c>
      <c r="K30" t="str">
        <f>"61000.00"</f>
        <v>61000.00</v>
      </c>
      <c r="L30" t="str">
        <f>"628383 ОБЛ ТЮМЕНСКАЯ   Г ПЫТЬ-ЯХ   УЛ ЦЕНТРАЛЬНАЯ д. 17 стр. А"</f>
        <v>628383 ОБЛ ТЮМЕНСКАЯ   Г ПЫТЬ-ЯХ   УЛ ЦЕНТРАЛЬНАЯ д. 17 стр. А</v>
      </c>
      <c r="M30" t="str">
        <f t="shared" si="1"/>
        <v>2019-08-24</v>
      </c>
      <c r="N30" t="str">
        <f>"ИП МАГОМЕДОВА"</f>
        <v>ИП МАГОМЕДОВА</v>
      </c>
      <c r="O30" t="str">
        <f>"628383"</f>
        <v>628383</v>
      </c>
      <c r="P30" t="str">
        <f t="shared" si="5"/>
        <v>ОБЛ ТЮМЕНСКАЯ</v>
      </c>
      <c r="Q30" t="str">
        <f>""</f>
        <v/>
      </c>
      <c r="R30" t="str">
        <f>"Г ПЫТЬЯХ"</f>
        <v>Г ПЫТЬЯХ</v>
      </c>
      <c r="S30" t="str">
        <f>""</f>
        <v/>
      </c>
      <c r="T30" t="str">
        <f>"МКР НЕФТЯНИКОВ 2МКР"</f>
        <v>МКР НЕФТЯНИКОВ 2МКР</v>
      </c>
      <c r="U30" s="1" t="str">
        <f>"26"</f>
        <v>26</v>
      </c>
      <c r="V30" s="1" t="str">
        <f>""</f>
        <v/>
      </c>
      <c r="W30" s="1" t="str">
        <f>""</f>
        <v/>
      </c>
      <c r="X30" s="1" t="str">
        <f>""</f>
        <v/>
      </c>
      <c r="Y30" s="1" t="str">
        <f>"2"</f>
        <v>2</v>
      </c>
      <c r="Z30" t="str">
        <f>""</f>
        <v/>
      </c>
      <c r="AA30" t="str">
        <f>"9224301384"</f>
        <v>9224301384</v>
      </c>
      <c r="AB30" t="str">
        <f>"9324193471"</f>
        <v>9324193471</v>
      </c>
      <c r="AC30" t="str">
        <f>"9224301384"</f>
        <v>9224301384</v>
      </c>
      <c r="AD30" t="str">
        <f>"9324193471"</f>
        <v>9324193471</v>
      </c>
      <c r="AE30" t="str">
        <f>""</f>
        <v/>
      </c>
    </row>
    <row r="31" spans="1:31" x14ac:dyDescent="0.45">
      <c r="A31" t="str">
        <f>"РУДАКОВ ВЯЧЕСЛАВ ЕВГЕНЬЕВИЧ"</f>
        <v>РУДАКОВ ВЯЧЕСЛАВ ЕВГЕНЬЕВИЧ</v>
      </c>
      <c r="B31" t="str">
        <f>"1996-03-01"</f>
        <v>1996-03-01</v>
      </c>
      <c r="C31" t="str">
        <f>"71 15 204074"</f>
        <v>71 15 204074</v>
      </c>
      <c r="D31" t="str">
        <f>"4279016726284351"</f>
        <v>4279016726284351</v>
      </c>
      <c r="E31" t="str">
        <f>"2021-05-31"</f>
        <v>2021-05-31</v>
      </c>
      <c r="F31" t="str">
        <f>"K"</f>
        <v>K</v>
      </c>
      <c r="G31" t="str">
        <f>"+"</f>
        <v>+</v>
      </c>
      <c r="H31" t="str">
        <f>"40817810516992404792"</f>
        <v>40817810516992404792</v>
      </c>
      <c r="I31" t="str">
        <f>"8647"</f>
        <v>8647</v>
      </c>
      <c r="J31" t="str">
        <f>"0113"</f>
        <v>0113</v>
      </c>
      <c r="K31" t="str">
        <f>"50000.00"</f>
        <v>50000.00</v>
      </c>
      <c r="L31" t="str">
        <f>"625000 ОБЛ ТУЛЬСКАЯ   Г ТЮМЕНЬ   УЛ Д БЕДНОГО д. 96 стр. 14"</f>
        <v>625000 ОБЛ ТУЛЬСКАЯ   Г ТЮМЕНЬ   УЛ Д БЕДНОГО д. 96 стр. 14</v>
      </c>
      <c r="M31" t="str">
        <f t="shared" si="1"/>
        <v>2019-08-24</v>
      </c>
      <c r="N31" t="str">
        <f>"ООО ТД АКВАНЕТ"</f>
        <v>ООО ТД АКВАНЕТ</v>
      </c>
      <c r="O31" t="str">
        <f>"625000"</f>
        <v>625000</v>
      </c>
      <c r="P31" t="str">
        <f t="shared" si="5"/>
        <v>ОБЛ ТЮМЕНСКАЯ</v>
      </c>
      <c r="Q31" t="str">
        <f>""</f>
        <v/>
      </c>
      <c r="R31" t="str">
        <f>"Г ТЮМЕНЬ"</f>
        <v>Г ТЮМЕНЬ</v>
      </c>
      <c r="S31" t="str">
        <f>""</f>
        <v/>
      </c>
      <c r="T31" t="str">
        <f>"УЛ МОНТАЖНИКОВ"</f>
        <v>УЛ МОНТАЖНИКОВ</v>
      </c>
      <c r="U31" s="1" t="str">
        <f>"15"</f>
        <v>15</v>
      </c>
      <c r="V31" s="1" t="str">
        <f>""</f>
        <v/>
      </c>
      <c r="W31" s="1" t="str">
        <f>""</f>
        <v/>
      </c>
      <c r="X31" s="1" t="str">
        <f>""</f>
        <v/>
      </c>
      <c r="Y31" s="1" t="str">
        <f>"11"</f>
        <v>11</v>
      </c>
      <c r="Z31" t="str">
        <f>"9829425448"</f>
        <v>9829425448</v>
      </c>
      <c r="AA31" t="str">
        <f>"9220039797"</f>
        <v>9220039797</v>
      </c>
      <c r="AB31" t="str">
        <f>"9829425448"</f>
        <v>9829425448</v>
      </c>
      <c r="AC31" t="str">
        <f>"9220039797"</f>
        <v>9220039797</v>
      </c>
      <c r="AD31" t="str">
        <f>"9829425448"</f>
        <v>9829425448</v>
      </c>
      <c r="AE31" t="str">
        <f>"9829425448"</f>
        <v>9829425448</v>
      </c>
    </row>
    <row r="32" spans="1:31" x14ac:dyDescent="0.45">
      <c r="A32" t="str">
        <f>"КАЩИНА ЛАРИСА АНАТОЛЬЕВНА"</f>
        <v>КАЩИНА ЛАРИСА АНАТОЛЬЕВНА</v>
      </c>
      <c r="B32" t="str">
        <f>"1969-06-19"</f>
        <v>1969-06-19</v>
      </c>
      <c r="C32" t="str">
        <f>"67 13 323337"</f>
        <v>67 13 323337</v>
      </c>
      <c r="D32" t="str">
        <f>"4279016723854347"</f>
        <v>4279016723854347</v>
      </c>
      <c r="E32" t="str">
        <f>"2021-05-31"</f>
        <v>2021-05-31</v>
      </c>
      <c r="F32" t="str">
        <f>"+"</f>
        <v>+</v>
      </c>
      <c r="G32" t="str">
        <f>"+"</f>
        <v>+</v>
      </c>
      <c r="H32" t="str">
        <f>"40817810616992404867"</f>
        <v>40817810616992404867</v>
      </c>
      <c r="I32" t="str">
        <f>"1791"</f>
        <v>1791</v>
      </c>
      <c r="J32" t="str">
        <f>"0110"</f>
        <v>0110</v>
      </c>
      <c r="K32" t="str">
        <f>"200000.00"</f>
        <v>200000.00</v>
      </c>
      <c r="L32" t="str">
        <f>"628126 ОБЛ ТЮМЕНСКАЯ Р-Н ОКТЯБРЬСКИЙ   ПГТ ПРИОБЬЕ УЛ ПОРТОВАЯ д. 12"</f>
        <v>628126 ОБЛ ТЮМЕНСКАЯ Р-Н ОКТЯБРЬСКИЙ   ПГТ ПРИОБЬЕ УЛ ПОРТОВАЯ д. 12</v>
      </c>
      <c r="M32" t="str">
        <f t="shared" si="1"/>
        <v>2019-08-24</v>
      </c>
      <c r="N32" t="str">
        <f>"СЕРГИНСКИЙ РЕЧНОЙ ПОРТ"</f>
        <v>СЕРГИНСКИЙ РЕЧНОЙ ПОРТ</v>
      </c>
      <c r="O32" t="str">
        <f>"628126"</f>
        <v>628126</v>
      </c>
      <c r="P32" t="str">
        <f t="shared" si="5"/>
        <v>ОБЛ ТЮМЕНСКАЯ</v>
      </c>
      <c r="Q32" t="str">
        <f>"Р-Н ОКТЯБРЬСКИЙ"</f>
        <v>Р-Н ОКТЯБРЬСКИЙ</v>
      </c>
      <c r="R32" t="str">
        <f>""</f>
        <v/>
      </c>
      <c r="S32" t="str">
        <f>"ПГТ ПРИОБЬЕ"</f>
        <v>ПГТ ПРИОБЬЕ</v>
      </c>
      <c r="T32" t="str">
        <f>"МКР ЮБИЛЕЙНЫЙ"</f>
        <v>МКР ЮБИЛЕЙНЫЙ</v>
      </c>
      <c r="U32" s="1" t="str">
        <f>"1"</f>
        <v>1</v>
      </c>
      <c r="V32" s="1" t="str">
        <f>""</f>
        <v/>
      </c>
      <c r="W32" s="1" t="str">
        <f>""</f>
        <v/>
      </c>
      <c r="X32" s="1" t="str">
        <f>""</f>
        <v/>
      </c>
      <c r="Y32" s="1" t="str">
        <f>"7"</f>
        <v>7</v>
      </c>
      <c r="Z32" t="str">
        <f>"9322474254"</f>
        <v>9322474254</v>
      </c>
      <c r="AA32" t="str">
        <f>"9048840622"</f>
        <v>9048840622</v>
      </c>
      <c r="AB32" t="str">
        <f>"9048840623"</f>
        <v>9048840623</v>
      </c>
      <c r="AC32" t="str">
        <f>"9048840622"</f>
        <v>9048840622</v>
      </c>
      <c r="AD32" t="str">
        <f>"9048840623"</f>
        <v>9048840623</v>
      </c>
      <c r="AE32" t="str">
        <f>"9322474254"</f>
        <v>9322474254</v>
      </c>
    </row>
    <row r="33" spans="1:31" x14ac:dyDescent="0.45">
      <c r="A33" t="str">
        <f>"ВЫРЛАН СЕРГЕЙ ИВАНОВИЧ"</f>
        <v>ВЫРЛАН СЕРГЕЙ ИВАНОВИЧ</v>
      </c>
      <c r="B33" t="str">
        <f>"1995-07-03"</f>
        <v>1995-07-03</v>
      </c>
      <c r="C33" t="str">
        <f>"67 14 424795"</f>
        <v>67 14 424795</v>
      </c>
      <c r="D33" t="str">
        <f>"5484016702365537"</f>
        <v>5484016702365537</v>
      </c>
      <c r="E33" t="str">
        <f t="shared" ref="E33:E38" si="6">"2021-06-30"</f>
        <v>2021-06-30</v>
      </c>
      <c r="F33" t="str">
        <f>"+"</f>
        <v>+</v>
      </c>
      <c r="G33" t="str">
        <f>"+"</f>
        <v>+</v>
      </c>
      <c r="H33" t="str">
        <f>"40817810616992093825"</f>
        <v>40817810616992093825</v>
      </c>
      <c r="I33" t="str">
        <f>"5940"</f>
        <v>5940</v>
      </c>
      <c r="J33" t="str">
        <f>"7771"</f>
        <v>7771</v>
      </c>
      <c r="K33" t="str">
        <f>"50000.00"</f>
        <v>50000.00</v>
      </c>
      <c r="L33" t="str">
        <f>"628400 ОБЛ ТЮМЕНСКАЯ   Г СУРГУТ   Ш НЕФТНЕЮГАНСКОЕ д. 56"</f>
        <v>628400 ОБЛ ТЮМЕНСКАЯ   Г СУРГУТ   Ш НЕФТНЕЮГАНСКОЕ д. 56</v>
      </c>
      <c r="M33" t="str">
        <f t="shared" si="1"/>
        <v>2019-08-24</v>
      </c>
      <c r="N33" t="str">
        <f>"ПАО СНГ"</f>
        <v>ПАО СНГ</v>
      </c>
      <c r="O33" t="str">
        <f>"628400"</f>
        <v>628400</v>
      </c>
      <c r="P33" t="str">
        <f t="shared" si="5"/>
        <v>ОБЛ ТЮМЕНСКАЯ</v>
      </c>
      <c r="Q33" t="str">
        <f>""</f>
        <v/>
      </c>
      <c r="R33" t="str">
        <f>"Г СУРГУТ"</f>
        <v>Г СУРГУТ</v>
      </c>
      <c r="S33" t="str">
        <f>""</f>
        <v/>
      </c>
      <c r="T33" t="str">
        <f>"ПР-КТ НАБЕРЕЖНЫЙ"</f>
        <v>ПР-КТ НАБЕРЕЖНЫЙ</v>
      </c>
      <c r="U33" s="1" t="str">
        <f>"64"</f>
        <v>64</v>
      </c>
      <c r="V33" s="1" t="str">
        <f>""</f>
        <v/>
      </c>
      <c r="W33" s="1" t="str">
        <f>""</f>
        <v/>
      </c>
      <c r="X33" s="1" t="str">
        <f>""</f>
        <v/>
      </c>
      <c r="Y33" s="1" t="str">
        <f>"15"</f>
        <v>15</v>
      </c>
      <c r="Z33" t="str">
        <f>"9519688466"</f>
        <v>9519688466</v>
      </c>
      <c r="AA33" t="str">
        <f>"9088929527"</f>
        <v>9088929527</v>
      </c>
      <c r="AB33" t="str">
        <f>"9519688466"</f>
        <v>9519688466</v>
      </c>
      <c r="AC33" t="str">
        <f>"9088929527"</f>
        <v>9088929527</v>
      </c>
      <c r="AD33" t="str">
        <f>"9519688466"</f>
        <v>9519688466</v>
      </c>
      <c r="AE33" t="str">
        <f>"9519688466"</f>
        <v>9519688466</v>
      </c>
    </row>
    <row r="34" spans="1:31" x14ac:dyDescent="0.45">
      <c r="A34" t="str">
        <f>"ГАПАНЮК АЛЕКСАНДР ЛЕОНИДОВИЧ"</f>
        <v>ГАПАНЮК АЛЕКСАНДР ЛЕОНИДОВИЧ</v>
      </c>
      <c r="B34" t="str">
        <f>"1969-04-17"</f>
        <v>1969-04-17</v>
      </c>
      <c r="C34" t="str">
        <f>"67 18 751902"</f>
        <v>67 18 751902</v>
      </c>
      <c r="D34" t="str">
        <f>"5484016709682991"</f>
        <v>5484016709682991</v>
      </c>
      <c r="E34" t="str">
        <f t="shared" si="6"/>
        <v>2021-06-30</v>
      </c>
      <c r="F34" t="str">
        <f>"+"</f>
        <v>+</v>
      </c>
      <c r="G34" t="str">
        <f>"W"</f>
        <v>W</v>
      </c>
      <c r="H34" t="str">
        <f>"40817810416992094121"</f>
        <v>40817810416992094121</v>
      </c>
      <c r="I34" t="str">
        <f>"5940"</f>
        <v>5940</v>
      </c>
      <c r="J34" t="str">
        <f>"7771"</f>
        <v>7771</v>
      </c>
      <c r="K34" t="str">
        <f>"250000.00"</f>
        <v>250000.00</v>
      </c>
      <c r="L34" t="str">
        <f>"628400 ОБЛ ТЮМЕНСКАЯ   Г СУРГУТ   УЛ Г.КУКУЕВИЦКОГО стр. 1 корп. 1"</f>
        <v>628400 ОБЛ ТЮМЕНСКАЯ   Г СУРГУТ   УЛ Г.КУКУЕВИЦКОГО стр. 1 корп. 1</v>
      </c>
      <c r="M34" t="str">
        <f t="shared" si="1"/>
        <v>2019-08-24</v>
      </c>
      <c r="N34" t="str">
        <f>"ОАО СУРГУТНЕФТЕГАЗ"</f>
        <v>ОАО СУРГУТНЕФТЕГАЗ</v>
      </c>
      <c r="O34" t="str">
        <f>"628400"</f>
        <v>628400</v>
      </c>
      <c r="P34" t="str">
        <f t="shared" si="5"/>
        <v>ОБЛ ТЮМЕНСКАЯ</v>
      </c>
      <c r="Q34" t="str">
        <f>""</f>
        <v/>
      </c>
      <c r="R34" t="str">
        <f>"Г СУРГУТ"</f>
        <v>Г СУРГУТ</v>
      </c>
      <c r="S34" t="str">
        <f>""</f>
        <v/>
      </c>
      <c r="T34" t="str">
        <f>"ПР-КТ ЛЕНИНА"</f>
        <v>ПР-КТ ЛЕНИНА</v>
      </c>
      <c r="U34" s="1" t="str">
        <f>"67/4"</f>
        <v>67/4</v>
      </c>
      <c r="V34" s="1" t="str">
        <f>""</f>
        <v/>
      </c>
      <c r="W34" s="1" t="str">
        <f>""</f>
        <v/>
      </c>
      <c r="X34" s="1" t="str">
        <f>""</f>
        <v/>
      </c>
      <c r="Y34" s="1" t="str">
        <f>"1"</f>
        <v>1</v>
      </c>
      <c r="Z34" t="str">
        <f>"3462427009"</f>
        <v>3462427009</v>
      </c>
      <c r="AA34" t="str">
        <f>"9227713742"</f>
        <v>9227713742</v>
      </c>
      <c r="AB34" t="str">
        <f>"9227713742"</f>
        <v>9227713742</v>
      </c>
      <c r="AC34" t="str">
        <f>"9224336766"</f>
        <v>9224336766</v>
      </c>
      <c r="AD34" t="str">
        <f>"9227713742"</f>
        <v>9227713742</v>
      </c>
      <c r="AE34" t="str">
        <f>"3462427009"</f>
        <v>3462427009</v>
      </c>
    </row>
    <row r="35" spans="1:31" x14ac:dyDescent="0.45">
      <c r="A35" t="str">
        <f>"КАРПОВА ЛЮДМИЛА ВИКТОРОВНА"</f>
        <v>КАРПОВА ЛЮДМИЛА ВИКТОРОВНА</v>
      </c>
      <c r="B35" t="str">
        <f>"1975-05-09"</f>
        <v>1975-05-09</v>
      </c>
      <c r="C35" t="str">
        <f>"80 03 304355"</f>
        <v>80 03 304355</v>
      </c>
      <c r="D35" t="str">
        <f>"5484011606594225"</f>
        <v>5484011606594225</v>
      </c>
      <c r="E35" t="str">
        <f t="shared" si="6"/>
        <v>2021-06-30</v>
      </c>
      <c r="F35" t="str">
        <f>"+"</f>
        <v>+</v>
      </c>
      <c r="G35" t="str">
        <f>"+"</f>
        <v>+</v>
      </c>
      <c r="H35" t="str">
        <f>"40817810616991443311"</f>
        <v>40817810616991443311</v>
      </c>
      <c r="I35" t="str">
        <f>"8598"</f>
        <v>8598</v>
      </c>
      <c r="J35" t="str">
        <f>"7770"</f>
        <v>7770</v>
      </c>
      <c r="K35" t="str">
        <f>"50000.00"</f>
        <v>50000.00</v>
      </c>
      <c r="L35" t="str">
        <f>"450000 РЕСП БАШКОРТОСТАН   Г УФА   УЛ БЕССОНОВА д. 2"</f>
        <v>450000 РЕСП БАШКОРТОСТАН   Г УФА   УЛ БЕССОНОВА д. 2</v>
      </c>
      <c r="M35" t="str">
        <f t="shared" si="1"/>
        <v>2019-08-24</v>
      </c>
      <c r="N35" t="str">
        <f>"БАШНЕФТЬ-РОЗНИЦА"</f>
        <v>БАШНЕФТЬ-РОЗНИЦА</v>
      </c>
      <c r="O35" t="str">
        <f>"450000"</f>
        <v>450000</v>
      </c>
      <c r="P35" t="str">
        <f>"РЕСП БАШКОРТОСТАН"</f>
        <v>РЕСП БАШКОРТОСТАН</v>
      </c>
      <c r="Q35" t="str">
        <f>""</f>
        <v/>
      </c>
      <c r="R35" t="str">
        <f>"Г УФА"</f>
        <v>Г УФА</v>
      </c>
      <c r="S35" t="str">
        <f>""</f>
        <v/>
      </c>
      <c r="T35" t="str">
        <f>"УЛ КИРОВА"</f>
        <v>УЛ КИРОВА</v>
      </c>
      <c r="U35" s="1" t="str">
        <f>"43"</f>
        <v>43</v>
      </c>
      <c r="V35" s="1" t="str">
        <f>""</f>
        <v/>
      </c>
      <c r="W35" s="1" t="str">
        <f>"1"</f>
        <v>1</v>
      </c>
      <c r="X35" s="1" t="str">
        <f>""</f>
        <v/>
      </c>
      <c r="Y35" s="1" t="str">
        <f>"49"</f>
        <v>49</v>
      </c>
      <c r="Z35" t="str">
        <f>"3472299868"</f>
        <v>3472299868</v>
      </c>
      <c r="AA35" t="str">
        <f>"3472260199"</f>
        <v>3472260199</v>
      </c>
      <c r="AB35" t="str">
        <f>"9174787232"</f>
        <v>9174787232</v>
      </c>
      <c r="AC35" t="str">
        <f>"3472260199"</f>
        <v>3472260199</v>
      </c>
      <c r="AD35" t="str">
        <f>"9174787232"</f>
        <v>9174787232</v>
      </c>
      <c r="AE35" t="str">
        <f>"3472299868"</f>
        <v>3472299868</v>
      </c>
    </row>
    <row r="36" spans="1:31" x14ac:dyDescent="0.45">
      <c r="A36" t="str">
        <f>"СОЛОВЬЕВА НАТАЛЬЯ НИКОЛАЕВНА"</f>
        <v>СОЛОВЬЕВА НАТАЛЬЯ НИКОЛАЕВНА</v>
      </c>
      <c r="B36" t="str">
        <f>"1983-06-20"</f>
        <v>1983-06-20</v>
      </c>
      <c r="C36" t="str">
        <f>"80 04 820274"</f>
        <v>80 04 820274</v>
      </c>
      <c r="D36" t="str">
        <f>"5484011606926021"</f>
        <v>5484011606926021</v>
      </c>
      <c r="E36" t="str">
        <f t="shared" si="6"/>
        <v>2021-06-30</v>
      </c>
      <c r="F36" t="str">
        <f>"K"</f>
        <v>K</v>
      </c>
      <c r="G36" t="str">
        <f>"+"</f>
        <v>+</v>
      </c>
      <c r="H36" t="str">
        <f>"40817810216991443313"</f>
        <v>40817810216991443313</v>
      </c>
      <c r="I36" t="str">
        <f>"8598"</f>
        <v>8598</v>
      </c>
      <c r="J36" t="str">
        <f>"7770"</f>
        <v>7770</v>
      </c>
      <c r="K36" t="str">
        <f>"100000.00"</f>
        <v>100000.00</v>
      </c>
      <c r="L36" t="str">
        <f>"450000 РЕСП БАШКОРТОСТАН   Г УФА   УЛ БЕССОНОВА д. 2"</f>
        <v>450000 РЕСП БАШКОРТОСТАН   Г УФА   УЛ БЕССОНОВА д. 2</v>
      </c>
      <c r="M36" t="str">
        <f t="shared" si="1"/>
        <v>2019-08-24</v>
      </c>
      <c r="N36" t="str">
        <f>"БАШНЕФТЬ-РОЗНИЦА"</f>
        <v>БАШНЕФТЬ-РОЗНИЦА</v>
      </c>
      <c r="O36" t="str">
        <f>"450000"</f>
        <v>450000</v>
      </c>
      <c r="P36" t="str">
        <f>"РЕСП БАШКОРТОСТАН"</f>
        <v>РЕСП БАШКОРТОСТАН</v>
      </c>
      <c r="Q36" t="str">
        <f>"Р-Н ЧИШМИНСКИЙ"</f>
        <v>Р-Н ЧИШМИНСКИЙ</v>
      </c>
      <c r="R36" t="str">
        <f>""</f>
        <v/>
      </c>
      <c r="S36" t="str">
        <f>"П ЧИШМЫ"</f>
        <v>П ЧИШМЫ</v>
      </c>
      <c r="T36" t="str">
        <f>"УЛ МИРА"</f>
        <v>УЛ МИРА</v>
      </c>
      <c r="U36" s="1" t="str">
        <f>"10"</f>
        <v>10</v>
      </c>
      <c r="V36" s="1" t="str">
        <f>""</f>
        <v/>
      </c>
      <c r="W36" s="1" t="str">
        <f>""</f>
        <v/>
      </c>
      <c r="X36" s="1" t="str">
        <f>""</f>
        <v/>
      </c>
      <c r="Y36" s="1" t="str">
        <f>"15"</f>
        <v>15</v>
      </c>
      <c r="Z36" t="str">
        <f>"3472299868"</f>
        <v>3472299868</v>
      </c>
      <c r="AA36" t="str">
        <f>"3472286985"</f>
        <v>3472286985</v>
      </c>
      <c r="AB36" t="str">
        <f>"9272325277"</f>
        <v>9272325277</v>
      </c>
      <c r="AC36" t="str">
        <f>"3472286985"</f>
        <v>3472286985</v>
      </c>
      <c r="AD36" t="str">
        <f>"9272325277"</f>
        <v>9272325277</v>
      </c>
      <c r="AE36" t="str">
        <f>"3472299868"</f>
        <v>3472299868</v>
      </c>
    </row>
    <row r="37" spans="1:31" x14ac:dyDescent="0.45">
      <c r="A37" t="str">
        <f>"ВАЛИШИНА АЛЬБИНА РАМИЛЬЕВНА"</f>
        <v>ВАЛИШИНА АЛЬБИНА РАМИЛЬЕВНА</v>
      </c>
      <c r="B37" t="str">
        <f>"1973-08-25"</f>
        <v>1973-08-25</v>
      </c>
      <c r="C37" t="str">
        <f>"80 18 820861"</f>
        <v>80 18 820861</v>
      </c>
      <c r="D37" t="str">
        <f>"5484011603062465"</f>
        <v>5484011603062465</v>
      </c>
      <c r="E37" t="str">
        <f t="shared" si="6"/>
        <v>2021-06-30</v>
      </c>
      <c r="F37" t="str">
        <f>"+"</f>
        <v>+</v>
      </c>
      <c r="G37" t="str">
        <f>"+"</f>
        <v>+</v>
      </c>
      <c r="H37" t="str">
        <f>"40817810716991443318"</f>
        <v>40817810716991443318</v>
      </c>
      <c r="I37" t="str">
        <f>"8598"</f>
        <v>8598</v>
      </c>
      <c r="J37" t="str">
        <f>"7770"</f>
        <v>7770</v>
      </c>
      <c r="K37" t="str">
        <f>"100000.00"</f>
        <v>100000.00</v>
      </c>
      <c r="L37" t="str">
        <f>"450000 РЕСП БАШКОРТОСТАН   Г УФА   УЛ ЧЕКМАГУШЕВСКАЯ д. 1А"</f>
        <v>450000 РЕСП БАШКОРТОСТАН   Г УФА   УЛ ЧЕКМАГУШЕВСКАЯ д. 1А</v>
      </c>
      <c r="M37" t="str">
        <f t="shared" si="1"/>
        <v>2019-08-24</v>
      </c>
      <c r="N37" t="str">
        <f>"БАШНЕФТЬ-РОЗНИЦА"</f>
        <v>БАШНЕФТЬ-РОЗНИЦА</v>
      </c>
      <c r="O37" t="str">
        <f>"450000"</f>
        <v>450000</v>
      </c>
      <c r="P37" t="str">
        <f>"РЕСП БАШКОРТОСТАН"</f>
        <v>РЕСП БАШКОРТОСТАН</v>
      </c>
      <c r="Q37" t="str">
        <f>""</f>
        <v/>
      </c>
      <c r="R37" t="str">
        <f>"Г УФА"</f>
        <v>Г УФА</v>
      </c>
      <c r="S37" t="str">
        <f>""</f>
        <v/>
      </c>
      <c r="T37" t="str">
        <f>"УЛ С.ПЕРОВСКОЙ"</f>
        <v>УЛ С.ПЕРОВСКОЙ</v>
      </c>
      <c r="U37" s="1" t="str">
        <f>"13"</f>
        <v>13</v>
      </c>
      <c r="V37" s="1" t="str">
        <f>""</f>
        <v/>
      </c>
      <c r="W37" s="1" t="str">
        <f>"1"</f>
        <v>1</v>
      </c>
      <c r="X37" s="1" t="str">
        <f>""</f>
        <v/>
      </c>
      <c r="Y37" s="1" t="str">
        <f>"89"</f>
        <v>89</v>
      </c>
      <c r="Z37" t="str">
        <f>"3472699413"</f>
        <v>3472699413</v>
      </c>
      <c r="AA37" t="str">
        <f>"9174068696"</f>
        <v>9174068696</v>
      </c>
      <c r="AB37" t="str">
        <f>"9174068696"</f>
        <v>9174068696</v>
      </c>
      <c r="AC37" t="str">
        <f>"3472173403"</f>
        <v>3472173403</v>
      </c>
      <c r="AD37" t="str">
        <f>"9174068696"</f>
        <v>9174068696</v>
      </c>
      <c r="AE37" t="str">
        <f>"3472699413"</f>
        <v>3472699413</v>
      </c>
    </row>
    <row r="38" spans="1:31" x14ac:dyDescent="0.45">
      <c r="A38" t="str">
        <f>"КРАВЧЕНКО ВИКТОР ДМИТРИЕВИЧ"</f>
        <v>КРАВЧЕНКО ВИКТОР ДМИТРИЕВИЧ</v>
      </c>
      <c r="B38" t="str">
        <f>"1962-01-09"</f>
        <v>1962-01-09</v>
      </c>
      <c r="C38" t="str">
        <f>"80 06 087498"</f>
        <v>80 06 087498</v>
      </c>
      <c r="D38" t="str">
        <f>"5484011609319729"</f>
        <v>5484011609319729</v>
      </c>
      <c r="E38" t="str">
        <f t="shared" si="6"/>
        <v>2021-06-30</v>
      </c>
      <c r="F38" t="str">
        <f>"+"</f>
        <v>+</v>
      </c>
      <c r="G38" t="str">
        <f>"+"</f>
        <v>+</v>
      </c>
      <c r="H38" t="str">
        <f>"40817810816991443386"</f>
        <v>40817810816991443386</v>
      </c>
      <c r="I38" t="str">
        <f>"8598"</f>
        <v>8598</v>
      </c>
      <c r="J38" t="str">
        <f>"7770"</f>
        <v>7770</v>
      </c>
      <c r="K38" t="str">
        <f>"50000.00"</f>
        <v>50000.00</v>
      </c>
      <c r="L38" t="str">
        <f>"450000 РЕСП БАШКОРТОСТАН   Г УФА   УЛ БЕССОНОВА д. 2"</f>
        <v>450000 РЕСП БАШКОРТОСТАН   Г УФА   УЛ БЕССОНОВА д. 2</v>
      </c>
      <c r="M38" t="str">
        <f t="shared" si="1"/>
        <v>2019-08-24</v>
      </c>
      <c r="N38" t="str">
        <f>"БАШНЕФТЬ-РОЗНИЦА"</f>
        <v>БАШНЕФТЬ-РОЗНИЦА</v>
      </c>
      <c r="O38" t="str">
        <f>"450000"</f>
        <v>450000</v>
      </c>
      <c r="P38" t="str">
        <f>"РЕСП БАШКОРТОСТАН"</f>
        <v>РЕСП БАШКОРТОСТАН</v>
      </c>
      <c r="Q38" t="str">
        <f>""</f>
        <v/>
      </c>
      <c r="R38" t="str">
        <f>"Г УФА"</f>
        <v>Г УФА</v>
      </c>
      <c r="S38" t="str">
        <f>""</f>
        <v/>
      </c>
      <c r="T38" t="str">
        <f>"УЛ МИНГАЖЕВА"</f>
        <v>УЛ МИНГАЖЕВА</v>
      </c>
      <c r="U38" s="1" t="str">
        <f>"107"</f>
        <v>107</v>
      </c>
      <c r="V38" s="1" t="str">
        <f>""</f>
        <v/>
      </c>
      <c r="W38" s="1" t="str">
        <f>""</f>
        <v/>
      </c>
      <c r="X38" s="1" t="str">
        <f>""</f>
        <v/>
      </c>
      <c r="Y38" s="1" t="str">
        <f>"8"</f>
        <v>8</v>
      </c>
      <c r="Z38" t="str">
        <f>"3472299868"</f>
        <v>3472299868</v>
      </c>
      <c r="AA38" t="str">
        <f>"3472283019"</f>
        <v>3472283019</v>
      </c>
      <c r="AB38" t="str">
        <f>"9174422683"</f>
        <v>9174422683</v>
      </c>
      <c r="AC38" t="str">
        <f>"3472283019"</f>
        <v>3472283019</v>
      </c>
      <c r="AD38" t="str">
        <f>"9174422683"</f>
        <v>9174422683</v>
      </c>
      <c r="AE38" t="str">
        <f>"3472299868"</f>
        <v>3472299868</v>
      </c>
    </row>
    <row r="39" spans="1:31" x14ac:dyDescent="0.45">
      <c r="A39" t="str">
        <f>"ПРИКАЗЧИКОВ ИЛЬЯ АЛЕКСЕЕВИЧ"</f>
        <v>ПРИКАЗЧИКОВ ИЛЬЯ АЛЕКСЕЕВИЧ</v>
      </c>
      <c r="B39" t="str">
        <f>"1993-01-28"</f>
        <v>1993-01-28</v>
      </c>
      <c r="C39" t="str">
        <f>"67 13 291548"</f>
        <v>67 13 291548</v>
      </c>
      <c r="D39" t="str">
        <f>"4279016731846095"</f>
        <v>4279016731846095</v>
      </c>
      <c r="E39" t="str">
        <f>"2021-05-31"</f>
        <v>2021-05-31</v>
      </c>
      <c r="F39" t="str">
        <f>"K"</f>
        <v>K</v>
      </c>
      <c r="G39" t="str">
        <f>"W"</f>
        <v>W</v>
      </c>
      <c r="H39" t="str">
        <f>"40817810416992066081"</f>
        <v>40817810416992066081</v>
      </c>
      <c r="I39" t="str">
        <f>"8647"</f>
        <v>8647</v>
      </c>
      <c r="J39" t="str">
        <f>"0174"</f>
        <v>0174</v>
      </c>
      <c r="K39" t="str">
        <f>"200000.00"</f>
        <v>200000.00</v>
      </c>
      <c r="L39" t="str">
        <f>"625000 ОБЛ ТЮМЕНСКАЯ АО ХМАО Г УРАЙ   ПРОЕЗД ПРОМЗОНА д. 6"</f>
        <v>625000 ОБЛ ТЮМЕНСКАЯ АО ХМАО Г УРАЙ   ПРОЕЗД ПРОМЗОНА д. 6</v>
      </c>
      <c r="M39" t="str">
        <f t="shared" si="1"/>
        <v>2019-08-24</v>
      </c>
      <c r="N39" t="str">
        <f>"ООО КРС ЕВРАЗИЯ"</f>
        <v>ООО КРС ЕВРАЗИЯ</v>
      </c>
      <c r="O39" t="str">
        <f>"625000"</f>
        <v>625000</v>
      </c>
      <c r="P39" t="str">
        <f>"ОБЛ ТЮМЕНСКАЯ"</f>
        <v>ОБЛ ТЮМЕНСКАЯ</v>
      </c>
      <c r="Q39" t="str">
        <f>"АО ХМАО"</f>
        <v>АО ХМАО</v>
      </c>
      <c r="R39" t="str">
        <f>"Г УРАЙ"</f>
        <v>Г УРАЙ</v>
      </c>
      <c r="S39" t="str">
        <f>""</f>
        <v/>
      </c>
      <c r="T39" t="str">
        <f>"УЛ МКР 3"</f>
        <v>УЛ МКР 3</v>
      </c>
      <c r="U39" s="1" t="str">
        <f>"41"</f>
        <v>41</v>
      </c>
      <c r="V39" s="1" t="str">
        <f>""</f>
        <v/>
      </c>
      <c r="W39" s="1" t="str">
        <f>""</f>
        <v/>
      </c>
      <c r="X39" s="1" t="str">
        <f>""</f>
        <v/>
      </c>
      <c r="Y39" s="1" t="str">
        <f>"17"</f>
        <v>17</v>
      </c>
      <c r="Z39" t="str">
        <f>""</f>
        <v/>
      </c>
      <c r="AA39" t="str">
        <f>"9088964362"</f>
        <v>9088964362</v>
      </c>
      <c r="AB39" t="str">
        <f>"9222577282"</f>
        <v>9222577282</v>
      </c>
      <c r="AC39" t="str">
        <f>"9088964362"</f>
        <v>9088964362</v>
      </c>
      <c r="AD39" t="str">
        <f>"9822048173"</f>
        <v>9822048173</v>
      </c>
      <c r="AE39" t="str">
        <f>""</f>
        <v/>
      </c>
    </row>
    <row r="40" spans="1:31" x14ac:dyDescent="0.45">
      <c r="A40" t="str">
        <f>"ГАЛИМЯНОВ РУСЛАН ФИДАГИЕВИЧ"</f>
        <v>ГАЛИМЯНОВ РУСЛАН ФИДАГИЕВИЧ</v>
      </c>
      <c r="B40" t="str">
        <f>"1980-06-26"</f>
        <v>1980-06-26</v>
      </c>
      <c r="C40" t="str">
        <f>"67 13 291384"</f>
        <v>67 13 291384</v>
      </c>
      <c r="D40" t="str">
        <f>"4279016716995982"</f>
        <v>4279016716995982</v>
      </c>
      <c r="E40" t="str">
        <f>"2021-05-31"</f>
        <v>2021-05-31</v>
      </c>
      <c r="F40" t="str">
        <f t="shared" ref="F40:G46" si="7">"+"</f>
        <v>+</v>
      </c>
      <c r="G40" t="str">
        <f t="shared" si="7"/>
        <v>+</v>
      </c>
      <c r="H40" t="str">
        <f>"40817810316992065946"</f>
        <v>40817810316992065946</v>
      </c>
      <c r="I40" t="str">
        <f>"1791"</f>
        <v>1791</v>
      </c>
      <c r="J40" t="str">
        <f>"0080"</f>
        <v>0080</v>
      </c>
      <c r="K40" t="str">
        <f>"600000.00"</f>
        <v>600000.00</v>
      </c>
      <c r="L40" t="str">
        <f>"628285 ОБЛ ТЮМЕНСКАЯ     Г УРАЙ УЛ БРУСНИЧНАЯ д. 2"</f>
        <v>628285 ОБЛ ТЮМЕНСКАЯ     Г УРАЙ УЛ БРУСНИЧНАЯ д. 2</v>
      </c>
      <c r="M40" t="str">
        <f t="shared" si="1"/>
        <v>2019-08-24</v>
      </c>
      <c r="N40" t="str">
        <f>"ИП ГАЛИМЯНОВ РУСЛАН ФИДАГИЕВИЧ"</f>
        <v>ИП ГАЛИМЯНОВ РУСЛАН ФИДАГИЕВИЧ</v>
      </c>
      <c r="O40" t="str">
        <f>"628285"</f>
        <v>628285</v>
      </c>
      <c r="P40" t="str">
        <f>"ОБЛ ТЮМЕНСКАЯ"</f>
        <v>ОБЛ ТЮМЕНСКАЯ</v>
      </c>
      <c r="Q40" t="str">
        <f>""</f>
        <v/>
      </c>
      <c r="R40" t="str">
        <f>""</f>
        <v/>
      </c>
      <c r="S40" t="str">
        <f>"Г УРАЙ"</f>
        <v>Г УРАЙ</v>
      </c>
      <c r="T40" t="str">
        <f>"УЛ БРУСНИЧНАЯ"</f>
        <v>УЛ БРУСНИЧНАЯ</v>
      </c>
      <c r="U40" s="1" t="str">
        <f>"2"</f>
        <v>2</v>
      </c>
      <c r="V40" s="1" t="str">
        <f>""</f>
        <v/>
      </c>
      <c r="W40" s="1" t="str">
        <f>""</f>
        <v/>
      </c>
      <c r="X40" s="1" t="str">
        <f>""</f>
        <v/>
      </c>
      <c r="Y40" s="1" t="str">
        <f>""</f>
        <v/>
      </c>
      <c r="Z40" t="str">
        <f>"9633372090"</f>
        <v>9633372090</v>
      </c>
      <c r="AA40" t="str">
        <f>"9088966612"</f>
        <v>9088966612</v>
      </c>
      <c r="AB40" t="str">
        <f>"9088966612"</f>
        <v>9088966612</v>
      </c>
      <c r="AC40" t="str">
        <f>"9179367715"</f>
        <v>9179367715</v>
      </c>
      <c r="AD40" t="str">
        <f>"9088966612"</f>
        <v>9088966612</v>
      </c>
      <c r="AE40" t="str">
        <f>"9633372090"</f>
        <v>9633372090</v>
      </c>
    </row>
    <row r="41" spans="1:31" x14ac:dyDescent="0.45">
      <c r="A41" t="str">
        <f>"СКЛЮЕВА ЕКАТЕРИНА СЕРГЕЕВНА"</f>
        <v>СКЛЮЕВА ЕКАТЕРИНА СЕРГЕЕВНА</v>
      </c>
      <c r="B41" t="str">
        <f>"1986-04-20"</f>
        <v>1986-04-20</v>
      </c>
      <c r="C41" t="str">
        <f>"71 16 249111"</f>
        <v>71 16 249111</v>
      </c>
      <c r="D41" t="str">
        <f>"4279016747829580"</f>
        <v>4279016747829580</v>
      </c>
      <c r="E41" t="str">
        <f>"2021-05-31"</f>
        <v>2021-05-31</v>
      </c>
      <c r="F41" t="str">
        <f t="shared" si="7"/>
        <v>+</v>
      </c>
      <c r="G41" t="str">
        <f t="shared" si="7"/>
        <v>+</v>
      </c>
      <c r="H41" t="str">
        <f>"40817810216992405004"</f>
        <v>40817810216992405004</v>
      </c>
      <c r="I41" t="str">
        <f>"8647"</f>
        <v>8647</v>
      </c>
      <c r="J41" t="str">
        <f>"0112"</f>
        <v>0112</v>
      </c>
      <c r="K41" t="str">
        <f>"185000.00"</f>
        <v>185000.00</v>
      </c>
      <c r="L41" t="str">
        <f>"625000 ОБЛ ТЮМЕНСКАЯ   Г ТЮМЕНЬ   УЛ МАЛЫГИНА д. 49"</f>
        <v>625000 ОБЛ ТЮМЕНСКАЯ   Г ТЮМЕНЬ   УЛ МАЛЫГИНА д. 49</v>
      </c>
      <c r="M41" t="str">
        <f t="shared" si="1"/>
        <v>2019-08-24</v>
      </c>
      <c r="N41" t="str">
        <f>"ООО ТК КАНТЕРИЯ"</f>
        <v>ООО ТК КАНТЕРИЯ</v>
      </c>
      <c r="O41" t="str">
        <f>"625000"</f>
        <v>625000</v>
      </c>
      <c r="P41" t="str">
        <f>"ОБЛ ТЮМЕНСКАЯ"</f>
        <v>ОБЛ ТЮМЕНСКАЯ</v>
      </c>
      <c r="Q41" t="str">
        <f>""</f>
        <v/>
      </c>
      <c r="R41" t="str">
        <f>"Г ТЮМЕНЬ"</f>
        <v>Г ТЮМЕНЬ</v>
      </c>
      <c r="S41" t="str">
        <f>""</f>
        <v/>
      </c>
      <c r="T41" t="str">
        <f>"УЛ ГАСТЕЛЛО"</f>
        <v>УЛ ГАСТЕЛЛО</v>
      </c>
      <c r="U41" s="1" t="str">
        <f>"71"</f>
        <v>71</v>
      </c>
      <c r="V41" s="1" t="str">
        <f>""</f>
        <v/>
      </c>
      <c r="W41" s="1" t="str">
        <f>""</f>
        <v/>
      </c>
      <c r="X41" s="1" t="str">
        <f>""</f>
        <v/>
      </c>
      <c r="Y41" s="1" t="str">
        <f>"32"</f>
        <v>32</v>
      </c>
      <c r="Z41" t="str">
        <f>""</f>
        <v/>
      </c>
      <c r="AA41" t="str">
        <f>"9199469423"</f>
        <v>9199469423</v>
      </c>
      <c r="AB41" t="str">
        <f>"9199469423"</f>
        <v>9199469423</v>
      </c>
      <c r="AC41" t="str">
        <f>"9199393588"</f>
        <v>9199393588</v>
      </c>
      <c r="AD41" t="str">
        <f>"9199469423"</f>
        <v>9199469423</v>
      </c>
      <c r="AE41" t="str">
        <f>""</f>
        <v/>
      </c>
    </row>
    <row r="42" spans="1:31" x14ac:dyDescent="0.45">
      <c r="A42" t="str">
        <f>"КУРБАТОВ МИХАИЛ АЛЕКСАНДРОВИЧ"</f>
        <v>КУРБАТОВ МИХАИЛ АЛЕКСАНДРОВИЧ</v>
      </c>
      <c r="B42" t="str">
        <f>"1980-03-22"</f>
        <v>1980-03-22</v>
      </c>
      <c r="C42" t="str">
        <f>"80 02 134344"</f>
        <v>80 02 134344</v>
      </c>
      <c r="D42" t="str">
        <f>"4276016718427524"</f>
        <v>4276016718427524</v>
      </c>
      <c r="E42" t="str">
        <f t="shared" ref="E42:E47" si="8">"2021-06-30"</f>
        <v>2021-06-30</v>
      </c>
      <c r="F42" t="str">
        <f t="shared" si="7"/>
        <v>+</v>
      </c>
      <c r="G42" t="str">
        <f t="shared" si="7"/>
        <v>+</v>
      </c>
      <c r="H42" t="str">
        <f>"40817810816992402339"</f>
        <v>40817810816992402339</v>
      </c>
      <c r="I42" t="str">
        <f>"5940"</f>
        <v>5940</v>
      </c>
      <c r="J42" t="str">
        <f>"0071"</f>
        <v>0071</v>
      </c>
      <c r="K42" t="str">
        <f>"300000.00"</f>
        <v>300000.00</v>
      </c>
      <c r="L42" t="str">
        <f>"628484 АО ХАНТЫ-МАНСИЙСКИЙ   Г КОГАЛЫМ   УЛ ПРИБАЛТИЙСКАЯ д. 20"</f>
        <v>628484 АО ХАНТЫ-МАНСИЙСКИЙ   Г КОГАЛЫМ   УЛ ПРИБАЛТИЙСКАЯ д. 20</v>
      </c>
      <c r="M42" t="str">
        <f t="shared" si="1"/>
        <v>2019-08-24</v>
      </c>
      <c r="N42" t="str">
        <f>"ЛУКОЙЛ ЗАПАДНАЯ СИБИРЬ"</f>
        <v>ЛУКОЙЛ ЗАПАДНАЯ СИБИРЬ</v>
      </c>
      <c r="O42" t="str">
        <f>"628484"</f>
        <v>628484</v>
      </c>
      <c r="P42" t="str">
        <f>"ОБЛ ТЮМЕНСКАЯ"</f>
        <v>ОБЛ ТЮМЕНСКАЯ</v>
      </c>
      <c r="Q42" t="str">
        <f>""</f>
        <v/>
      </c>
      <c r="R42" t="str">
        <f>"Г КОГАЛЫМ"</f>
        <v>Г КОГАЛЫМ</v>
      </c>
      <c r="S42" t="str">
        <f>""</f>
        <v/>
      </c>
      <c r="T42" t="str">
        <f>"УЛ СОНТ СИБИРЯК"</f>
        <v>УЛ СОНТ СИБИРЯК</v>
      </c>
      <c r="U42" s="1" t="str">
        <f>"222"</f>
        <v>222</v>
      </c>
      <c r="V42" s="1" t="str">
        <f>""</f>
        <v/>
      </c>
      <c r="W42" s="1" t="str">
        <f>""</f>
        <v/>
      </c>
      <c r="X42" s="1" t="str">
        <f>""</f>
        <v/>
      </c>
      <c r="Y42" s="1" t="str">
        <f>""</f>
        <v/>
      </c>
      <c r="Z42" t="str">
        <f>"+7 (34667) 63261"</f>
        <v>+7 (34667) 63261</v>
      </c>
      <c r="AA42" t="str">
        <f>"+7 (922) 4132532"</f>
        <v>+7 (922) 4132532</v>
      </c>
      <c r="AB42" t="str">
        <f>"+7 (932) 4122700"</f>
        <v>+7 (932) 4122700</v>
      </c>
      <c r="AC42" t="str">
        <f>""</f>
        <v/>
      </c>
      <c r="AD42" t="str">
        <f>"9324122700"</f>
        <v>9324122700</v>
      </c>
      <c r="AE42" t="str">
        <f>""</f>
        <v/>
      </c>
    </row>
    <row r="43" spans="1:31" x14ac:dyDescent="0.45">
      <c r="A43" t="str">
        <f>"ХУЗИНА АННА АЛЕКСАНДРОВНА"</f>
        <v>ХУЗИНА АННА АЛЕКСАНДРОВНА</v>
      </c>
      <c r="B43" t="str">
        <f>"1987-12-03"</f>
        <v>1987-12-03</v>
      </c>
      <c r="C43" t="str">
        <f>"67 09 951251"</f>
        <v>67 09 951251</v>
      </c>
      <c r="D43" t="str">
        <f>"4276016709836121"</f>
        <v>4276016709836121</v>
      </c>
      <c r="E43" t="str">
        <f t="shared" si="8"/>
        <v>2021-06-30</v>
      </c>
      <c r="F43" t="str">
        <f t="shared" si="7"/>
        <v>+</v>
      </c>
      <c r="G43" t="str">
        <f t="shared" si="7"/>
        <v>+</v>
      </c>
      <c r="H43" t="str">
        <f>"40817810416992094231"</f>
        <v>40817810416992094231</v>
      </c>
      <c r="I43" t="str">
        <f>"5940"</f>
        <v>5940</v>
      </c>
      <c r="J43" t="str">
        <f>"0112"</f>
        <v>0112</v>
      </c>
      <c r="K43" t="str">
        <f>"100000.00"</f>
        <v>100000.00</v>
      </c>
      <c r="L43" t="str">
        <f>"628600 АО ХАНТЫ-МАНСИЙСКИЙ   Г НИЖНЕВАРТОВСК   УЛ МИРА д. 25 корп. 12"</f>
        <v>628600 АО ХАНТЫ-МАНСИЙСКИЙ   Г НИЖНЕВАРТОВСК   УЛ МИРА д. 25 корп. 12</v>
      </c>
      <c r="M43" t="str">
        <f t="shared" si="1"/>
        <v>2019-08-24</v>
      </c>
      <c r="N43" t="str">
        <f>"МКУ НИЖНЕВАРТОВСКИЙ МФЦ"</f>
        <v>МКУ НИЖНЕВАРТОВСКИЙ МФЦ</v>
      </c>
      <c r="O43" t="str">
        <f>"628600"</f>
        <v>628600</v>
      </c>
      <c r="P43" t="str">
        <f>"ОБЛ ТЮМЕНСКАЯ"</f>
        <v>ОБЛ ТЮМЕНСКАЯ</v>
      </c>
      <c r="Q43" t="str">
        <f>""</f>
        <v/>
      </c>
      <c r="R43" t="str">
        <f>"Г НИЖНЕВАРТОВСК"</f>
        <v>Г НИЖНЕВАРТОВСК</v>
      </c>
      <c r="S43" t="str">
        <f>""</f>
        <v/>
      </c>
      <c r="T43" t="str">
        <f>"УЛ МИРА"</f>
        <v>УЛ МИРА</v>
      </c>
      <c r="U43" s="1" t="str">
        <f>"27"</f>
        <v>27</v>
      </c>
      <c r="V43" s="1" t="str">
        <f>""</f>
        <v/>
      </c>
      <c r="W43" s="1" t="str">
        <f>"1"</f>
        <v>1</v>
      </c>
      <c r="X43" s="1" t="str">
        <f>""</f>
        <v/>
      </c>
      <c r="Y43" s="1" t="str">
        <f>"160"</f>
        <v>160</v>
      </c>
      <c r="Z43" t="str">
        <f>"3466408060"</f>
        <v>3466408060</v>
      </c>
      <c r="AA43" t="str">
        <f>"3466245495"</f>
        <v>3466245495</v>
      </c>
      <c r="AB43" t="str">
        <f>"9825386936"</f>
        <v>9825386936</v>
      </c>
      <c r="AC43" t="str">
        <f>"3466245495"</f>
        <v>3466245495</v>
      </c>
      <c r="AD43" t="str">
        <f>"9825386936"</f>
        <v>9825386936</v>
      </c>
      <c r="AE43" t="str">
        <f>"3466408060"</f>
        <v>3466408060</v>
      </c>
    </row>
    <row r="44" spans="1:31" x14ac:dyDescent="0.45">
      <c r="A44" t="str">
        <f>"ЯГАФАРОВ ХАНИФ ХАТМУЛЛОВИЧ"</f>
        <v>ЯГАФАРОВ ХАНИФ ХАТМУЛЛОВИЧ</v>
      </c>
      <c r="B44" t="str">
        <f>"1979-01-04"</f>
        <v>1979-01-04</v>
      </c>
      <c r="C44" t="str">
        <f>"80 03 521209"</f>
        <v>80 03 521209</v>
      </c>
      <c r="D44" t="str">
        <f>"5484011608115243"</f>
        <v>5484011608115243</v>
      </c>
      <c r="E44" t="str">
        <f t="shared" si="8"/>
        <v>2021-06-30</v>
      </c>
      <c r="F44" t="str">
        <f t="shared" si="7"/>
        <v>+</v>
      </c>
      <c r="G44" t="str">
        <f t="shared" si="7"/>
        <v>+</v>
      </c>
      <c r="H44" t="str">
        <f>"40817810416991443320"</f>
        <v>40817810416991443320</v>
      </c>
      <c r="I44" t="str">
        <f>"8598"</f>
        <v>8598</v>
      </c>
      <c r="J44" t="str">
        <f>"7770"</f>
        <v>7770</v>
      </c>
      <c r="K44" t="str">
        <f>"5000.00"</f>
        <v>5000.00</v>
      </c>
      <c r="L44" t="str">
        <f>"450000 РЕСП БАШКОРТОСТАН   Г УФА   УЛ БЕССОНОВА д. 2"</f>
        <v>450000 РЕСП БАШКОРТОСТАН   Г УФА   УЛ БЕССОНОВА д. 2</v>
      </c>
      <c r="M44" t="str">
        <f t="shared" si="1"/>
        <v>2019-08-24</v>
      </c>
      <c r="N44" t="str">
        <f>"БАШНЕФТЬ-РОЗНИЦА"</f>
        <v>БАШНЕФТЬ-РОЗНИЦА</v>
      </c>
      <c r="O44" t="str">
        <f>"450014"</f>
        <v>450014</v>
      </c>
      <c r="P44" t="str">
        <f>"РЕСП БАШКОРТОСТАН"</f>
        <v>РЕСП БАШКОРТОСТАН</v>
      </c>
      <c r="Q44" t="str">
        <f>""</f>
        <v/>
      </c>
      <c r="R44" t="str">
        <f>"Г УФА"</f>
        <v>Г УФА</v>
      </c>
      <c r="S44" t="str">
        <f>""</f>
        <v/>
      </c>
      <c r="T44" t="str">
        <f>"УЛ ДАГЕСТАНСКАЯ"</f>
        <v>УЛ ДАГЕСТАНСКАЯ</v>
      </c>
      <c r="U44" s="1" t="str">
        <f>"12/1"</f>
        <v>12/1</v>
      </c>
      <c r="V44" s="1" t="str">
        <f>""</f>
        <v/>
      </c>
      <c r="W44" s="1" t="str">
        <f>""</f>
        <v/>
      </c>
      <c r="X44" s="1" t="str">
        <f>""</f>
        <v/>
      </c>
      <c r="Y44" s="1" t="str">
        <f>"72"</f>
        <v>72</v>
      </c>
      <c r="Z44" t="str">
        <f>"3472299868"</f>
        <v>3472299868</v>
      </c>
      <c r="AA44" t="str">
        <f>"3472269003"</f>
        <v>3472269003</v>
      </c>
      <c r="AB44" t="str">
        <f>"9373519966"</f>
        <v>9373519966</v>
      </c>
      <c r="AC44" t="str">
        <f>"3472269003"</f>
        <v>3472269003</v>
      </c>
      <c r="AD44" t="str">
        <f>"9373519966"</f>
        <v>9373519966</v>
      </c>
      <c r="AE44" t="str">
        <f>"3472299868"</f>
        <v>3472299868</v>
      </c>
    </row>
    <row r="45" spans="1:31" x14ac:dyDescent="0.45">
      <c r="A45" t="str">
        <f>"НУГАЕВА ТАТЬЯНА ПЕТРОВНА"</f>
        <v>НУГАЕВА ТАТЬЯНА ПЕТРОВНА</v>
      </c>
      <c r="B45" t="str">
        <f>"1962-05-06"</f>
        <v>1962-05-06</v>
      </c>
      <c r="C45" t="str">
        <f>"80 06 200465"</f>
        <v>80 06 200465</v>
      </c>
      <c r="D45" t="str">
        <f>"5484011607083483"</f>
        <v>5484011607083483</v>
      </c>
      <c r="E45" t="str">
        <f t="shared" si="8"/>
        <v>2021-06-30</v>
      </c>
      <c r="F45" t="str">
        <f t="shared" si="7"/>
        <v>+</v>
      </c>
      <c r="G45" t="str">
        <f t="shared" si="7"/>
        <v>+</v>
      </c>
      <c r="H45" t="str">
        <f>"40817810316991443323"</f>
        <v>40817810316991443323</v>
      </c>
      <c r="I45" t="str">
        <f>"8598"</f>
        <v>8598</v>
      </c>
      <c r="J45" t="str">
        <f>"7770"</f>
        <v>7770</v>
      </c>
      <c r="K45" t="str">
        <f>"195000.00"</f>
        <v>195000.00</v>
      </c>
      <c r="L45" t="str">
        <f>"450000 РЕСП БАШКОРТОСТАН   Г УФА   УЛ ЧЕКМАГУШЕВСКАЯ д. 1А"</f>
        <v>450000 РЕСП БАШКОРТОСТАН   Г УФА   УЛ ЧЕКМАГУШЕВСКАЯ д. 1А</v>
      </c>
      <c r="M45" t="str">
        <f t="shared" si="1"/>
        <v>2019-08-24</v>
      </c>
      <c r="N45" t="str">
        <f>"БАШНЕФТЬ-РОЗНИЦА"</f>
        <v>БАШНЕФТЬ-РОЗНИЦА</v>
      </c>
      <c r="O45" t="str">
        <f>"450000"</f>
        <v>450000</v>
      </c>
      <c r="P45" t="str">
        <f>"РЕСП БАШКОРТОСТАН"</f>
        <v>РЕСП БАШКОРТОСТАН</v>
      </c>
      <c r="Q45" t="str">
        <f>""</f>
        <v/>
      </c>
      <c r="R45" t="str">
        <f>"Г УФА"</f>
        <v>Г УФА</v>
      </c>
      <c r="S45" t="str">
        <f>""</f>
        <v/>
      </c>
      <c r="T45" t="str">
        <f>"УЛ МУСОРГСКОГО"</f>
        <v>УЛ МУСОРГСКОГО</v>
      </c>
      <c r="U45" s="1" t="str">
        <f>"11"</f>
        <v>11</v>
      </c>
      <c r="V45" s="1" t="str">
        <f>""</f>
        <v/>
      </c>
      <c r="W45" s="1" t="str">
        <f>""</f>
        <v/>
      </c>
      <c r="X45" s="1" t="str">
        <f>""</f>
        <v/>
      </c>
      <c r="Y45" s="1" t="str">
        <f>"79"</f>
        <v>79</v>
      </c>
      <c r="Z45" t="str">
        <f>"+7 (347) 2811081"</f>
        <v>+7 (347) 2811081</v>
      </c>
      <c r="AA45" t="str">
        <f>"+7 (347) 2745054"</f>
        <v>+7 (347) 2745054</v>
      </c>
      <c r="AB45" t="str">
        <f>"+7 (927) 3029310"</f>
        <v>+7 (927) 3029310</v>
      </c>
      <c r="AC45" t="str">
        <f>"3472650302"</f>
        <v>3472650302</v>
      </c>
      <c r="AD45" t="str">
        <f>"9273029310"</f>
        <v>9273029310</v>
      </c>
      <c r="AE45" t="str">
        <f>"3472699413"</f>
        <v>3472699413</v>
      </c>
    </row>
    <row r="46" spans="1:31" x14ac:dyDescent="0.45">
      <c r="A46" t="str">
        <f>"БИЗЯЕВА АНАСТАСИЯ СЕРГЕЕВНА"</f>
        <v>БИЗЯЕВА АНАСТАСИЯ СЕРГЕЕВНА</v>
      </c>
      <c r="B46" t="str">
        <f>"1985-02-04"</f>
        <v>1985-02-04</v>
      </c>
      <c r="C46" t="str">
        <f>"65 06 948549"</f>
        <v>65 06 948549</v>
      </c>
      <c r="D46" t="str">
        <f>"4279011615295923"</f>
        <v>4279011615295923</v>
      </c>
      <c r="E46" t="str">
        <f t="shared" si="8"/>
        <v>2021-06-30</v>
      </c>
      <c r="F46" t="str">
        <f t="shared" si="7"/>
        <v>+</v>
      </c>
      <c r="G46" t="str">
        <f t="shared" si="7"/>
        <v>+</v>
      </c>
      <c r="H46" t="str">
        <f>"40817810716991443389"</f>
        <v>40817810716991443389</v>
      </c>
      <c r="I46" t="str">
        <f>"7003"</f>
        <v>7003</v>
      </c>
      <c r="J46" t="str">
        <f>"7770"</f>
        <v>7770</v>
      </c>
      <c r="K46" t="str">
        <f>"20000.00"</f>
        <v>20000.00</v>
      </c>
      <c r="L46" t="str">
        <f>"620000 ОБЛ СВЕРДЛОВСКАЯ   Г ЕКАТЕРИНБУРГ   УЛ ЧЕЛЮСКИНЦЕВ д. 11"</f>
        <v>620000 ОБЛ СВЕРДЛОВСКАЯ   Г ЕКАТЕРИНБУРГ   УЛ ЧЕЛЮСКИНЦЕВ д. 11</v>
      </c>
      <c r="M46" t="str">
        <f t="shared" si="1"/>
        <v>2019-08-24</v>
      </c>
      <c r="N46" t="str">
        <f>"СВЕРДЛОВСКИЙ ТЕРРИТОРИАЛЬНЫЙ ЦЕНТР ФИРМЕННОГО ТРАНСПОРТНОГО ОБСЛУЖИВАНИЯ СВЖД"</f>
        <v>СВЕРДЛОВСКИЙ ТЕРРИТОРИАЛЬНЫЙ ЦЕНТР ФИРМЕННОГО ТРАНСПОРТНОГО ОБСЛУЖИВАНИЯ СВЖД</v>
      </c>
      <c r="O46" t="str">
        <f>"620050"</f>
        <v>620050</v>
      </c>
      <c r="P46" t="str">
        <f>"ОБЛ СВЕРДЛОВСКАЯ"</f>
        <v>ОБЛ СВЕРДЛОВСКАЯ</v>
      </c>
      <c r="Q46" t="str">
        <f>""</f>
        <v/>
      </c>
      <c r="R46" t="str">
        <f>"Г ЕКАТЕРИНБУРГ"</f>
        <v>Г ЕКАТЕРИНБУРГ</v>
      </c>
      <c r="S46" t="str">
        <f>""</f>
        <v/>
      </c>
      <c r="T46" t="str">
        <f>"УЛ МИНОМЕТЧИКОВ"</f>
        <v>УЛ МИНОМЕТЧИКОВ</v>
      </c>
      <c r="U46" s="1" t="str">
        <f>"62"</f>
        <v>62</v>
      </c>
      <c r="V46" s="1" t="str">
        <f>""</f>
        <v/>
      </c>
      <c r="W46" s="1" t="str">
        <f>""</f>
        <v/>
      </c>
      <c r="X46" s="1" t="str">
        <f>""</f>
        <v/>
      </c>
      <c r="Y46" s="1" t="str">
        <f>"88"</f>
        <v>88</v>
      </c>
      <c r="Z46" t="str">
        <f>"3433584102"</f>
        <v>3433584102</v>
      </c>
      <c r="AA46" t="str">
        <f>"9220287585"</f>
        <v>9220287585</v>
      </c>
      <c r="AB46" t="str">
        <f>"9220287585"</f>
        <v>9220287585</v>
      </c>
      <c r="AC46" t="str">
        <f>"9220287585"</f>
        <v>9220287585</v>
      </c>
      <c r="AD46" t="str">
        <f>"9220287585"</f>
        <v>9220287585</v>
      </c>
      <c r="AE46" t="str">
        <f>"3433584102"</f>
        <v>3433584102</v>
      </c>
    </row>
    <row r="47" spans="1:31" x14ac:dyDescent="0.45">
      <c r="A47" t="str">
        <f>"ПЕРМЯКОВ АЛЕКСАНДР ЮРЬЕВИЧ"</f>
        <v>ПЕРМЯКОВ АЛЕКСАНДР ЮРЬЕВИЧ</v>
      </c>
      <c r="B47" t="str">
        <f>"1957-04-08"</f>
        <v>1957-04-08</v>
      </c>
      <c r="C47" t="str">
        <f>"75 03 400339"</f>
        <v>75 03 400339</v>
      </c>
      <c r="D47" t="str">
        <f>"4279011618991700"</f>
        <v>4279011618991700</v>
      </c>
      <c r="E47" t="str">
        <f t="shared" si="8"/>
        <v>2021-06-30</v>
      </c>
      <c r="F47" t="str">
        <f>"Q"</f>
        <v>Q</v>
      </c>
      <c r="G47" t="str">
        <f>"Q"</f>
        <v>Q</v>
      </c>
      <c r="H47" t="str">
        <f>"40817810116991443390"</f>
        <v>40817810116991443390</v>
      </c>
      <c r="I47" t="str">
        <f>"8597"</f>
        <v>8597</v>
      </c>
      <c r="J47" t="str">
        <f>"7770"</f>
        <v>7770</v>
      </c>
      <c r="K47" t="str">
        <f>"0.00"</f>
        <v>0.00</v>
      </c>
      <c r="L47" t="str">
        <f>"454000 ОБЛ ЧЕЛЯБИНСКАЯ   Г ЧЕЛЯБИНСК   УЛ НОВОРОССИЙСКАЯ д. 2А"</f>
        <v>454000 ОБЛ ЧЕЛЯБИНСКАЯ   Г ЧЕЛЯБИНСК   УЛ НОВОРОССИЙСКАЯ д. 2А</v>
      </c>
      <c r="M47" t="str">
        <f t="shared" si="1"/>
        <v>2019-08-24</v>
      </c>
      <c r="N47" t="str">
        <f>"КОПЕЙСКИЙ ФИЛИАЛ АО РТ-ОХРАНА"</f>
        <v>КОПЕЙСКИЙ ФИЛИАЛ АО РТ-ОХРАНА</v>
      </c>
      <c r="O47" t="str">
        <f>"454048"</f>
        <v>454048</v>
      </c>
      <c r="P47" t="str">
        <f>"ОБЛ ЧЕЛЯБИНСКАЯ"</f>
        <v>ОБЛ ЧЕЛЯБИНСКАЯ</v>
      </c>
      <c r="Q47" t="str">
        <f>""</f>
        <v/>
      </c>
      <c r="R47" t="str">
        <f>"Г ЧЕЛЯБИНСК"</f>
        <v>Г ЧЕЛЯБИНСК</v>
      </c>
      <c r="S47" t="str">
        <f>""</f>
        <v/>
      </c>
      <c r="T47" t="str">
        <f>"УЛ ТАБАЧНАЯ"</f>
        <v>УЛ ТАБАЧНАЯ</v>
      </c>
      <c r="U47" s="1" t="str">
        <f>"2"</f>
        <v>2</v>
      </c>
      <c r="V47" s="1" t="str">
        <f>""</f>
        <v/>
      </c>
      <c r="W47" s="1" t="str">
        <f>""</f>
        <v/>
      </c>
      <c r="X47" s="1" t="str">
        <f>""</f>
        <v/>
      </c>
      <c r="Y47" s="1" t="str">
        <f>""</f>
        <v/>
      </c>
      <c r="Z47" t="str">
        <f>"3512555470"</f>
        <v>3512555470</v>
      </c>
      <c r="AA47" t="str">
        <f>"0000000000"</f>
        <v>0000000000</v>
      </c>
      <c r="AB47" t="str">
        <f>"9518046520"</f>
        <v>9518046520</v>
      </c>
      <c r="AC47" t="str">
        <f>"0000000000"</f>
        <v>0000000000</v>
      </c>
      <c r="AD47" t="str">
        <f>"9518046520"</f>
        <v>9518046520</v>
      </c>
      <c r="AE47" t="str">
        <f>"3512555470"</f>
        <v>3512555470</v>
      </c>
    </row>
    <row r="48" spans="1:31" x14ac:dyDescent="0.45">
      <c r="A48" t="str">
        <f>"ХАНОВА ГУЛЬНАЗ ЗАЙКАТОВНА"</f>
        <v>ХАНОВА ГУЛЬНАЗ ЗАЙКАТОВНА</v>
      </c>
      <c r="B48" t="str">
        <f>"1978-11-08"</f>
        <v>1978-11-08</v>
      </c>
      <c r="C48" t="str">
        <f>"80 03 153450"</f>
        <v>80 03 153450</v>
      </c>
      <c r="D48" t="str">
        <f>"4854630289581038"</f>
        <v>4854630289581038</v>
      </c>
      <c r="E48" t="str">
        <f>"2021-04-30"</f>
        <v>2021-04-30</v>
      </c>
      <c r="F48" t="str">
        <f>"M"</f>
        <v>M</v>
      </c>
      <c r="G48" t="str">
        <f>"+"</f>
        <v>+</v>
      </c>
      <c r="H48" t="str">
        <f>"40817810816991419200"</f>
        <v>40817810816991419200</v>
      </c>
      <c r="I48" t="str">
        <f>"8598"</f>
        <v>8598</v>
      </c>
      <c r="J48" t="str">
        <f>"0599"</f>
        <v>0599</v>
      </c>
      <c r="K48" t="str">
        <f>"10000.00"</f>
        <v>10000.00</v>
      </c>
      <c r="L48" t="str">
        <f>"450000 РЕСП БАШКОРТОСТАН   Г НЕФТЕКАМСК   ПР-КТ ЮБИЛЕЙНЫЙ д. 6"</f>
        <v>450000 РЕСП БАШКОРТОСТАН   Г НЕФТЕКАМСК   ПР-КТ ЮБИЛЕЙНЫЙ д. 6</v>
      </c>
      <c r="M48" t="str">
        <f t="shared" si="1"/>
        <v>2019-08-24</v>
      </c>
      <c r="N48" t="str">
        <f>"ООО МКК ПОЛТИНИККЪ"</f>
        <v>ООО МКК ПОЛТИНИККЪ</v>
      </c>
      <c r="O48" t="str">
        <f>"450000"</f>
        <v>450000</v>
      </c>
      <c r="P48" t="str">
        <f>"РЕСП БАШКОРТОСТАН"</f>
        <v>РЕСП БАШКОРТОСТАН</v>
      </c>
      <c r="Q48" t="str">
        <f>""</f>
        <v/>
      </c>
      <c r="R48" t="str">
        <f>"Г НЕФТЕКАМСК"</f>
        <v>Г НЕФТЕКАМСК</v>
      </c>
      <c r="S48" t="str">
        <f>""</f>
        <v/>
      </c>
      <c r="T48" t="str">
        <f>"УЛ ЛЕНИНА"</f>
        <v>УЛ ЛЕНИНА</v>
      </c>
      <c r="U48" s="1" t="str">
        <f>"60"</f>
        <v>60</v>
      </c>
      <c r="V48" s="1" t="str">
        <f>"КВ"</f>
        <v>КВ</v>
      </c>
      <c r="W48" s="1" t="str">
        <f>"15"</f>
        <v>15</v>
      </c>
      <c r="X48" s="1" t="str">
        <f>"К29,"</f>
        <v>К29,</v>
      </c>
      <c r="Y48" s="1" t="str">
        <f>"30"</f>
        <v>30</v>
      </c>
      <c r="Z48" t="str">
        <f>"341 2267607"</f>
        <v>341 2267607</v>
      </c>
      <c r="AA48" t="str">
        <f>"9656644576"</f>
        <v>9656644576</v>
      </c>
      <c r="AB48" t="str">
        <f>"9869664580"</f>
        <v>9869664580</v>
      </c>
      <c r="AC48" t="str">
        <f>"9656644576"</f>
        <v>9656644576</v>
      </c>
      <c r="AD48" t="str">
        <f>"9869664580"</f>
        <v>9869664580</v>
      </c>
      <c r="AE48" t="str">
        <f>""</f>
        <v/>
      </c>
    </row>
    <row r="49" spans="1:31" x14ac:dyDescent="0.45">
      <c r="A49" t="str">
        <f>"ЧУПАНОВ ДМИТРИЙ ПЕТРОВИЧ"</f>
        <v>ЧУПАНОВ ДМИТРИЙ ПЕТРОВИЧ</v>
      </c>
      <c r="B49" t="str">
        <f>"1969-04-09"</f>
        <v>1969-04-09</v>
      </c>
      <c r="C49" t="str">
        <f>"33 13 263832"</f>
        <v>33 13 263832</v>
      </c>
      <c r="D49" t="str">
        <f>"4854630367760231"</f>
        <v>4854630367760231</v>
      </c>
      <c r="E49" t="str">
        <f>"2021-04-30"</f>
        <v>2021-04-30</v>
      </c>
      <c r="F49" t="str">
        <f>"+"</f>
        <v>+</v>
      </c>
      <c r="G49" t="str">
        <f>"+"</f>
        <v>+</v>
      </c>
      <c r="H49" t="str">
        <f>"40817810516992133814"</f>
        <v>40817810516992133814</v>
      </c>
      <c r="I49" t="str">
        <f>"8369"</f>
        <v>8369</v>
      </c>
      <c r="J49" t="str">
        <f>"0003"</f>
        <v>0003</v>
      </c>
      <c r="K49" t="str">
        <f>"200000.00"</f>
        <v>200000.00</v>
      </c>
      <c r="L49" t="str">
        <f>"629300 ОБЛ ТЮМЕНСКАЯ   Г НОВЫЙ УРЕНГОЙ   УЛ ПРОМЫШЛЕННАЯ д. 10"</f>
        <v>629300 ОБЛ ТЮМЕНСКАЯ   Г НОВЫЙ УРЕНГОЙ   УЛ ПРОМЫШЛЕННАЯ д. 10</v>
      </c>
      <c r="M49" t="str">
        <f t="shared" si="1"/>
        <v>2019-08-24</v>
      </c>
      <c r="N49" t="str">
        <f>"ООО ПРИПОЛЯРБУРСЕРВИС"</f>
        <v>ООО ПРИПОЛЯРБУРСЕРВИС</v>
      </c>
      <c r="O49" t="str">
        <f>"610000"</f>
        <v>610000</v>
      </c>
      <c r="P49" t="str">
        <f>"ОБЛ КИРОВСКАЯ"</f>
        <v>ОБЛ КИРОВСКАЯ</v>
      </c>
      <c r="Q49" t="str">
        <f>"Р-Н ОМУТНИНСКИЙ"</f>
        <v>Р-Н ОМУТНИНСКИЙ</v>
      </c>
      <c r="R49" t="str">
        <f>"Г ОМУТНИНСК"</f>
        <v>Г ОМУТНИНСК</v>
      </c>
      <c r="S49" t="str">
        <f>""</f>
        <v/>
      </c>
      <c r="T49" t="str">
        <f>"УЛ ЮНЫХ ПИОНЕРОВ"</f>
        <v>УЛ ЮНЫХ ПИОНЕРОВ</v>
      </c>
      <c r="U49" s="1" t="str">
        <f>"54"</f>
        <v>54</v>
      </c>
      <c r="V49" s="1" t="str">
        <f>""</f>
        <v/>
      </c>
      <c r="W49" s="1" t="str">
        <f>""</f>
        <v/>
      </c>
      <c r="X49" s="1" t="str">
        <f>""</f>
        <v/>
      </c>
      <c r="Y49" s="1" t="str">
        <f>"64"</f>
        <v>64</v>
      </c>
      <c r="Z49" t="str">
        <f>""</f>
        <v/>
      </c>
      <c r="AA49" t="str">
        <f>"9127339284"</f>
        <v>9127339284</v>
      </c>
      <c r="AB49" t="str">
        <f>"9127339284"</f>
        <v>9127339284</v>
      </c>
      <c r="AC49" t="str">
        <f>"9127339284"</f>
        <v>9127339284</v>
      </c>
      <c r="AD49" t="str">
        <f>"9127339284"</f>
        <v>9127339284</v>
      </c>
      <c r="AE49" t="str">
        <f>""</f>
        <v/>
      </c>
    </row>
    <row r="50" spans="1:31" x14ac:dyDescent="0.45">
      <c r="A50" t="str">
        <f>"ЮСУПОВА АЛЬБИНА АБДУЛЛАЕВНА"</f>
        <v>ЮСУПОВА АЛЬБИНА АБДУЛЛАЕВНА</v>
      </c>
      <c r="B50" t="str">
        <f>"1975-11-01"</f>
        <v>1975-11-01</v>
      </c>
      <c r="C50" t="str">
        <f>"82 01 459568"</f>
        <v>82 01 459568</v>
      </c>
      <c r="D50" t="str">
        <f>"4279016712092214"</f>
        <v>4279016712092214</v>
      </c>
      <c r="E50" t="str">
        <f>"2021-05-31"</f>
        <v>2021-05-31</v>
      </c>
      <c r="F50" t="str">
        <f>"K"</f>
        <v>K</v>
      </c>
      <c r="G50" t="str">
        <f>"+"</f>
        <v>+</v>
      </c>
      <c r="H50" t="str">
        <f>"40817810816992064340"</f>
        <v>40817810816992064340</v>
      </c>
      <c r="I50" t="str">
        <f>"8369"</f>
        <v>8369</v>
      </c>
      <c r="J50" t="str">
        <f>"0015"</f>
        <v>0015</v>
      </c>
      <c r="K50" t="str">
        <f>"200000.00"</f>
        <v>200000.00</v>
      </c>
      <c r="L50" t="str">
        <f>"629300 ОБЛ ТЮМЕНСКАЯ АО ЯНАО Г НОВЫЙ УРЕНГОЙ   МКР ОПТИМИСТОВ д. 11 корп. 2"</f>
        <v>629300 ОБЛ ТЮМЕНСКАЯ АО ЯНАО Г НОВЫЙ УРЕНГОЙ   МКР ОПТИМИСТОВ д. 11 корп. 2</v>
      </c>
      <c r="M50" t="str">
        <f t="shared" si="1"/>
        <v>2019-08-24</v>
      </c>
      <c r="N50" t="str">
        <f>"ГБУ СРЦ САДКО"</f>
        <v>ГБУ СРЦ САДКО</v>
      </c>
      <c r="O50" t="str">
        <f>"629300"</f>
        <v>629300</v>
      </c>
      <c r="P50" t="str">
        <f>"ОБЛ ТЮМЕНСКАЯ"</f>
        <v>ОБЛ ТЮМЕНСКАЯ</v>
      </c>
      <c r="Q50" t="str">
        <f>"АО ЯНАО"</f>
        <v>АО ЯНАО</v>
      </c>
      <c r="R50" t="str">
        <f>"Г НОВЫЙ УРЕНГОЙ"</f>
        <v>Г НОВЫЙ УРЕНГОЙ</v>
      </c>
      <c r="S50" t="str">
        <f>""</f>
        <v/>
      </c>
      <c r="T50" t="str">
        <f>"УЛ ГЕОЛОГОРАЗВЕДЧИКОВ"</f>
        <v>УЛ ГЕОЛОГОРАЗВЕДЧИКОВ</v>
      </c>
      <c r="U50" s="1" t="str">
        <f>"2А"</f>
        <v>2А</v>
      </c>
      <c r="V50" s="1" t="str">
        <f>""</f>
        <v/>
      </c>
      <c r="W50" s="1" t="str">
        <f>""</f>
        <v/>
      </c>
      <c r="X50" s="1" t="str">
        <f>""</f>
        <v/>
      </c>
      <c r="Y50" s="1" t="str">
        <f>"310"</f>
        <v>310</v>
      </c>
      <c r="Z50" t="str">
        <f>""</f>
        <v/>
      </c>
      <c r="AA50" t="str">
        <f>"9519931199"</f>
        <v>9519931199</v>
      </c>
      <c r="AB50" t="str">
        <f>"9220983667"</f>
        <v>9220983667</v>
      </c>
      <c r="AC50" t="str">
        <f>"9519931199"</f>
        <v>9519931199</v>
      </c>
      <c r="AD50" t="str">
        <f>"9220983667"</f>
        <v>9220983667</v>
      </c>
      <c r="AE50" t="str">
        <f>""</f>
        <v/>
      </c>
    </row>
    <row r="51" spans="1:31" x14ac:dyDescent="0.45">
      <c r="A51" t="str">
        <f>"ДЕЕВ СЕРГЕЙ ИВАНОВИЧ"</f>
        <v>ДЕЕВ СЕРГЕЙ ИВАНОВИЧ</v>
      </c>
      <c r="B51" t="str">
        <f>"1982-02-10"</f>
        <v>1982-02-10</v>
      </c>
      <c r="C51" t="str">
        <f>"67 01 560902"</f>
        <v>67 01 560902</v>
      </c>
      <c r="D51" t="str">
        <f>"4279016741984498"</f>
        <v>4279016741984498</v>
      </c>
      <c r="E51" t="str">
        <f>"2021-05-31"</f>
        <v>2021-05-31</v>
      </c>
      <c r="F51" t="str">
        <f>"J"</f>
        <v>J</v>
      </c>
      <c r="G51" t="str">
        <f>"Q"</f>
        <v>Q</v>
      </c>
      <c r="H51" t="str">
        <f>"40817810616992404922"</f>
        <v>40817810616992404922</v>
      </c>
      <c r="I51" t="str">
        <f>"1791"</f>
        <v>1791</v>
      </c>
      <c r="J51" t="str">
        <f>"0127"</f>
        <v>0127</v>
      </c>
      <c r="K51" t="str">
        <f>"0.00"</f>
        <v>0.00</v>
      </c>
      <c r="L51" t="str">
        <f>"628100 ОБЛ ТЮМЕНСКАЯ Р-Н ОКТЯБРЬСКИЙ   ПГТ ОКТЯБРЬСКОЕ ПЕР БОЛЬНИЧНЫЙ д. 16 стр. А1"</f>
        <v>628100 ОБЛ ТЮМЕНСКАЯ Р-Н ОКТЯБРЬСКИЙ   ПГТ ОКТЯБРЬСКОЕ ПЕР БОЛЬНИЧНЫЙ д. 16 стр. А1</v>
      </c>
      <c r="M51" t="str">
        <f t="shared" si="1"/>
        <v>2019-08-24</v>
      </c>
      <c r="N51" t="str">
        <f>"ООО АЛЬЯНС"</f>
        <v>ООО АЛЬЯНС</v>
      </c>
      <c r="O51" t="str">
        <f>"628260"</f>
        <v>628260</v>
      </c>
      <c r="P51" t="str">
        <f>"ОБЛ ТЮМЕНСКАЯ"</f>
        <v>ОБЛ ТЮМЕНСКАЯ</v>
      </c>
      <c r="Q51" t="str">
        <f>""</f>
        <v/>
      </c>
      <c r="R51" t="str">
        <f>"Г ЮГОРСК"</f>
        <v>Г ЮГОРСК</v>
      </c>
      <c r="S51" t="str">
        <f>""</f>
        <v/>
      </c>
      <c r="T51" t="str">
        <f>"УЛ ТОЛСТОГО"</f>
        <v>УЛ ТОЛСТОГО</v>
      </c>
      <c r="U51" s="1" t="str">
        <f>"18/1"</f>
        <v>18/1</v>
      </c>
      <c r="V51" s="1" t="str">
        <f>""</f>
        <v/>
      </c>
      <c r="W51" s="1" t="str">
        <f>""</f>
        <v/>
      </c>
      <c r="X51" s="1" t="str">
        <f>""</f>
        <v/>
      </c>
      <c r="Y51" s="1" t="str">
        <f>"44"</f>
        <v>44</v>
      </c>
      <c r="Z51" t="str">
        <f>"20386!34678"</f>
        <v>20386!34678</v>
      </c>
      <c r="AA51" t="str">
        <f>"9224170234"</f>
        <v>9224170234</v>
      </c>
      <c r="AB51" t="str">
        <f>"9519761825"</f>
        <v>9519761825</v>
      </c>
      <c r="AC51" t="str">
        <f>"9224170234"</f>
        <v>9224170234</v>
      </c>
      <c r="AD51" t="str">
        <f>"9519761825"</f>
        <v>9519761825</v>
      </c>
      <c r="AE51" t="str">
        <f>"3467829069"</f>
        <v>3467829069</v>
      </c>
    </row>
    <row r="52" spans="1:31" x14ac:dyDescent="0.45">
      <c r="A52" t="str">
        <f>"ЗУБАРЕВ СЕРГЕЙ АЛЕКСЕЕВИЧ"</f>
        <v>ЗУБАРЕВ СЕРГЕЙ АЛЕКСЕЕВИЧ</v>
      </c>
      <c r="B52" t="str">
        <f>"1975-03-30"</f>
        <v>1975-03-30</v>
      </c>
      <c r="C52" t="str">
        <f>"71 99 096343"</f>
        <v>71 99 096343</v>
      </c>
      <c r="D52" t="str">
        <f>"4276016710631024"</f>
        <v>4276016710631024</v>
      </c>
      <c r="E52" t="str">
        <f>"2021-06-30"</f>
        <v>2021-06-30</v>
      </c>
      <c r="F52" t="str">
        <f>"Q"</f>
        <v>Q</v>
      </c>
      <c r="G52" t="str">
        <f>"Q"</f>
        <v>Q</v>
      </c>
      <c r="H52" t="str">
        <f>"40817810567720705121"</f>
        <v>40817810567720705121</v>
      </c>
      <c r="I52" t="str">
        <f>"0029"</f>
        <v>0029</v>
      </c>
      <c r="J52" t="str">
        <f>"0186"</f>
        <v>0186</v>
      </c>
      <c r="K52" t="str">
        <f>"0.00"</f>
        <v>0.00</v>
      </c>
      <c r="L52" t="str">
        <f>"627750 ОБЛ ТЮМЕНСКАЯ   Г ИШИМ   УЛ РЕСПУБЛИКИ д. 74 корп. 2"</f>
        <v>627750 ОБЛ ТЮМЕНСКАЯ   Г ИШИМ   УЛ РЕСПУБЛИКИ д. 74 корп. 2</v>
      </c>
      <c r="M52" t="str">
        <f t="shared" si="1"/>
        <v>2019-08-24</v>
      </c>
      <c r="N52" t="str">
        <f>"ФКУ ИЦ №1"</f>
        <v>ФКУ ИЦ №1</v>
      </c>
      <c r="O52" t="str">
        <f>"627750"</f>
        <v>627750</v>
      </c>
      <c r="P52" t="str">
        <f>"ОБЛ ТЮМЕНСКАЯ"</f>
        <v>ОБЛ ТЮМЕНСКАЯ</v>
      </c>
      <c r="Q52" t="str">
        <f>""</f>
        <v/>
      </c>
      <c r="R52" t="str">
        <f>"Г ИШИМ"</f>
        <v>Г ИШИМ</v>
      </c>
      <c r="S52" t="str">
        <f>""</f>
        <v/>
      </c>
      <c r="T52" t="str">
        <f>"УЛ ПОРФИРЬЕВА"</f>
        <v>УЛ ПОРФИРЬЕВА</v>
      </c>
      <c r="U52" s="1" t="str">
        <f>"13"</f>
        <v>13</v>
      </c>
      <c r="V52" s="1" t="str">
        <f>""</f>
        <v/>
      </c>
      <c r="W52" s="1" t="str">
        <f>""</f>
        <v/>
      </c>
      <c r="X52" s="1" t="str">
        <f>""</f>
        <v/>
      </c>
      <c r="Y52" s="1" t="str">
        <f>""</f>
        <v/>
      </c>
      <c r="Z52" t="str">
        <f>"+7 (34551) 25321"</f>
        <v>+7 (34551) 25321</v>
      </c>
      <c r="AA52" t="str">
        <f>"+7 (34551) 67457"</f>
        <v>+7 (34551) 67457</v>
      </c>
      <c r="AB52" t="str">
        <f>"9199362091"</f>
        <v>9199362091</v>
      </c>
      <c r="AC52" t="str">
        <f>""</f>
        <v/>
      </c>
      <c r="AD52" t="str">
        <f>"9199362091"</f>
        <v>9199362091</v>
      </c>
      <c r="AE52" t="str">
        <f>"3455159653"</f>
        <v>3455159653</v>
      </c>
    </row>
    <row r="53" spans="1:31" x14ac:dyDescent="0.45">
      <c r="A53" t="str">
        <f>"ШИПОВСКАЯ ОЛЬГА ВЛАДИМИРОВНА"</f>
        <v>ШИПОВСКАЯ ОЛЬГА ВЛАДИМИРОВНА</v>
      </c>
      <c r="B53" t="str">
        <f>"1988-11-28"</f>
        <v>1988-11-28</v>
      </c>
      <c r="C53" t="str">
        <f>"75 11 961095"</f>
        <v>75 11 961095</v>
      </c>
      <c r="D53" t="str">
        <f>"4279011688987026"</f>
        <v>4279011688987026</v>
      </c>
      <c r="E53" t="str">
        <f>"2021-06-30"</f>
        <v>2021-06-30</v>
      </c>
      <c r="F53" t="str">
        <f t="shared" ref="F53:G57" si="9">"+"</f>
        <v>+</v>
      </c>
      <c r="G53" t="str">
        <f t="shared" si="9"/>
        <v>+</v>
      </c>
      <c r="H53" t="str">
        <f>"40817810816991443328"</f>
        <v>40817810816991443328</v>
      </c>
      <c r="I53" t="str">
        <f>"8597"</f>
        <v>8597</v>
      </c>
      <c r="J53" t="str">
        <f>"7770"</f>
        <v>7770</v>
      </c>
      <c r="K53" t="str">
        <f>"20000.00"</f>
        <v>20000.00</v>
      </c>
      <c r="L53" t="str">
        <f>"454000 ОБЛ ЧЕЛЯБИНСКАЯ   Г ЧЕЛЯБИНСК   УЛ СВОБОДЫ д. 62"</f>
        <v>454000 ОБЛ ЧЕЛЯБИНСКАЯ   Г ЧЕЛЯБИНСК   УЛ СВОБОДЫ д. 62</v>
      </c>
      <c r="M53" t="str">
        <f t="shared" si="1"/>
        <v>2019-08-24</v>
      </c>
      <c r="N53" t="str">
        <f>"ООО НСТ"</f>
        <v>ООО НСТ</v>
      </c>
      <c r="O53" t="str">
        <f>"454000"</f>
        <v>454000</v>
      </c>
      <c r="P53" t="str">
        <f>"ОБЛ ЧЕЛЯБИНСКАЯ"</f>
        <v>ОБЛ ЧЕЛЯБИНСКАЯ</v>
      </c>
      <c r="Q53" t="str">
        <f>""</f>
        <v/>
      </c>
      <c r="R53" t="str">
        <f>"Г ЧЕЛЯБИНСК"</f>
        <v>Г ЧЕЛЯБИНСК</v>
      </c>
      <c r="S53" t="str">
        <f>""</f>
        <v/>
      </c>
      <c r="T53" t="str">
        <f>"УЛ САЛАВАТА ЮЛАЕВА"</f>
        <v>УЛ САЛАВАТА ЮЛАЕВА</v>
      </c>
      <c r="U53" s="1" t="str">
        <f>"26"</f>
        <v>26</v>
      </c>
      <c r="V53" s="1" t="str">
        <f>""</f>
        <v/>
      </c>
      <c r="W53" s="1" t="str">
        <f>""</f>
        <v/>
      </c>
      <c r="X53" s="1" t="str">
        <f>""</f>
        <v/>
      </c>
      <c r="Y53" s="1" t="str">
        <f>"15"</f>
        <v>15</v>
      </c>
      <c r="Z53" t="str">
        <f>"3512331541"</f>
        <v>3512331541</v>
      </c>
      <c r="AA53" t="str">
        <f>"0000000000"</f>
        <v>0000000000</v>
      </c>
      <c r="AB53" t="str">
        <f>"9049716032"</f>
        <v>9049716032</v>
      </c>
      <c r="AC53" t="str">
        <f>"0000000000"</f>
        <v>0000000000</v>
      </c>
      <c r="AD53" t="str">
        <f>"9049716032"</f>
        <v>9049716032</v>
      </c>
      <c r="AE53" t="str">
        <f>"3512331541"</f>
        <v>3512331541</v>
      </c>
    </row>
    <row r="54" spans="1:31" x14ac:dyDescent="0.45">
      <c r="A54" t="str">
        <f>"ПАСМАКИНА ЛАРИСА ВИКТОРОВНА"</f>
        <v>ПАСМАКИНА ЛАРИСА ВИКТОРОВНА</v>
      </c>
      <c r="B54" t="str">
        <f>"1976-12-09"</f>
        <v>1976-12-09</v>
      </c>
      <c r="C54" t="str">
        <f>"75 02 696154"</f>
        <v>75 02 696154</v>
      </c>
      <c r="D54" t="str">
        <f>"4279011658739514"</f>
        <v>4279011658739514</v>
      </c>
      <c r="E54" t="str">
        <f>"2021-06-30"</f>
        <v>2021-06-30</v>
      </c>
      <c r="F54" t="str">
        <f t="shared" si="9"/>
        <v>+</v>
      </c>
      <c r="G54" t="str">
        <f t="shared" si="9"/>
        <v>+</v>
      </c>
      <c r="H54" t="str">
        <f>"40817810116991443332"</f>
        <v>40817810116991443332</v>
      </c>
      <c r="I54" t="str">
        <f>"8597"</f>
        <v>8597</v>
      </c>
      <c r="J54" t="str">
        <f>"7770"</f>
        <v>7770</v>
      </c>
      <c r="K54" t="str">
        <f>"215000.00"</f>
        <v>215000.00</v>
      </c>
      <c r="L54" t="str">
        <f>"454091 ОБЛ ЧЕЛЯБИНСКАЯ   Г ЧЕЛЯБИНСК   УЛ ЦВИЛЛИНГА д. 25"</f>
        <v>454091 ОБЛ ЧЕЛЯБИНСКАЯ   Г ЧЕЛЯБИНСК   УЛ ЦВИЛЛИНГА д. 25</v>
      </c>
      <c r="M54" t="str">
        <f t="shared" si="1"/>
        <v>2019-08-24</v>
      </c>
      <c r="N54" t="str">
        <f>"ПКФ ЭЛЕГАНТ"</f>
        <v>ПКФ ЭЛЕГАНТ</v>
      </c>
      <c r="O54" t="str">
        <f>"456209"</f>
        <v>456209</v>
      </c>
      <c r="P54" t="str">
        <f>"ОБЛ ЧЕЛЯБИНСКАЯ"</f>
        <v>ОБЛ ЧЕЛЯБИНСКАЯ</v>
      </c>
      <c r="Q54" t="str">
        <f>""</f>
        <v/>
      </c>
      <c r="R54" t="str">
        <f>"Г ЗЛАТОУСТ"</f>
        <v>Г ЗЛАТОУСТ</v>
      </c>
      <c r="S54" t="str">
        <f>""</f>
        <v/>
      </c>
      <c r="T54" t="str">
        <f>"УЛ ДВОРЦОВАЯ"</f>
        <v>УЛ ДВОРЦОВАЯ</v>
      </c>
      <c r="U54" s="1" t="str">
        <f>"10"</f>
        <v>10</v>
      </c>
      <c r="V54" s="1" t="str">
        <f>""</f>
        <v/>
      </c>
      <c r="W54" s="1" t="str">
        <f>""</f>
        <v/>
      </c>
      <c r="X54" s="1" t="str">
        <f>""</f>
        <v/>
      </c>
      <c r="Y54" s="1" t="str">
        <f>"31"</f>
        <v>31</v>
      </c>
      <c r="Z54" t="str">
        <f>"3512463359"</f>
        <v>3512463359</v>
      </c>
      <c r="AA54" t="str">
        <f>"0000000000"</f>
        <v>0000000000</v>
      </c>
      <c r="AB54" t="str">
        <f>"9525163376"</f>
        <v>9525163376</v>
      </c>
      <c r="AC54" t="str">
        <f>"0000000000"</f>
        <v>0000000000</v>
      </c>
      <c r="AD54" t="str">
        <f>"9525163376"</f>
        <v>9525163376</v>
      </c>
      <c r="AE54" t="str">
        <f>"3512463359"</f>
        <v>3512463359</v>
      </c>
    </row>
    <row r="55" spans="1:31" x14ac:dyDescent="0.45">
      <c r="A55" t="str">
        <f>"ПЕРЕСКОКОВА ТАТЬЯНА ПАВЛОВНА"</f>
        <v>ПЕРЕСКОКОВА ТАТЬЯНА ПАВЛОВНА</v>
      </c>
      <c r="B55" t="str">
        <f>"1996-02-17"</f>
        <v>1996-02-17</v>
      </c>
      <c r="C55" t="str">
        <f>"65 18 691935"</f>
        <v>65 18 691935</v>
      </c>
      <c r="D55" t="str">
        <f>"4279011682454049"</f>
        <v>4279011682454049</v>
      </c>
      <c r="E55" t="str">
        <f>"2021-06-30"</f>
        <v>2021-06-30</v>
      </c>
      <c r="F55" t="str">
        <f t="shared" si="9"/>
        <v>+</v>
      </c>
      <c r="G55" t="str">
        <f t="shared" si="9"/>
        <v>+</v>
      </c>
      <c r="H55" t="str">
        <f>"40817810416991443391"</f>
        <v>40817810416991443391</v>
      </c>
      <c r="I55" t="str">
        <f>"7003"</f>
        <v>7003</v>
      </c>
      <c r="J55" t="str">
        <f>"7774"</f>
        <v>7774</v>
      </c>
      <c r="K55" t="str">
        <f>"50000.00"</f>
        <v>50000.00</v>
      </c>
      <c r="L55" t="str">
        <f>"623100 ОБЛ СВЕРДЛОВСКАЯ   Г ПЕРВОУРАЛЬСК   УЛ МЕТАЛЛУРГОВ д. 3 А"</f>
        <v>623100 ОБЛ СВЕРДЛОВСКАЯ   Г ПЕРВОУРАЛЬСК   УЛ МЕТАЛЛУРГОВ д. 3 А</v>
      </c>
      <c r="M55" t="str">
        <f t="shared" si="1"/>
        <v>2019-08-24</v>
      </c>
      <c r="N55" t="str">
        <f>"ГБУЗ СО ГБ ПЕРВОУРАЛЬСК"</f>
        <v>ГБУЗ СО ГБ ПЕРВОУРАЛЬСК</v>
      </c>
      <c r="O55" t="str">
        <f>"623100"</f>
        <v>623100</v>
      </c>
      <c r="P55" t="str">
        <f>"ОБЛ СВЕРДЛОВСКАЯ"</f>
        <v>ОБЛ СВЕРДЛОВСКАЯ</v>
      </c>
      <c r="Q55" t="str">
        <f>""</f>
        <v/>
      </c>
      <c r="R55" t="str">
        <f>"Г ПЕРВОУРАЛЬСК"</f>
        <v>Г ПЕРВОУРАЛЬСК</v>
      </c>
      <c r="S55" t="str">
        <f>""</f>
        <v/>
      </c>
      <c r="T55" t="str">
        <f>"УЛ ВАТУТИНА"</f>
        <v>УЛ ВАТУТИНА</v>
      </c>
      <c r="U55" s="1" t="str">
        <f>"32"</f>
        <v>32</v>
      </c>
      <c r="V55" s="1" t="str">
        <f>""</f>
        <v/>
      </c>
      <c r="W55" s="1" t="str">
        <f>""</f>
        <v/>
      </c>
      <c r="X55" s="1" t="str">
        <f>""</f>
        <v/>
      </c>
      <c r="Y55" s="1" t="str">
        <f>"5"</f>
        <v>5</v>
      </c>
      <c r="Z55" t="str">
        <f>"3439667526"</f>
        <v>3439667526</v>
      </c>
      <c r="AA55" t="str">
        <f>"9630531378"</f>
        <v>9630531378</v>
      </c>
      <c r="AB55" t="str">
        <f>"9630531378"</f>
        <v>9630531378</v>
      </c>
      <c r="AC55" t="str">
        <f>"9630531378"</f>
        <v>9630531378</v>
      </c>
      <c r="AD55" t="str">
        <f>"9630531378"</f>
        <v>9630531378</v>
      </c>
      <c r="AE55" t="str">
        <f>"3439667526"</f>
        <v>3439667526</v>
      </c>
    </row>
    <row r="56" spans="1:31" x14ac:dyDescent="0.45">
      <c r="A56" t="str">
        <f>"ПИЧУЖКИНА ОЛЬГА ЛЕОНИДОВНА"</f>
        <v>ПИЧУЖКИНА ОЛЬГА ЛЕОНИДОВНА</v>
      </c>
      <c r="B56" t="str">
        <f>"1959-03-14"</f>
        <v>1959-03-14</v>
      </c>
      <c r="C56" t="str">
        <f>"75 04 293883"</f>
        <v>75 04 293883</v>
      </c>
      <c r="D56" t="str">
        <f>"4279011650590543"</f>
        <v>4279011650590543</v>
      </c>
      <c r="E56" t="str">
        <f>"2021-06-30"</f>
        <v>2021-06-30</v>
      </c>
      <c r="F56" t="str">
        <f t="shared" si="9"/>
        <v>+</v>
      </c>
      <c r="G56" t="str">
        <f t="shared" si="9"/>
        <v>+</v>
      </c>
      <c r="H56" t="str">
        <f>"40817810016991443393"</f>
        <v>40817810016991443393</v>
      </c>
      <c r="I56" t="str">
        <f>"8597"</f>
        <v>8597</v>
      </c>
      <c r="J56" t="str">
        <f>"7770"</f>
        <v>7770</v>
      </c>
      <c r="K56" t="str">
        <f>"68000.00"</f>
        <v>68000.00</v>
      </c>
      <c r="L56" t="str">
        <f>"456620 ОБЛ ЧЕЛЯБИНСКАЯ   Г КОПЕЙСК   П СОВЕТОВ д. 1/1"</f>
        <v>456620 ОБЛ ЧЕЛЯБИНСКАЯ   Г КОПЕЙСК   П СОВЕТОВ д. 1/1</v>
      </c>
      <c r="M56" t="str">
        <f t="shared" si="1"/>
        <v>2019-08-24</v>
      </c>
      <c r="N56" t="str">
        <f>"КОПЕЙСКИЙ ФИЛИАЛ АО РТ-ОХРАНА"</f>
        <v>КОПЕЙСКИЙ ФИЛИАЛ АО РТ-ОХРАНА</v>
      </c>
      <c r="O56" t="str">
        <f>"456000"</f>
        <v>456000</v>
      </c>
      <c r="P56" t="str">
        <f>"ОБЛ ЧЕЛЯБИНСКАЯ"</f>
        <v>ОБЛ ЧЕЛЯБИНСКАЯ</v>
      </c>
      <c r="Q56" t="str">
        <f>""</f>
        <v/>
      </c>
      <c r="R56" t="str">
        <f>"Г КОРКИНО"</f>
        <v>Г КОРКИНО</v>
      </c>
      <c r="S56" t="str">
        <f>""</f>
        <v/>
      </c>
      <c r="T56" t="str">
        <f>"УЛ ТЕРЕШКОВОЙ"</f>
        <v>УЛ ТЕРЕШКОВОЙ</v>
      </c>
      <c r="U56" s="1" t="str">
        <f>"19"</f>
        <v>19</v>
      </c>
      <c r="V56" s="1" t="str">
        <f>""</f>
        <v/>
      </c>
      <c r="W56" s="1" t="str">
        <f>"ОБЩ"</f>
        <v>ОБЩ</v>
      </c>
      <c r="X56" s="1" t="str">
        <f>""</f>
        <v/>
      </c>
      <c r="Y56" s="1" t="str">
        <f>""</f>
        <v/>
      </c>
      <c r="Z56" t="str">
        <f>"+7 (351) 2699110"</f>
        <v>+7 (351) 2699110</v>
      </c>
      <c r="AA56" t="str">
        <f>""</f>
        <v/>
      </c>
      <c r="AB56" t="str">
        <f>"+7 (919) 3309525"</f>
        <v>+7 (919) 3309525</v>
      </c>
      <c r="AC56" t="str">
        <f>"0000000000"</f>
        <v>0000000000</v>
      </c>
      <c r="AD56" t="str">
        <f>"9193309525"</f>
        <v>9193309525</v>
      </c>
      <c r="AE56" t="str">
        <f>"3512699110"</f>
        <v>3512699110</v>
      </c>
    </row>
    <row r="57" spans="1:31" x14ac:dyDescent="0.45">
      <c r="A57" t="str">
        <f>"ПОЛЕЖАЕВА СВЕТЛАНА КОНДРАТЬЕВНА"</f>
        <v>ПОЛЕЖАЕВА СВЕТЛАНА КОНДРАТЬЕВНА</v>
      </c>
      <c r="B57" t="str">
        <f>"1981-02-19"</f>
        <v>1981-02-19</v>
      </c>
      <c r="C57" t="str">
        <f>"71 02 636976"</f>
        <v>71 02 636976</v>
      </c>
      <c r="D57" t="str">
        <f>"5313100472267664"</f>
        <v>5313100472267664</v>
      </c>
      <c r="E57" t="str">
        <f>"2020-09-30"</f>
        <v>2020-09-30</v>
      </c>
      <c r="F57" t="str">
        <f t="shared" si="9"/>
        <v>+</v>
      </c>
      <c r="G57" t="str">
        <f t="shared" si="9"/>
        <v>+</v>
      </c>
      <c r="H57" t="str">
        <f>"40817810216992455766"</f>
        <v>40817810216992455766</v>
      </c>
      <c r="I57" t="str">
        <f>"8647"</f>
        <v>8647</v>
      </c>
      <c r="J57" t="str">
        <f>"0188"</f>
        <v>0188</v>
      </c>
      <c r="K57" t="str">
        <f>"10000.00"</f>
        <v>10000.00</v>
      </c>
      <c r="L57" t="str">
        <f>"627750 ОБЛ ТЮМЕНСКАЯ   Г ИШИМ   УЛ МАЛАЯ САДОВАЯ д. 71"</f>
        <v>627750 ОБЛ ТЮМЕНСКАЯ   Г ИШИМ   УЛ МАЛАЯ САДОВАЯ д. 71</v>
      </c>
      <c r="M57" t="str">
        <f t="shared" si="1"/>
        <v>2019-08-24</v>
      </c>
      <c r="N57" t="s">
        <v>31</v>
      </c>
      <c r="O57" t="str">
        <f>"627750"</f>
        <v>627750</v>
      </c>
      <c r="P57" t="str">
        <f>"ОБЛ ТЮМЕНСКАЯ"</f>
        <v>ОБЛ ТЮМЕНСКАЯ</v>
      </c>
      <c r="Q57" t="str">
        <f>"Р-Н ИШИМСКИЙ"</f>
        <v>Р-Н ИШИМСКИЙ</v>
      </c>
      <c r="R57" t="str">
        <f>"Г ИШИМ"</f>
        <v>Г ИШИМ</v>
      </c>
      <c r="S57" t="str">
        <f>""</f>
        <v/>
      </c>
      <c r="T57" t="str">
        <f>"УЛ ИШИМСКАЯ"</f>
        <v>УЛ ИШИМСКАЯ</v>
      </c>
      <c r="U57" s="1" t="str">
        <f>"94"</f>
        <v>94</v>
      </c>
      <c r="V57" s="1" t="str">
        <f>""</f>
        <v/>
      </c>
      <c r="W57" s="1" t="str">
        <f>""</f>
        <v/>
      </c>
      <c r="X57" s="1" t="str">
        <f>""</f>
        <v/>
      </c>
      <c r="Y57" s="1" t="str">
        <f>""</f>
        <v/>
      </c>
      <c r="Z57" t="str">
        <f>""</f>
        <v/>
      </c>
      <c r="AA57" t="str">
        <f>"9923007495"</f>
        <v>9923007495</v>
      </c>
      <c r="AB57" t="str">
        <f>"9088710739"</f>
        <v>9088710739</v>
      </c>
      <c r="AC57" t="str">
        <f>"9923007495"</f>
        <v>9923007495</v>
      </c>
      <c r="AD57" t="str">
        <f>"9088710739"</f>
        <v>9088710739</v>
      </c>
      <c r="AE57" t="str">
        <f>""</f>
        <v/>
      </c>
    </row>
    <row r="58" spans="1:31" x14ac:dyDescent="0.45">
      <c r="A58" t="str">
        <f>"МИРОНОВ ВЯЧЕСЛАВ ПЕТРОВИЧ"</f>
        <v>МИРОНОВ ВЯЧЕСЛАВ ПЕТРОВИЧ</v>
      </c>
      <c r="B58" t="str">
        <f>"1975-11-05"</f>
        <v>1975-11-05</v>
      </c>
      <c r="C58" t="str">
        <f>"20 01 434503"</f>
        <v>20 01 434503</v>
      </c>
      <c r="D58" t="str">
        <f>"4279016719142640"</f>
        <v>4279016719142640</v>
      </c>
      <c r="E58" t="str">
        <f>"2021-05-31"</f>
        <v>2021-05-31</v>
      </c>
      <c r="F58" t="str">
        <f>"Q"</f>
        <v>Q</v>
      </c>
      <c r="G58" t="str">
        <f>"Q"</f>
        <v>Q</v>
      </c>
      <c r="H58" t="str">
        <f>"40817810267720692291"</f>
        <v>40817810267720692291</v>
      </c>
      <c r="I58" t="str">
        <f>"8369"</f>
        <v>8369</v>
      </c>
      <c r="J58" t="str">
        <f>"0003"</f>
        <v>0003</v>
      </c>
      <c r="K58" t="str">
        <f>"0.00"</f>
        <v>0.00</v>
      </c>
      <c r="L58" t="str">
        <f>"629300 ОБЛ ТЮМЕНСКАЯ АО ЯМАЛО-НЕНЕЦКИЙ Г НОВЫЙ УРЕНГОЙ   УЛ ТАЕЖНАЯ д. 42"</f>
        <v>629300 ОБЛ ТЮМЕНСКАЯ АО ЯМАЛО-НЕНЕЦКИЙ Г НОВЫЙ УРЕНГОЙ   УЛ ТАЕЖНАЯ д. 42</v>
      </c>
      <c r="M58" t="str">
        <f t="shared" si="1"/>
        <v>2019-08-24</v>
      </c>
      <c r="N58" t="str">
        <f>"ПАО ГАЗПРОМ"</f>
        <v>ПАО ГАЗПРОМ</v>
      </c>
      <c r="O58" t="str">
        <f>"629300"</f>
        <v>629300</v>
      </c>
      <c r="P58" t="str">
        <f>"ОБЛ ТЮМЕНСКАЯ"</f>
        <v>ОБЛ ТЮМЕНСКАЯ</v>
      </c>
      <c r="Q58" t="str">
        <f>"АО ЯМАЛО-НЕНЕЦКИЙ"</f>
        <v>АО ЯМАЛО-НЕНЕЦКИЙ</v>
      </c>
      <c r="R58" t="str">
        <f>"Г НОВЫЙ УРЕНГОЙ"</f>
        <v>Г НОВЫЙ УРЕНГОЙ</v>
      </c>
      <c r="S58" t="str">
        <f>""</f>
        <v/>
      </c>
      <c r="T58" t="str">
        <f>"УЛ СПОРТИВНАЯ"</f>
        <v>УЛ СПОРТИВНАЯ</v>
      </c>
      <c r="U58" s="1" t="str">
        <f>"6В"</f>
        <v>6В</v>
      </c>
      <c r="V58" s="1" t="str">
        <f>""</f>
        <v/>
      </c>
      <c r="W58" s="1" t="str">
        <f>""</f>
        <v/>
      </c>
      <c r="X58" s="1" t="str">
        <f>""</f>
        <v/>
      </c>
      <c r="Y58" s="1" t="str">
        <f>"2"</f>
        <v>2</v>
      </c>
      <c r="Z58" t="str">
        <f>"9195503267"</f>
        <v>9195503267</v>
      </c>
      <c r="AA58" t="str">
        <f>"3494241082"</f>
        <v>3494241082</v>
      </c>
      <c r="AB58" t="str">
        <f>"9195503267"</f>
        <v>9195503267</v>
      </c>
      <c r="AC58" t="str">
        <f>"3494241082"</f>
        <v>3494241082</v>
      </c>
      <c r="AD58" t="str">
        <f>"9195503267"</f>
        <v>9195503267</v>
      </c>
      <c r="AE58" t="str">
        <f>"9195503267"</f>
        <v>9195503267</v>
      </c>
    </row>
    <row r="59" spans="1:31" x14ac:dyDescent="0.45">
      <c r="A59" t="str">
        <f>"ТРУХАНОВ АЛЕКСЕЙ ВИТАЛЬЕВИЧ"</f>
        <v>ТРУХАНОВ АЛЕКСЕЙ ВИТАЛЬЕВИЧ</v>
      </c>
      <c r="B59" t="str">
        <f>"1980-08-28"</f>
        <v>1980-08-28</v>
      </c>
      <c r="C59" t="str">
        <f>"74 02 290562"</f>
        <v>74 02 290562</v>
      </c>
      <c r="D59" t="str">
        <f>"4279016718808118"</f>
        <v>4279016718808118</v>
      </c>
      <c r="E59" t="str">
        <f>"2021-05-31"</f>
        <v>2021-05-31</v>
      </c>
      <c r="F59" t="str">
        <f>"+"</f>
        <v>+</v>
      </c>
      <c r="G59" t="str">
        <f>"+"</f>
        <v>+</v>
      </c>
      <c r="H59" t="str">
        <f>"40817810016992066371"</f>
        <v>40817810016992066371</v>
      </c>
      <c r="I59" t="str">
        <f>"8369"</f>
        <v>8369</v>
      </c>
      <c r="J59" t="str">
        <f>"0005"</f>
        <v>0005</v>
      </c>
      <c r="K59" t="str">
        <f>"300000.00"</f>
        <v>300000.00</v>
      </c>
      <c r="L59" t="str">
        <f>"629305 ОБЛ ТЮМЕНСКАЯ   Г НОВЫЙ УРЕНГОЙ   УЛ ПРОМЫСЛОВАЯ д. 9"</f>
        <v>629305 ОБЛ ТЮМЕНСКАЯ   Г НОВЫЙ УРЕНГОЙ   УЛ ПРОМЫСЛОВАЯ д. 9</v>
      </c>
      <c r="M59" t="str">
        <f t="shared" si="1"/>
        <v>2019-08-24</v>
      </c>
      <c r="N59" t="str">
        <f>"ГАЗПРОМ ДОБЫЧА УРЕНГОЙ"</f>
        <v>ГАЗПРОМ ДОБЫЧА УРЕНГОЙ</v>
      </c>
      <c r="O59" t="str">
        <f>"629305"</f>
        <v>629305</v>
      </c>
      <c r="P59" t="str">
        <f>"ОБЛ ТЮМЕНСКАЯ"</f>
        <v>ОБЛ ТЮМЕНСКАЯ</v>
      </c>
      <c r="Q59" t="str">
        <f>""</f>
        <v/>
      </c>
      <c r="R59" t="str">
        <f>"Г НОВЫЙ УРЕНГОЙ"</f>
        <v>Г НОВЫЙ УРЕНГОЙ</v>
      </c>
      <c r="S59" t="str">
        <f>""</f>
        <v/>
      </c>
      <c r="T59" t="str">
        <f>"МКР СОВЕТСКИЙ"</f>
        <v>МКР СОВЕТСКИЙ</v>
      </c>
      <c r="U59" s="1" t="str">
        <f>"4"</f>
        <v>4</v>
      </c>
      <c r="V59" s="1" t="str">
        <f>""</f>
        <v/>
      </c>
      <c r="W59" s="1" t="str">
        <f>"5"</f>
        <v>5</v>
      </c>
      <c r="X59" s="1" t="str">
        <f>""</f>
        <v/>
      </c>
      <c r="Y59" s="1" t="str">
        <f>"19"</f>
        <v>19</v>
      </c>
      <c r="Z59" t="str">
        <f>""</f>
        <v/>
      </c>
      <c r="AA59" t="str">
        <f>"9615537526"</f>
        <v>9615537526</v>
      </c>
      <c r="AB59" t="str">
        <f>"9091988377"</f>
        <v>9091988377</v>
      </c>
      <c r="AC59" t="str">
        <f>"9615537526"</f>
        <v>9615537526</v>
      </c>
      <c r="AD59" t="str">
        <f>"9091988377"</f>
        <v>9091988377</v>
      </c>
      <c r="AE59" t="str">
        <f>""</f>
        <v/>
      </c>
    </row>
    <row r="60" spans="1:31" x14ac:dyDescent="0.45">
      <c r="A60" t="str">
        <f>"ОСАДЧАЯ РЕЗИДА ТАГИРОВНА"</f>
        <v>ОСАДЧАЯ РЕЗИДА ТАГИРОВНА</v>
      </c>
      <c r="B60" t="str">
        <f>"1974-09-24"</f>
        <v>1974-09-24</v>
      </c>
      <c r="C60" t="str">
        <f>"75 03 319684"</f>
        <v>75 03 319684</v>
      </c>
      <c r="D60" t="str">
        <f>"4279016735447544"</f>
        <v>4279016735447544</v>
      </c>
      <c r="E60" t="str">
        <f>"2021-05-31"</f>
        <v>2021-05-31</v>
      </c>
      <c r="F60" t="str">
        <f>"+"</f>
        <v>+</v>
      </c>
      <c r="G60" t="str">
        <f>"+"</f>
        <v>+</v>
      </c>
      <c r="H60" t="str">
        <f>"40817810916992405168"</f>
        <v>40817810916992405168</v>
      </c>
      <c r="I60" t="str">
        <f>"5940"</f>
        <v>5940</v>
      </c>
      <c r="J60" t="str">
        <f>"0112"</f>
        <v>0112</v>
      </c>
      <c r="K60" t="str">
        <f>"145000.00"</f>
        <v>145000.00</v>
      </c>
      <c r="L60" t="str">
        <f>"628600 ОБЛ ТЮМЕНСКАЯ   Г НИЖНЕВАРТВОСК   УЛ СЕВЕРНАЯ д. 8Б"</f>
        <v>628600 ОБЛ ТЮМЕНСКАЯ   Г НИЖНЕВАРТВОСК   УЛ СЕВЕРНАЯ д. 8Б</v>
      </c>
      <c r="M60" t="str">
        <f t="shared" si="1"/>
        <v>2019-08-24</v>
      </c>
      <c r="N60" t="str">
        <f>"МАДОУ Г. НИЖНЕВАРТОВСКА ДС №40"</f>
        <v>МАДОУ Г. НИЖНЕВАРТОВСКА ДС №40</v>
      </c>
      <c r="O60" t="str">
        <f>"628600"</f>
        <v>628600</v>
      </c>
      <c r="P60" t="str">
        <f>"ОБЛ ТЮМЕНСКАЯ"</f>
        <v>ОБЛ ТЮМЕНСКАЯ</v>
      </c>
      <c r="Q60" t="str">
        <f>""</f>
        <v/>
      </c>
      <c r="R60" t="str">
        <f>"Г НИЖНЕВАРТОВСК"</f>
        <v>Г НИЖНЕВАРТОВСК</v>
      </c>
      <c r="S60" t="str">
        <f>""</f>
        <v/>
      </c>
      <c r="T60" t="str">
        <f>"УЛ МЕНДЕЛЕЕВА"</f>
        <v>УЛ МЕНДЕЛЕЕВА</v>
      </c>
      <c r="U60" s="1" t="str">
        <f>"26А"</f>
        <v>26А</v>
      </c>
      <c r="V60" s="1" t="str">
        <f>""</f>
        <v/>
      </c>
      <c r="W60" s="1" t="str">
        <f>""</f>
        <v/>
      </c>
      <c r="X60" s="1" t="str">
        <f>""</f>
        <v/>
      </c>
      <c r="Y60" s="1" t="str">
        <f>"34"</f>
        <v>34</v>
      </c>
      <c r="Z60" t="str">
        <f>""</f>
        <v/>
      </c>
      <c r="AA60" t="str">
        <f>"3466271030"</f>
        <v>3466271030</v>
      </c>
      <c r="AB60" t="str">
        <f>"9825333566"</f>
        <v>9825333566</v>
      </c>
      <c r="AC60" t="str">
        <f>"3466271030"</f>
        <v>3466271030</v>
      </c>
      <c r="AD60" t="str">
        <f>"9825333566"</f>
        <v>9825333566</v>
      </c>
      <c r="AE60" t="str">
        <f>""</f>
        <v/>
      </c>
    </row>
    <row r="61" spans="1:31" x14ac:dyDescent="0.45">
      <c r="A61" t="str">
        <f>"ВАЛЕЕВ АХМАТЗИЯ МАНСУРОВИЧ"</f>
        <v>ВАЛЕЕВ АХМАТЗИЯ МАНСУРОВИЧ</v>
      </c>
      <c r="B61" t="str">
        <f>"1955-10-07"</f>
        <v>1955-10-07</v>
      </c>
      <c r="C61" t="str">
        <f>"80 02 561851"</f>
        <v>80 02 561851</v>
      </c>
      <c r="D61" t="str">
        <f>"5484011608265998"</f>
        <v>5484011608265998</v>
      </c>
      <c r="E61" t="str">
        <f>"2021-06-30"</f>
        <v>2021-06-30</v>
      </c>
      <c r="F61" t="str">
        <f>"Q"</f>
        <v>Q</v>
      </c>
      <c r="G61" t="str">
        <f>"Q"</f>
        <v>Q</v>
      </c>
      <c r="H61" t="str">
        <f>"40817810616991443337"</f>
        <v>40817810616991443337</v>
      </c>
      <c r="I61" t="str">
        <f>"8598"</f>
        <v>8598</v>
      </c>
      <c r="J61" t="str">
        <f>"7770"</f>
        <v>7770</v>
      </c>
      <c r="K61" t="str">
        <f>"0.00"</f>
        <v>0.00</v>
      </c>
      <c r="L61" t="str">
        <f>"450000 РЕСП БАШКОРТОСТАН   Г УФА   УЛ ЧЕКМАГУШЕВСКАЯ д. 1А"</f>
        <v>450000 РЕСП БАШКОРТОСТАН   Г УФА   УЛ ЧЕКМАГУШЕВСКАЯ д. 1А</v>
      </c>
      <c r="M61" t="str">
        <f t="shared" si="1"/>
        <v>2019-08-24</v>
      </c>
      <c r="N61" t="str">
        <f>"БАШНЕФТЬ-РОЗНИЦА"</f>
        <v>БАШНЕФТЬ-РОЗНИЦА</v>
      </c>
      <c r="O61" t="str">
        <f>"450000"</f>
        <v>450000</v>
      </c>
      <c r="P61" t="str">
        <f>"РЕСП БАШКОРТОСТАН"</f>
        <v>РЕСП БАШКОРТОСТАН</v>
      </c>
      <c r="Q61" t="str">
        <f>"Р-Н ЧИШМИНСКИМ"</f>
        <v>Р-Н ЧИШМИНСКИМ</v>
      </c>
      <c r="R61" t="str">
        <f>""</f>
        <v/>
      </c>
      <c r="S61" t="str">
        <f>"С ЧИШМЫ"</f>
        <v>С ЧИШМЫ</v>
      </c>
      <c r="T61" t="str">
        <f>"УЛ ЗАПАДНАЯ"</f>
        <v>УЛ ЗАПАДНАЯ</v>
      </c>
      <c r="U61" s="1" t="str">
        <f>"31"</f>
        <v>31</v>
      </c>
      <c r="V61" s="1" t="str">
        <f>""</f>
        <v/>
      </c>
      <c r="W61" s="1" t="str">
        <f>""</f>
        <v/>
      </c>
      <c r="X61" s="1" t="str">
        <f>""</f>
        <v/>
      </c>
      <c r="Y61" s="1" t="str">
        <f>""</f>
        <v/>
      </c>
      <c r="Z61" t="str">
        <f>"3472699413"</f>
        <v>3472699413</v>
      </c>
      <c r="AA61" t="str">
        <f>"9061080686"</f>
        <v>9061080686</v>
      </c>
      <c r="AB61" t="str">
        <f>"9061080686"</f>
        <v>9061080686</v>
      </c>
      <c r="AC61" t="str">
        <f>"9273308192"</f>
        <v>9273308192</v>
      </c>
      <c r="AD61" t="str">
        <f>"9061080686"</f>
        <v>9061080686</v>
      </c>
      <c r="AE61" t="str">
        <f>"3472699413"</f>
        <v>3472699413</v>
      </c>
    </row>
    <row r="62" spans="1:31" x14ac:dyDescent="0.45">
      <c r="A62" t="str">
        <f>"ДОСТОВАЛОВА ДЖАМИЛЯ ХАЛИЛОВНА"</f>
        <v>ДОСТОВАЛОВА ДЖАМИЛЯ ХАЛИЛОВНА</v>
      </c>
      <c r="B62" t="str">
        <f>"1973-06-21"</f>
        <v>1973-06-21</v>
      </c>
      <c r="C62" t="str">
        <f>"71 18 372952"</f>
        <v>71 18 372952</v>
      </c>
      <c r="D62" t="str">
        <f>"4854630283210048"</f>
        <v>4854630283210048</v>
      </c>
      <c r="E62" t="str">
        <f>"2021-06-30"</f>
        <v>2021-06-30</v>
      </c>
      <c r="F62" t="str">
        <f>"+"</f>
        <v>+</v>
      </c>
      <c r="G62" t="str">
        <f>"+"</f>
        <v>+</v>
      </c>
      <c r="H62" t="str">
        <f>"40817810616992455890"</f>
        <v>40817810616992455890</v>
      </c>
      <c r="I62" t="str">
        <f>"8647"</f>
        <v>8647</v>
      </c>
      <c r="J62" t="str">
        <f>"0170"</f>
        <v>0170</v>
      </c>
      <c r="K62" t="str">
        <f>"155000.00"</f>
        <v>155000.00</v>
      </c>
      <c r="L62" t="str">
        <f>"625000 ОБЛ ТЮМЕНСКАЯ   Г ТЮМЕНЬ   УЛ ПРОЕЗД ГЕОЛОГОРАЗВЕДЧИКОВ д. 14А"</f>
        <v>625000 ОБЛ ТЮМЕНСКАЯ   Г ТЮМЕНЬ   УЛ ПРОЕЗД ГЕОЛОГОРАЗВЕДЧИКОВ д. 14А</v>
      </c>
      <c r="M62" t="str">
        <f t="shared" si="1"/>
        <v>2019-08-24</v>
      </c>
      <c r="N62" t="str">
        <f>"ЦЕНТР СЕМЬЯ"</f>
        <v>ЦЕНТР СЕМЬЯ</v>
      </c>
      <c r="O62" t="str">
        <f>"625000"</f>
        <v>625000</v>
      </c>
      <c r="P62" t="str">
        <f>"ОБЛ ТЮМЕНСКАЯ"</f>
        <v>ОБЛ ТЮМЕНСКАЯ</v>
      </c>
      <c r="Q62" t="str">
        <f>""</f>
        <v/>
      </c>
      <c r="R62" t="str">
        <f>"Г ТЮМЕНЬ"</f>
        <v>Г ТЮМЕНЬ</v>
      </c>
      <c r="S62" t="str">
        <f>""</f>
        <v/>
      </c>
      <c r="T62" t="str">
        <f>"УЛ СОЮЗНАЯ"</f>
        <v>УЛ СОЮЗНАЯ</v>
      </c>
      <c r="U62" s="1" t="str">
        <f>"36"</f>
        <v>36</v>
      </c>
      <c r="V62" s="1" t="str">
        <f>""</f>
        <v/>
      </c>
      <c r="W62" s="1" t="str">
        <f>""</f>
        <v/>
      </c>
      <c r="X62" s="1" t="str">
        <f>""</f>
        <v/>
      </c>
      <c r="Y62" s="1" t="str">
        <f>""</f>
        <v/>
      </c>
      <c r="Z62" t="str">
        <f>"415830"</f>
        <v>415830</v>
      </c>
      <c r="AA62" t="str">
        <f>"9129243950"</f>
        <v>9129243950</v>
      </c>
      <c r="AB62" t="str">
        <f>"9129211952"</f>
        <v>9129211952</v>
      </c>
      <c r="AC62" t="str">
        <f>"9129243950"</f>
        <v>9129243950</v>
      </c>
      <c r="AD62" t="str">
        <f>"9129211952"</f>
        <v>9129211952</v>
      </c>
      <c r="AE62" t="str">
        <f>""</f>
        <v/>
      </c>
    </row>
    <row r="63" spans="1:31" x14ac:dyDescent="0.45">
      <c r="A63" t="str">
        <f>"СУЛТАНОВА ФАНИЯ АБДУЛЛОВНА"</f>
        <v>СУЛТАНОВА ФАНИЯ АБДУЛЛОВНА</v>
      </c>
      <c r="B63" t="str">
        <f>"1953-02-25"</f>
        <v>1953-02-25</v>
      </c>
      <c r="C63" t="str">
        <f>"80 02 950740"</f>
        <v>80 02 950740</v>
      </c>
      <c r="D63" t="str">
        <f>"4854630356836380"</f>
        <v>4854630356836380</v>
      </c>
      <c r="E63" t="str">
        <f>"2021-04-30"</f>
        <v>2021-04-30</v>
      </c>
      <c r="F63" t="str">
        <f>"+"</f>
        <v>+</v>
      </c>
      <c r="G63" t="str">
        <f>"+"</f>
        <v>+</v>
      </c>
      <c r="H63" t="str">
        <f>"40817810116991419201"</f>
        <v>40817810116991419201</v>
      </c>
      <c r="I63" t="str">
        <f>"8598"</f>
        <v>8598</v>
      </c>
      <c r="J63" t="str">
        <f>"0727"</f>
        <v>0727</v>
      </c>
      <c r="K63" t="str">
        <f>"15000.00"</f>
        <v>15000.00</v>
      </c>
      <c r="L63" t="str">
        <f>"453830 РЕСП БАШКОРТОСТАН   Г СИБАЙ   ПР-КТ ГОРНЯКОВ д. 63 кв. 15"</f>
        <v>453830 РЕСП БАШКОРТОСТАН   Г СИБАЙ   ПР-КТ ГОРНЯКОВ д. 63 кв. 15</v>
      </c>
      <c r="M63" t="str">
        <f t="shared" si="1"/>
        <v>2019-08-24</v>
      </c>
      <c r="N63" t="str">
        <f>"ПФР"</f>
        <v>ПФР</v>
      </c>
      <c r="O63" t="str">
        <f>"453830"</f>
        <v>453830</v>
      </c>
      <c r="P63" t="str">
        <f>"РЕСП БАШКОРТОСТАН"</f>
        <v>РЕСП БАШКОРТОСТАН</v>
      </c>
      <c r="Q63" t="str">
        <f>""</f>
        <v/>
      </c>
      <c r="R63" t="str">
        <f>"Г СИБАЙ"</f>
        <v>Г СИБАЙ</v>
      </c>
      <c r="S63" t="str">
        <f>""</f>
        <v/>
      </c>
      <c r="T63" t="str">
        <f>"УЛ ГОРНЯКОВ"</f>
        <v>УЛ ГОРНЯКОВ</v>
      </c>
      <c r="U63" s="1" t="str">
        <f>"63"</f>
        <v>63</v>
      </c>
      <c r="V63" s="1" t="str">
        <f>""</f>
        <v/>
      </c>
      <c r="W63" s="1" t="str">
        <f>""</f>
        <v/>
      </c>
      <c r="X63" s="1" t="str">
        <f>""</f>
        <v/>
      </c>
      <c r="Y63" s="1" t="str">
        <f>"15"</f>
        <v>15</v>
      </c>
      <c r="Z63" t="str">
        <f>""</f>
        <v/>
      </c>
      <c r="AA63" t="str">
        <f>"3477500000"</f>
        <v>3477500000</v>
      </c>
      <c r="AB63" t="str">
        <f>"9373583320"</f>
        <v>9373583320</v>
      </c>
      <c r="AC63" t="str">
        <f>"3477500000"</f>
        <v>3477500000</v>
      </c>
      <c r="AD63" t="str">
        <f>"9373583320"</f>
        <v>9373583320</v>
      </c>
      <c r="AE63" t="str">
        <f>""</f>
        <v/>
      </c>
    </row>
    <row r="64" spans="1:31" x14ac:dyDescent="0.45">
      <c r="A64" t="str">
        <f>"ГАЛЯЗОВ ФАТИХ САГИТДЕЕВИЧ"</f>
        <v>ГАЛЯЗОВ ФАТИХ САГИТДЕЕВИЧ</v>
      </c>
      <c r="B64" t="str">
        <f>"1960-10-18"</f>
        <v>1960-10-18</v>
      </c>
      <c r="C64" t="str">
        <f>"75 05 687879"</f>
        <v>75 05 687879</v>
      </c>
      <c r="D64" t="str">
        <f>"4276011621328208"</f>
        <v>4276011621328208</v>
      </c>
      <c r="E64" t="str">
        <f>"2021-06-30"</f>
        <v>2021-06-30</v>
      </c>
      <c r="F64" t="str">
        <f>"Q"</f>
        <v>Q</v>
      </c>
      <c r="G64" t="str">
        <f>"Q"</f>
        <v>Q</v>
      </c>
      <c r="H64" t="str">
        <f>"40817810116991443345"</f>
        <v>40817810116991443345</v>
      </c>
      <c r="I64" t="str">
        <f>"8597"</f>
        <v>8597</v>
      </c>
      <c r="J64" t="str">
        <f>"0424"</f>
        <v>0424</v>
      </c>
      <c r="K64" t="str">
        <f>"0.00"</f>
        <v>0.00</v>
      </c>
      <c r="L64" t="str">
        <f>"454000 ОБЛ ЧЕЛЯБИНСКАЯ   Г ВЕРХНИЙ УФАЛЕЙ   УЛ УФАЛЕЙСКАЯ д. 137"</f>
        <v>454000 ОБЛ ЧЕЛЯБИНСКАЯ   Г ВЕРХНИЙ УФАЛЕЙ   УЛ УФАЛЕЙСКАЯ д. 137</v>
      </c>
      <c r="M64" t="str">
        <f t="shared" si="1"/>
        <v>2019-08-24</v>
      </c>
      <c r="N64" t="str">
        <f>"ООО ГОРКОМХОЗ"</f>
        <v>ООО ГОРКОМХОЗ</v>
      </c>
      <c r="O64" t="str">
        <f>"454000"</f>
        <v>454000</v>
      </c>
      <c r="P64" t="str">
        <f>"ОБЛ ЧЕЛЯБИНСКАЯ"</f>
        <v>ОБЛ ЧЕЛЯБИНСКАЯ</v>
      </c>
      <c r="Q64" t="str">
        <f>""</f>
        <v/>
      </c>
      <c r="R64" t="str">
        <f>"Г ВЕРХНИЙ УФАЛЕЙ"</f>
        <v>Г ВЕРХНИЙ УФАЛЕЙ</v>
      </c>
      <c r="S64" t="str">
        <f>""</f>
        <v/>
      </c>
      <c r="T64" t="str">
        <f>"УЛ КОЛЛЕКТИВНАЯ"</f>
        <v>УЛ КОЛЛЕКТИВНАЯ</v>
      </c>
      <c r="U64" s="1" t="str">
        <f>"4"</f>
        <v>4</v>
      </c>
      <c r="V64" s="1" t="str">
        <f>""</f>
        <v/>
      </c>
      <c r="W64" s="1" t="str">
        <f>""</f>
        <v/>
      </c>
      <c r="X64" s="1" t="str">
        <f>""</f>
        <v/>
      </c>
      <c r="Y64" s="1" t="str">
        <f>"4"</f>
        <v>4</v>
      </c>
      <c r="Z64" t="str">
        <f>""</f>
        <v/>
      </c>
      <c r="AA64" t="str">
        <f>"9273046425"</f>
        <v>9273046425</v>
      </c>
      <c r="AB64" t="str">
        <f>"9525053570"</f>
        <v>9525053570</v>
      </c>
      <c r="AC64" t="str">
        <f>"9273046425"</f>
        <v>9273046425</v>
      </c>
      <c r="AD64" t="str">
        <f>"9525053570"</f>
        <v>9525053570</v>
      </c>
      <c r="AE64" t="str">
        <f>""</f>
        <v/>
      </c>
    </row>
    <row r="65" spans="1:31" x14ac:dyDescent="0.45">
      <c r="A65" t="str">
        <f>"ЖЕЛТИКОВ ВЛАДИМИР АЛЕКСАНДРОВИЧ"</f>
        <v>ЖЕЛТИКОВ ВЛАДИМИР АЛЕКСАНДРОВИЧ</v>
      </c>
      <c r="B65" t="str">
        <f>"1966-01-21"</f>
        <v>1966-01-21</v>
      </c>
      <c r="C65" t="str">
        <f>"75 09 683046"</f>
        <v>75 09 683046</v>
      </c>
      <c r="D65" t="str">
        <f>"4276011637132537"</f>
        <v>4276011637132537</v>
      </c>
      <c r="E65" t="str">
        <f>"2021-06-30"</f>
        <v>2021-06-30</v>
      </c>
      <c r="F65" t="str">
        <f t="shared" ref="F65:G71" si="10">"+"</f>
        <v>+</v>
      </c>
      <c r="G65" t="str">
        <f t="shared" si="10"/>
        <v>+</v>
      </c>
      <c r="H65" t="str">
        <f>"40817810316991443349"</f>
        <v>40817810316991443349</v>
      </c>
      <c r="I65" t="str">
        <f>"8597"</f>
        <v>8597</v>
      </c>
      <c r="J65" t="str">
        <f>"0424"</f>
        <v>0424</v>
      </c>
      <c r="K65" t="str">
        <f>"15000.00"</f>
        <v>15000.00</v>
      </c>
      <c r="L65" t="str">
        <f>"454000 ОБЛ ЧЕЛЯБИНСКАЯ   Г ВЕРХНИЙ УФАЛЕЙ   УЛ ЛЕНИНА д. 176 кв. 3"</f>
        <v>454000 ОБЛ ЧЕЛЯБИНСКАЯ   Г ВЕРХНИЙ УФАЛЕЙ   УЛ ЛЕНИНА д. 176 кв. 3</v>
      </c>
      <c r="M65" t="str">
        <f t="shared" si="1"/>
        <v>2019-08-24</v>
      </c>
      <c r="N65" t="str">
        <f>"ООО ГОРКОМХОЗ"</f>
        <v>ООО ГОРКОМХОЗ</v>
      </c>
      <c r="O65" t="str">
        <f>"454000"</f>
        <v>454000</v>
      </c>
      <c r="P65" t="str">
        <f>"ОБЛ ЧЕЛЯБИНСКАЯ"</f>
        <v>ОБЛ ЧЕЛЯБИНСКАЯ</v>
      </c>
      <c r="Q65" t="str">
        <f>""</f>
        <v/>
      </c>
      <c r="R65" t="str">
        <f>"Г ВЕРХНИЙ УФАЛЕЙ"</f>
        <v>Г ВЕРХНИЙ УФАЛЕЙ</v>
      </c>
      <c r="S65" t="str">
        <f>""</f>
        <v/>
      </c>
      <c r="T65" t="str">
        <f>"УЛ ЛЕНИНА"</f>
        <v>УЛ ЛЕНИНА</v>
      </c>
      <c r="U65" s="1" t="str">
        <f>"176"</f>
        <v>176</v>
      </c>
      <c r="V65" s="1" t="str">
        <f>""</f>
        <v/>
      </c>
      <c r="W65" s="1" t="str">
        <f>""</f>
        <v/>
      </c>
      <c r="X65" s="1" t="str">
        <f>""</f>
        <v/>
      </c>
      <c r="Y65" s="1" t="str">
        <f>"3"</f>
        <v>3</v>
      </c>
      <c r="Z65" t="str">
        <f>""</f>
        <v/>
      </c>
      <c r="AA65" t="str">
        <f>"3516421750"</f>
        <v>3516421750</v>
      </c>
      <c r="AB65" t="str">
        <f>"9123208373"</f>
        <v>9123208373</v>
      </c>
      <c r="AC65" t="str">
        <f>"9323078606"</f>
        <v>9323078606</v>
      </c>
      <c r="AD65" t="str">
        <f>"9323078606"</f>
        <v>9323078606</v>
      </c>
      <c r="AE65" t="str">
        <f>""</f>
        <v/>
      </c>
    </row>
    <row r="66" spans="1:31" x14ac:dyDescent="0.45">
      <c r="A66" t="str">
        <f>"САВОСТИН СТАНИСЛАВ АЛЕКСАНДРОВИЧ"</f>
        <v>САВОСТИН СТАНИСЛАВ АЛЕКСАНДРОВИЧ</v>
      </c>
      <c r="B66" t="str">
        <f>"1983-09-08"</f>
        <v>1983-09-08</v>
      </c>
      <c r="C66" t="str">
        <f>"75 04 512258"</f>
        <v>75 04 512258</v>
      </c>
      <c r="D66" t="str">
        <f>"4854630400997204"</f>
        <v>4854630400997204</v>
      </c>
      <c r="E66" t="str">
        <f>"2021-04-30"</f>
        <v>2021-04-30</v>
      </c>
      <c r="F66" t="str">
        <f t="shared" si="10"/>
        <v>+</v>
      </c>
      <c r="G66" t="str">
        <f t="shared" si="10"/>
        <v>+</v>
      </c>
      <c r="H66" t="str">
        <f>"40817810416991419202"</f>
        <v>40817810416991419202</v>
      </c>
      <c r="I66" t="str">
        <f>"8597"</f>
        <v>8597</v>
      </c>
      <c r="J66" t="str">
        <f>"0225"</f>
        <v>0225</v>
      </c>
      <c r="K66" t="str">
        <f>"150000.00"</f>
        <v>150000.00</v>
      </c>
      <c r="L66" t="str">
        <f>"454000 ОБЛ ЧЕЛЯБИНСКАЯ   Г ЧЕЛЯБИНСК   ПР-КТ КОМСОМОЛЬСКИЙ д. 90"</f>
        <v>454000 ОБЛ ЧЕЛЯБИНСКАЯ   Г ЧЕЛЯБИНСК   ПР-КТ КОМСОМОЛЬСКИЙ д. 90</v>
      </c>
      <c r="M66" t="str">
        <f t="shared" ref="M66:M129" si="11">"2019-08-24"</f>
        <v>2019-08-24</v>
      </c>
      <c r="N66" t="str">
        <f>"ООО ТОРГОВЫЙ ДОМ ЗДОРОВАЯ ФЕРМА"</f>
        <v>ООО ТОРГОВЫЙ ДОМ ЗДОРОВАЯ ФЕРМА</v>
      </c>
      <c r="O66" t="str">
        <f>"454015"</f>
        <v>454015</v>
      </c>
      <c r="P66" t="str">
        <f>"ОБЛ ЧЕЛЯБИНСКАЯ"</f>
        <v>ОБЛ ЧЕЛЯБИНСКАЯ</v>
      </c>
      <c r="Q66" t="str">
        <f>""</f>
        <v/>
      </c>
      <c r="R66" t="str">
        <f>"Г ЧЕЛЯБИНСК"</f>
        <v>Г ЧЕЛЯБИНСК</v>
      </c>
      <c r="S66" t="str">
        <f>""</f>
        <v/>
      </c>
      <c r="T66" t="str">
        <f>"УЛ ШАГОЛЬСКАЯ"</f>
        <v>УЛ ШАГОЛЬСКАЯ</v>
      </c>
      <c r="U66" s="1" t="str">
        <f>""</f>
        <v/>
      </c>
      <c r="V66" s="1" t="str">
        <f>""</f>
        <v/>
      </c>
      <c r="W66" s="1" t="str">
        <f>""</f>
        <v/>
      </c>
      <c r="X66" s="1" t="str">
        <f>""</f>
        <v/>
      </c>
      <c r="Y66" s="1" t="str">
        <f>"29"</f>
        <v>29</v>
      </c>
      <c r="Z66" t="str">
        <f>""</f>
        <v/>
      </c>
      <c r="AA66" t="str">
        <f>"9000643833"</f>
        <v>9000643833</v>
      </c>
      <c r="AB66" t="str">
        <f>"9000643833"</f>
        <v>9000643833</v>
      </c>
      <c r="AC66" t="str">
        <f>"9000643833"</f>
        <v>9000643833</v>
      </c>
      <c r="AD66" t="str">
        <f>"9000643833"</f>
        <v>9000643833</v>
      </c>
      <c r="AE66" t="str">
        <f>""</f>
        <v/>
      </c>
    </row>
    <row r="67" spans="1:31" x14ac:dyDescent="0.45">
      <c r="A67" t="str">
        <f>"НЕХАЕНКО ЛАРИСА ИВАНОВНА"</f>
        <v>НЕХАЕНКО ЛАРИСА ИВАНОВНА</v>
      </c>
      <c r="B67" t="str">
        <f>"1974-05-06"</f>
        <v>1974-05-06</v>
      </c>
      <c r="C67" t="str">
        <f>"75 18 302031"</f>
        <v>75 18 302031</v>
      </c>
      <c r="D67" t="str">
        <f>"4279011641250124"</f>
        <v>4279011641250124</v>
      </c>
      <c r="E67" t="str">
        <f t="shared" ref="E67:E120" si="12">"2021-05-31"</f>
        <v>2021-05-31</v>
      </c>
      <c r="F67" t="str">
        <f t="shared" si="10"/>
        <v>+</v>
      </c>
      <c r="G67" t="str">
        <f t="shared" si="10"/>
        <v>+</v>
      </c>
      <c r="H67" t="str">
        <f>"40817810916991418978"</f>
        <v>40817810916991418978</v>
      </c>
      <c r="I67" t="str">
        <f>"8597"</f>
        <v>8597</v>
      </c>
      <c r="J67" t="str">
        <f>"0286"</f>
        <v>0286</v>
      </c>
      <c r="K67" t="str">
        <f>"175000.00"</f>
        <v>175000.00</v>
      </c>
      <c r="L67" t="str">
        <f>"454000 ОБЛ ЧЕЛЯБИНСКАЯ   Г ЧЕЛЯБИНСК   УЛ ТРУДА д. 187"</f>
        <v>454000 ОБЛ ЧЕЛЯБИНСКАЯ   Г ЧЕЛЯБИНСК   УЛ ТРУДА д. 187</v>
      </c>
      <c r="M67" t="str">
        <f t="shared" si="11"/>
        <v>2019-08-24</v>
      </c>
      <c r="N67" t="str">
        <f>"ООО ТЕХНИКА ЧИСТОТЫ"</f>
        <v>ООО ТЕХНИКА ЧИСТОТЫ</v>
      </c>
      <c r="O67" t="str">
        <f>"454000"</f>
        <v>454000</v>
      </c>
      <c r="P67" t="str">
        <f>"ОБЛ ЧЕЛЯБИНСКАЯ"</f>
        <v>ОБЛ ЧЕЛЯБИНСКАЯ</v>
      </c>
      <c r="Q67" t="str">
        <f>""</f>
        <v/>
      </c>
      <c r="R67" t="str">
        <f>"Г ЧЕЛЯБИНСК"</f>
        <v>Г ЧЕЛЯБИНСК</v>
      </c>
      <c r="S67" t="str">
        <f>""</f>
        <v/>
      </c>
      <c r="T67" t="str">
        <f>"УЛ РОССИЙСКАЯ"</f>
        <v>УЛ РОССИЙСКАЯ</v>
      </c>
      <c r="U67" s="1" t="str">
        <f>"275"</f>
        <v>275</v>
      </c>
      <c r="V67" s="1" t="str">
        <f>""</f>
        <v/>
      </c>
      <c r="W67" s="1" t="str">
        <f>""</f>
        <v/>
      </c>
      <c r="X67" s="1" t="str">
        <f>""</f>
        <v/>
      </c>
      <c r="Y67" s="1" t="str">
        <f>"129"</f>
        <v>129</v>
      </c>
      <c r="Z67" t="str">
        <f>""</f>
        <v/>
      </c>
      <c r="AA67" t="str">
        <f>"9048131656"</f>
        <v>9048131656</v>
      </c>
      <c r="AB67" t="str">
        <f>"9048131656"</f>
        <v>9048131656</v>
      </c>
      <c r="AC67" t="str">
        <f>"9048131656"</f>
        <v>9048131656</v>
      </c>
      <c r="AD67" t="str">
        <f>"9048131656"</f>
        <v>9048131656</v>
      </c>
      <c r="AE67" t="str">
        <f>""</f>
        <v/>
      </c>
    </row>
    <row r="68" spans="1:31" x14ac:dyDescent="0.45">
      <c r="A68" t="str">
        <f>"ВАЛЕЕВ САЛАВАТ ХАЙРУЛЛОВИЧ"</f>
        <v>ВАЛЕЕВ САЛАВАТ ХАЙРУЛЛОВИЧ</v>
      </c>
      <c r="B68" t="str">
        <f>"1974-05-12"</f>
        <v>1974-05-12</v>
      </c>
      <c r="C68" t="str">
        <f>"80 04 958189"</f>
        <v>80 04 958189</v>
      </c>
      <c r="D68" t="str">
        <f>"4279011636538434"</f>
        <v>4279011636538434</v>
      </c>
      <c r="E68" t="str">
        <f t="shared" si="12"/>
        <v>2021-05-31</v>
      </c>
      <c r="F68" t="str">
        <f t="shared" si="10"/>
        <v>+</v>
      </c>
      <c r="G68" t="str">
        <f t="shared" si="10"/>
        <v>+</v>
      </c>
      <c r="H68" t="str">
        <f>"40817810216991418979"</f>
        <v>40817810216991418979</v>
      </c>
      <c r="I68" t="str">
        <f>"8598"</f>
        <v>8598</v>
      </c>
      <c r="J68" t="str">
        <f>"0329"</f>
        <v>0329</v>
      </c>
      <c r="K68" t="str">
        <f>"200000.00"</f>
        <v>200000.00</v>
      </c>
      <c r="L68" t="str">
        <f>"450000 РЕСП БАШКОРТОСТАН   Г УЧАЛЫ   УЛ ГОРНОЗАВОДСКАЯ д. 26 стр. А"</f>
        <v>450000 РЕСП БАШКОРТОСТАН   Г УЧАЛЫ   УЛ ГОРНОЗАВОДСКАЯ д. 26 стр. А</v>
      </c>
      <c r="M68" t="str">
        <f t="shared" si="11"/>
        <v>2019-08-24</v>
      </c>
      <c r="N68" t="str">
        <f>"ООО БАШКИРСКИЙ ЛЕСЪ"</f>
        <v>ООО БАШКИРСКИЙ ЛЕСЪ</v>
      </c>
      <c r="O68" t="str">
        <f>"450000"</f>
        <v>450000</v>
      </c>
      <c r="P68" t="str">
        <f>"РЕСП БАШКОРТОСТАН"</f>
        <v>РЕСП БАШКОРТОСТАН</v>
      </c>
      <c r="Q68" t="str">
        <f>""</f>
        <v/>
      </c>
      <c r="R68" t="str">
        <f>"Г УЧАЛЫ"</f>
        <v>Г УЧАЛЫ</v>
      </c>
      <c r="S68" t="str">
        <f>""</f>
        <v/>
      </c>
      <c r="T68" t="str">
        <f>"УЛ ЛЕНИНА"</f>
        <v>УЛ ЛЕНИНА</v>
      </c>
      <c r="U68" s="1" t="str">
        <f>"54"</f>
        <v>54</v>
      </c>
      <c r="V68" s="1" t="str">
        <f>""</f>
        <v/>
      </c>
      <c r="W68" s="1" t="str">
        <f>""</f>
        <v/>
      </c>
      <c r="X68" s="1" t="str">
        <f>""</f>
        <v/>
      </c>
      <c r="Y68" s="1" t="str">
        <f>"63"</f>
        <v>63</v>
      </c>
      <c r="Z68" t="str">
        <f>""</f>
        <v/>
      </c>
      <c r="AA68" t="str">
        <f>"9279571571"</f>
        <v>9279571571</v>
      </c>
      <c r="AB68" t="str">
        <f>"9279571571"</f>
        <v>9279571571</v>
      </c>
      <c r="AC68" t="str">
        <f>"9279571571"</f>
        <v>9279571571</v>
      </c>
      <c r="AD68" t="str">
        <f>"9279571571"</f>
        <v>9279571571</v>
      </c>
      <c r="AE68" t="str">
        <f>""</f>
        <v/>
      </c>
    </row>
    <row r="69" spans="1:31" x14ac:dyDescent="0.45">
      <c r="A69" t="str">
        <f>"КОРЮКОВА АНАСТАСИЯ СЕРГЕЕВНА"</f>
        <v>КОРЮКОВА АНАСТАСИЯ СЕРГЕЕВНА</v>
      </c>
      <c r="B69" t="str">
        <f>"1986-12-25"</f>
        <v>1986-12-25</v>
      </c>
      <c r="C69" t="str">
        <f>"65 16 290563"</f>
        <v>65 16 290563</v>
      </c>
      <c r="D69" t="str">
        <f>"4279011666356111"</f>
        <v>4279011666356111</v>
      </c>
      <c r="E69" t="str">
        <f t="shared" si="12"/>
        <v>2021-05-31</v>
      </c>
      <c r="F69" t="str">
        <f t="shared" si="10"/>
        <v>+</v>
      </c>
      <c r="G69" t="str">
        <f t="shared" si="10"/>
        <v>+</v>
      </c>
      <c r="H69" t="str">
        <f>"40817810616991418980"</f>
        <v>40817810616991418980</v>
      </c>
      <c r="I69" t="str">
        <f>"7003"</f>
        <v>7003</v>
      </c>
      <c r="J69" t="str">
        <f>"0744"</f>
        <v>0744</v>
      </c>
      <c r="K69" t="str">
        <f>"150000.00"</f>
        <v>150000.00</v>
      </c>
      <c r="L69" t="str">
        <f>"620000 ОБЛ СВЕРДЛОВСКАЯ   Г НИЖНИЙ ТАГИЛ   УЛ МЕТАЛЛРУГОВ д. 1 стр. А"</f>
        <v>620000 ОБЛ СВЕРДЛОВСКАЯ   Г НИЖНИЙ ТАГИЛ   УЛ МЕТАЛЛРУГОВ д. 1 стр. А</v>
      </c>
      <c r="M69" t="str">
        <f t="shared" si="11"/>
        <v>2019-08-24</v>
      </c>
      <c r="N69" t="str">
        <f>"АО ЕВРАЗ НТМК"</f>
        <v>АО ЕВРАЗ НТМК</v>
      </c>
      <c r="O69" t="str">
        <f>"622049"</f>
        <v>622049</v>
      </c>
      <c r="P69" t="str">
        <f>"ОБЛ СВЕРДЛОВСКАЯ"</f>
        <v>ОБЛ СВЕРДЛОВСКАЯ</v>
      </c>
      <c r="Q69" t="str">
        <f>""</f>
        <v/>
      </c>
      <c r="R69" t="str">
        <f>"Г НИЖНИЙ ТАГИЛ"</f>
        <v>Г НИЖНИЙ ТАГИЛ</v>
      </c>
      <c r="S69" t="str">
        <f>""</f>
        <v/>
      </c>
      <c r="T69" t="str">
        <f>"Ш ЧЕРНОИСТОЧИНСКОЕ"</f>
        <v>Ш ЧЕРНОИСТОЧИНСКОЕ</v>
      </c>
      <c r="U69" s="1" t="str">
        <f>"75"</f>
        <v>75</v>
      </c>
      <c r="V69" s="1" t="str">
        <f>""</f>
        <v/>
      </c>
      <c r="W69" s="1" t="str">
        <f>""</f>
        <v/>
      </c>
      <c r="X69" s="1" t="str">
        <f>""</f>
        <v/>
      </c>
      <c r="Y69" s="1" t="str">
        <f>"22"</f>
        <v>22</v>
      </c>
      <c r="Z69" t="str">
        <f>"9126653448"</f>
        <v>9126653448</v>
      </c>
      <c r="AA69" t="str">
        <f>"9826683474"</f>
        <v>9826683474</v>
      </c>
      <c r="AB69" t="str">
        <f>"9126653448"</f>
        <v>9126653448</v>
      </c>
      <c r="AC69" t="str">
        <f>"9826683474"</f>
        <v>9826683474</v>
      </c>
      <c r="AD69" t="str">
        <f>"9126653448"</f>
        <v>9126653448</v>
      </c>
      <c r="AE69" t="str">
        <f>""</f>
        <v/>
      </c>
    </row>
    <row r="70" spans="1:31" x14ac:dyDescent="0.45">
      <c r="A70" t="str">
        <f>"РАХМАТУЛЛИН ИНСАФ МАРАТОВИЧ"</f>
        <v>РАХМАТУЛЛИН ИНСАФ МАРАТОВИЧ</v>
      </c>
      <c r="B70" t="str">
        <f>"1994-02-08"</f>
        <v>1994-02-08</v>
      </c>
      <c r="C70" t="str">
        <f>"80 13 900560"</f>
        <v>80 13 900560</v>
      </c>
      <c r="D70" t="str">
        <f>"4279011639942864"</f>
        <v>4279011639942864</v>
      </c>
      <c r="E70" t="str">
        <f t="shared" si="12"/>
        <v>2021-05-31</v>
      </c>
      <c r="F70" t="str">
        <f t="shared" si="10"/>
        <v>+</v>
      </c>
      <c r="G70" t="str">
        <f t="shared" si="10"/>
        <v>+</v>
      </c>
      <c r="H70" t="str">
        <f>"40817810916991418981"</f>
        <v>40817810916991418981</v>
      </c>
      <c r="I70" t="str">
        <f>"8598"</f>
        <v>8598</v>
      </c>
      <c r="J70" t="str">
        <f>"0703"</f>
        <v>0703</v>
      </c>
      <c r="K70" t="str">
        <f>"47000.00"</f>
        <v>47000.00</v>
      </c>
      <c r="L70" t="str">
        <f>"450000 РЕСП БАШКОРТОСТАН   Г САЛАВАТ   УЛ ИНДУСТРИАЛЬНАЯ д. 18"</f>
        <v>450000 РЕСП БАШКОРТОСТАН   Г САЛАВАТ   УЛ ИНДУСТРИАЛЬНАЯ д. 18</v>
      </c>
      <c r="M70" t="str">
        <f t="shared" si="11"/>
        <v>2019-08-24</v>
      </c>
      <c r="N70" t="str">
        <f>"АО САЛАВАТ СТЕКЛО"</f>
        <v>АО САЛАВАТ СТЕКЛО</v>
      </c>
      <c r="O70" t="str">
        <f>"450000"</f>
        <v>450000</v>
      </c>
      <c r="P70" t="str">
        <f>"РЕСП БАШКОРТОСТАН"</f>
        <v>РЕСП БАШКОРТОСТАН</v>
      </c>
      <c r="Q70" t="str">
        <f>""</f>
        <v/>
      </c>
      <c r="R70" t="str">
        <f>"Г САЛАВАТ"</f>
        <v>Г САЛАВАТ</v>
      </c>
      <c r="S70" t="str">
        <f>""</f>
        <v/>
      </c>
      <c r="T70" t="str">
        <f>"УЛ ГУБКИНА"</f>
        <v>УЛ ГУБКИНА</v>
      </c>
      <c r="U70" s="1" t="str">
        <f>"14/82"</f>
        <v>14/82</v>
      </c>
      <c r="V70" s="1" t="str">
        <f>""</f>
        <v/>
      </c>
      <c r="W70" s="1" t="str">
        <f>""</f>
        <v/>
      </c>
      <c r="X70" s="1" t="str">
        <f>""</f>
        <v/>
      </c>
      <c r="Y70" s="1" t="str">
        <f>"ОБЩ"</f>
        <v>ОБЩ</v>
      </c>
      <c r="Z70" t="str">
        <f>"3476391919"</f>
        <v>3476391919</v>
      </c>
      <c r="AA70" t="str">
        <f>"9872456211"</f>
        <v>9872456211</v>
      </c>
      <c r="AB70" t="str">
        <f>"9870481448"</f>
        <v>9870481448</v>
      </c>
      <c r="AC70" t="str">
        <f>"9872456211"</f>
        <v>9872456211</v>
      </c>
      <c r="AD70" t="str">
        <f>"9870481448"</f>
        <v>9870481448</v>
      </c>
      <c r="AE70" t="str">
        <f>""</f>
        <v/>
      </c>
    </row>
    <row r="71" spans="1:31" x14ac:dyDescent="0.45">
      <c r="A71" t="str">
        <f>"КУЗНЕЦОВА ЕЛЕНА АЛЕКСАНДРОВНА"</f>
        <v>КУЗНЕЦОВА ЕЛЕНА АЛЕКСАНДРОВНА</v>
      </c>
      <c r="B71" t="str">
        <f>"1985-01-02"</f>
        <v>1985-01-02</v>
      </c>
      <c r="C71" t="str">
        <f>"65 07 309281"</f>
        <v>65 07 309281</v>
      </c>
      <c r="D71" t="str">
        <f>"4279011694259162"</f>
        <v>4279011694259162</v>
      </c>
      <c r="E71" t="str">
        <f t="shared" si="12"/>
        <v>2021-05-31</v>
      </c>
      <c r="F71" t="str">
        <f t="shared" si="10"/>
        <v>+</v>
      </c>
      <c r="G71" t="str">
        <f t="shared" si="10"/>
        <v>+</v>
      </c>
      <c r="H71" t="str">
        <f>"40817810216991418982"</f>
        <v>40817810216991418982</v>
      </c>
      <c r="I71" t="str">
        <f>"7003"</f>
        <v>7003</v>
      </c>
      <c r="J71" t="str">
        <f>"0888"</f>
        <v>0888</v>
      </c>
      <c r="K71" t="str">
        <f>"160000.00"</f>
        <v>160000.00</v>
      </c>
      <c r="L71" t="str">
        <f>"620000 ОБЛ СВЕРДЛОВСКАЯ   Г ЕКАТЕРИНБУРГ   УЛ СТРЕЛОЧНИКОВ д. 2 корп. Г кв. 20"</f>
        <v>620000 ОБЛ СВЕРДЛОВСКАЯ   Г ЕКАТЕРИНБУРГ   УЛ СТРЕЛОЧНИКОВ д. 2 корп. Г кв. 20</v>
      </c>
      <c r="M71" t="str">
        <f t="shared" si="11"/>
        <v>2019-08-24</v>
      </c>
      <c r="N71" t="str">
        <f>"НЕ РАБОТАЕТ"</f>
        <v>НЕ РАБОТАЕТ</v>
      </c>
      <c r="O71" t="str">
        <f>"620000"</f>
        <v>620000</v>
      </c>
      <c r="P71" t="str">
        <f>"ОБЛ СВЕРДЛОВСКАЯ"</f>
        <v>ОБЛ СВЕРДЛОВСКАЯ</v>
      </c>
      <c r="Q71" t="str">
        <f>""</f>
        <v/>
      </c>
      <c r="R71" t="str">
        <f>"Г ЕКАТЕРИНБУРГ"</f>
        <v>Г ЕКАТЕРИНБУРГ</v>
      </c>
      <c r="S71" t="str">
        <f>""</f>
        <v/>
      </c>
      <c r="T71" t="str">
        <f>"УЛ СТРЕЛОЧНИКОВ"</f>
        <v>УЛ СТРЕЛОЧНИКОВ</v>
      </c>
      <c r="U71" s="1" t="str">
        <f>"2"</f>
        <v>2</v>
      </c>
      <c r="V71" s="1" t="str">
        <f>""</f>
        <v/>
      </c>
      <c r="W71" s="1" t="str">
        <f>"Г"</f>
        <v>Г</v>
      </c>
      <c r="X71" s="1" t="str">
        <f>""</f>
        <v/>
      </c>
      <c r="Y71" s="1" t="str">
        <f>"20"</f>
        <v>20</v>
      </c>
      <c r="Z71" t="str">
        <f>""</f>
        <v/>
      </c>
      <c r="AA71" t="str">
        <f>"9655160252"</f>
        <v>9655160252</v>
      </c>
      <c r="AB71" t="str">
        <f>"9655160252"</f>
        <v>9655160252</v>
      </c>
      <c r="AC71" t="str">
        <f>"9655160252"</f>
        <v>9655160252</v>
      </c>
      <c r="AD71" t="str">
        <f>"9655160252"</f>
        <v>9655160252</v>
      </c>
      <c r="AE71" t="str">
        <f>""</f>
        <v/>
      </c>
    </row>
    <row r="72" spans="1:31" x14ac:dyDescent="0.45">
      <c r="A72" t="str">
        <f>"САЙФУТДИНОВ ДИНАР РАДИКОВИЧ"</f>
        <v>САЙФУТДИНОВ ДИНАР РАДИКОВИЧ</v>
      </c>
      <c r="B72" t="str">
        <f>"1985-04-17"</f>
        <v>1985-04-17</v>
      </c>
      <c r="C72" t="str">
        <f>"80 05 753077"</f>
        <v>80 05 753077</v>
      </c>
      <c r="D72" t="str">
        <f>"5484011605962217"</f>
        <v>5484011605962217</v>
      </c>
      <c r="E72" t="str">
        <f t="shared" si="12"/>
        <v>2021-05-31</v>
      </c>
      <c r="F72" t="str">
        <f>"Q"</f>
        <v>Q</v>
      </c>
      <c r="G72" t="str">
        <f>"Q"</f>
        <v>Q</v>
      </c>
      <c r="H72" t="str">
        <f>"40817810516991418983"</f>
        <v>40817810516991418983</v>
      </c>
      <c r="I72" t="str">
        <f>"8598"</f>
        <v>8598</v>
      </c>
      <c r="J72" t="str">
        <f>"7770"</f>
        <v>7770</v>
      </c>
      <c r="K72" t="str">
        <f>"0.00"</f>
        <v>0.00</v>
      </c>
      <c r="L72" t="str">
        <f>"450000 РЕСП БАШКОРТОСТАН     Г УФА УЛ НОВОЖЕНОВА д. 86А"</f>
        <v>450000 РЕСП БАШКОРТОСТАН     Г УФА УЛ НОВОЖЕНОВА д. 86А</v>
      </c>
      <c r="M72" t="str">
        <f t="shared" si="11"/>
        <v>2019-08-24</v>
      </c>
      <c r="N72" t="str">
        <f>"ФКУ ИК-9 УФСИН"</f>
        <v>ФКУ ИК-9 УФСИН</v>
      </c>
      <c r="O72" t="str">
        <f>"450000"</f>
        <v>450000</v>
      </c>
      <c r="P72" t="str">
        <f>"РЕСП БАШКОРТОСТАН"</f>
        <v>РЕСП БАШКОРТОСТАН</v>
      </c>
      <c r="Q72" t="str">
        <f>""</f>
        <v/>
      </c>
      <c r="R72" t="str">
        <f>""</f>
        <v/>
      </c>
      <c r="S72" t="str">
        <f>"Г УФА"</f>
        <v>Г УФА</v>
      </c>
      <c r="T72" t="str">
        <f>"УЛ ЮРИЯ ГАГАРИНА"</f>
        <v>УЛ ЮРИЯ ГАГАРИНА</v>
      </c>
      <c r="U72" s="1" t="str">
        <f>"17"</f>
        <v>17</v>
      </c>
      <c r="V72" s="1" t="str">
        <f>""</f>
        <v/>
      </c>
      <c r="W72" s="1" t="str">
        <f>""</f>
        <v/>
      </c>
      <c r="X72" s="1" t="str">
        <f>""</f>
        <v/>
      </c>
      <c r="Y72" s="1" t="str">
        <f>"25"</f>
        <v>25</v>
      </c>
      <c r="Z72" t="str">
        <f>"3472842645"</f>
        <v>3472842645</v>
      </c>
      <c r="AA72" t="str">
        <f>"9273422088"</f>
        <v>9273422088</v>
      </c>
      <c r="AB72" t="str">
        <f>"9273422088"</f>
        <v>9273422088</v>
      </c>
      <c r="AC72" t="str">
        <f>"3472953302"</f>
        <v>3472953302</v>
      </c>
      <c r="AD72" t="str">
        <f>"9273422088"</f>
        <v>9273422088</v>
      </c>
      <c r="AE72" t="str">
        <f>"3472986892"</f>
        <v>3472986892</v>
      </c>
    </row>
    <row r="73" spans="1:31" x14ac:dyDescent="0.45">
      <c r="A73" t="str">
        <f>"КОЗЕЛОВА ЕЛЕНА СЕРГЕЕВНА"</f>
        <v>КОЗЕЛОВА ЕЛЕНА СЕРГЕЕВНА</v>
      </c>
      <c r="B73" t="str">
        <f>"1980-10-06"</f>
        <v>1980-10-06</v>
      </c>
      <c r="C73" t="str">
        <f>"80 03 919624"</f>
        <v>80 03 919624</v>
      </c>
      <c r="D73" t="str">
        <f>"4279011687745029"</f>
        <v>4279011687745029</v>
      </c>
      <c r="E73" t="str">
        <f t="shared" si="12"/>
        <v>2021-05-31</v>
      </c>
      <c r="F73" t="str">
        <f>"+"</f>
        <v>+</v>
      </c>
      <c r="G73" t="str">
        <f>"+"</f>
        <v>+</v>
      </c>
      <c r="H73" t="str">
        <f>"40817810816991418984"</f>
        <v>40817810816991418984</v>
      </c>
      <c r="I73" t="str">
        <f>"8598"</f>
        <v>8598</v>
      </c>
      <c r="J73" t="str">
        <f>"0120"</f>
        <v>0120</v>
      </c>
      <c r="K73" t="str">
        <f>"200000.00"</f>
        <v>200000.00</v>
      </c>
      <c r="L73" t="str">
        <f>"450099 РЕСП БАШКОРТОСТАН Р-Н УФИМСКИЙ Г УФА   УЛ СИПАЙЛОВСКАЯ д. 11 кв. 0"</f>
        <v>450099 РЕСП БАШКОРТОСТАН Р-Н УФИМСКИЙ Г УФА   УЛ СИПАЙЛОВСКАЯ д. 11 кв. 0</v>
      </c>
      <c r="M73" t="str">
        <f t="shared" si="11"/>
        <v>2019-08-24</v>
      </c>
      <c r="N73" t="str">
        <f>"ООО ГАЗПРОМПИТАНИЯ"</f>
        <v>ООО ГАЗПРОМПИТАНИЯ</v>
      </c>
      <c r="O73" t="str">
        <f>"450000"</f>
        <v>450000</v>
      </c>
      <c r="P73" t="str">
        <f>"РЕСП БАШКОРТОСТАН"</f>
        <v>РЕСП БАШКОРТОСТАН</v>
      </c>
      <c r="Q73" t="str">
        <f>"Р-Н УФИМСКИЙ"</f>
        <v>Р-Н УФИМСКИЙ</v>
      </c>
      <c r="R73" t="str">
        <f>"Г УФА"</f>
        <v>Г УФА</v>
      </c>
      <c r="S73" t="str">
        <f>""</f>
        <v/>
      </c>
      <c r="T73" t="str">
        <f>"УЛ ПЕРВОМАЙСКАЯ"</f>
        <v>УЛ ПЕРВОМАЙСКАЯ</v>
      </c>
      <c r="U73" s="1" t="str">
        <f>"92/1"</f>
        <v>92/1</v>
      </c>
      <c r="V73" s="1" t="str">
        <f>""</f>
        <v/>
      </c>
      <c r="W73" s="1" t="str">
        <f>""</f>
        <v/>
      </c>
      <c r="X73" s="1" t="str">
        <f>""</f>
        <v/>
      </c>
      <c r="Y73" s="1" t="str">
        <f>"62"</f>
        <v>62</v>
      </c>
      <c r="Z73" t="str">
        <f>""</f>
        <v/>
      </c>
      <c r="AA73" t="str">
        <f>"3472704468"</f>
        <v>3472704468</v>
      </c>
      <c r="AB73" t="str">
        <f>"9273318221"</f>
        <v>9273318221</v>
      </c>
      <c r="AC73" t="str">
        <f>"9874979945"</f>
        <v>9874979945</v>
      </c>
      <c r="AD73" t="str">
        <f>"9273318221"</f>
        <v>9273318221</v>
      </c>
      <c r="AE73" t="str">
        <f>""</f>
        <v/>
      </c>
    </row>
    <row r="74" spans="1:31" x14ac:dyDescent="0.45">
      <c r="A74" t="str">
        <f>"ДЕМАШКИНА АНАСТАСИЯ ДМИТРИЕВНА"</f>
        <v>ДЕМАШКИНА АНАСТАСИЯ ДМИТРИЕВНА</v>
      </c>
      <c r="B74" t="str">
        <f>"1991-04-22"</f>
        <v>1991-04-22</v>
      </c>
      <c r="C74" t="str">
        <f>"75 10 925042"</f>
        <v>75 10 925042</v>
      </c>
      <c r="D74" t="str">
        <f>"4279011620400450"</f>
        <v>4279011620400450</v>
      </c>
      <c r="E74" t="str">
        <f t="shared" si="12"/>
        <v>2021-05-31</v>
      </c>
      <c r="F74" t="str">
        <f>"Q"</f>
        <v>Q</v>
      </c>
      <c r="G74" t="str">
        <f>"Q"</f>
        <v>Q</v>
      </c>
      <c r="H74" t="str">
        <f>"40817810116991418985"</f>
        <v>40817810116991418985</v>
      </c>
      <c r="I74" t="str">
        <f>"8597"</f>
        <v>8597</v>
      </c>
      <c r="J74" t="str">
        <f>"0561"</f>
        <v>0561</v>
      </c>
      <c r="K74" t="str">
        <f>"0.00"</f>
        <v>0.00</v>
      </c>
      <c r="L74" t="str">
        <f>"454000 ОБЛ ЧЕЛЯБИНСКАЯ   Г ЧЕЛЯБИНСК   УЛ МОЛОДОГВАРДЕЙЦЕВ д. 7"</f>
        <v>454000 ОБЛ ЧЕЛЯБИНСКАЯ   Г ЧЕЛЯБИНСК   УЛ МОЛОДОГВАРДЕЙЦЕВ д. 7</v>
      </c>
      <c r="M74" t="str">
        <f t="shared" si="11"/>
        <v>2019-08-24</v>
      </c>
      <c r="N74" t="str">
        <f>"ООО МОЛЛ"</f>
        <v>ООО МОЛЛ</v>
      </c>
      <c r="O74" t="str">
        <f>"454000"</f>
        <v>454000</v>
      </c>
      <c r="P74" t="str">
        <f>"ОБЛ ЧЕЛЯБИНСКАЯ"</f>
        <v>ОБЛ ЧЕЛЯБИНСКАЯ</v>
      </c>
      <c r="Q74" t="str">
        <f>""</f>
        <v/>
      </c>
      <c r="R74" t="str">
        <f>"Г ЗЛАТОУСТ"</f>
        <v>Г ЗЛАТОУСТ</v>
      </c>
      <c r="S74" t="str">
        <f>""</f>
        <v/>
      </c>
      <c r="T74" t="str">
        <f>"УЛ ТУРГЕНЕВА"</f>
        <v>УЛ ТУРГЕНЕВА</v>
      </c>
      <c r="U74" s="1" t="str">
        <f>"14"</f>
        <v>14</v>
      </c>
      <c r="V74" s="1" t="str">
        <f>""</f>
        <v/>
      </c>
      <c r="W74" s="1" t="str">
        <f>""</f>
        <v/>
      </c>
      <c r="X74" s="1" t="str">
        <f>""</f>
        <v/>
      </c>
      <c r="Y74" s="1" t="str">
        <f>"43"</f>
        <v>43</v>
      </c>
      <c r="Z74" t="str">
        <f>""</f>
        <v/>
      </c>
      <c r="AA74" t="str">
        <f>"9085801766"</f>
        <v>9085801766</v>
      </c>
      <c r="AB74" t="str">
        <f>"9085801766"</f>
        <v>9085801766</v>
      </c>
      <c r="AC74" t="str">
        <f>"9085801766"</f>
        <v>9085801766</v>
      </c>
      <c r="AD74" t="str">
        <f>"9085801766"</f>
        <v>9085801766</v>
      </c>
      <c r="AE74" t="str">
        <f>""</f>
        <v/>
      </c>
    </row>
    <row r="75" spans="1:31" x14ac:dyDescent="0.45">
      <c r="A75" t="str">
        <f>"ФАМУТДИНОВА ДИНА АНАТОЛЬЕВНА"</f>
        <v>ФАМУТДИНОВА ДИНА АНАТОЛЬЕВНА</v>
      </c>
      <c r="B75" t="str">
        <f>"1983-02-27"</f>
        <v>1983-02-27</v>
      </c>
      <c r="C75" t="str">
        <f>"80 12 554853"</f>
        <v>80 12 554853</v>
      </c>
      <c r="D75" t="str">
        <f>"4279011620967144"</f>
        <v>4279011620967144</v>
      </c>
      <c r="E75" t="str">
        <f t="shared" si="12"/>
        <v>2021-05-31</v>
      </c>
      <c r="F75" t="str">
        <f>"+"</f>
        <v>+</v>
      </c>
      <c r="G75" t="str">
        <f>"7"</f>
        <v>7</v>
      </c>
      <c r="H75" t="str">
        <f>"40817810416991418986"</f>
        <v>40817810416991418986</v>
      </c>
      <c r="I75" t="str">
        <f>"8598"</f>
        <v>8598</v>
      </c>
      <c r="J75" t="str">
        <f>"0246"</f>
        <v>0246</v>
      </c>
      <c r="K75" t="str">
        <f>"21994.51"</f>
        <v>21994.51</v>
      </c>
      <c r="L75" t="str">
        <f>"450000 РЕСП БАШКОРТОСТАН   Г УФА   УЛ ФЕДОРОВСКАЯ д. 12 стр. Г"</f>
        <v>450000 РЕСП БАШКОРТОСТАН   Г УФА   УЛ ФЕДОРОВСКАЯ д. 12 стр. Г</v>
      </c>
      <c r="M75" t="str">
        <f t="shared" si="11"/>
        <v>2019-08-24</v>
      </c>
      <c r="N75" t="str">
        <f>"ООО СМУ ТПС"</f>
        <v>ООО СМУ ТПС</v>
      </c>
      <c r="O75" t="str">
        <f>"450000"</f>
        <v>450000</v>
      </c>
      <c r="P75" t="str">
        <f>"РЕСП БАШКОРТОСТАН"</f>
        <v>РЕСП БАШКОРТОСТАН</v>
      </c>
      <c r="Q75" t="str">
        <f>""</f>
        <v/>
      </c>
      <c r="R75" t="str">
        <f>"Г УФА"</f>
        <v>Г УФА</v>
      </c>
      <c r="S75" t="str">
        <f>""</f>
        <v/>
      </c>
      <c r="T75" t="str">
        <f>"УЛ 40ЛЕТ ОКТЯБРЯ"</f>
        <v>УЛ 40ЛЕТ ОКТЯБРЯ</v>
      </c>
      <c r="U75" s="1" t="str">
        <f>"9"</f>
        <v>9</v>
      </c>
      <c r="V75" s="1" t="str">
        <f>""</f>
        <v/>
      </c>
      <c r="W75" s="1" t="str">
        <f>"1"</f>
        <v>1</v>
      </c>
      <c r="X75" s="1" t="str">
        <f>""</f>
        <v/>
      </c>
      <c r="Y75" s="1" t="str">
        <f>"117"</f>
        <v>117</v>
      </c>
      <c r="Z75" t="str">
        <f>""</f>
        <v/>
      </c>
      <c r="AA75" t="str">
        <f>"9870239170"</f>
        <v>9870239170</v>
      </c>
      <c r="AB75" t="str">
        <f>"9196077583"</f>
        <v>9196077583</v>
      </c>
      <c r="AC75" t="str">
        <f>"9870239170"</f>
        <v>9870239170</v>
      </c>
      <c r="AD75" t="str">
        <f>"9196077583"</f>
        <v>9196077583</v>
      </c>
      <c r="AE75" t="str">
        <f>""</f>
        <v/>
      </c>
    </row>
    <row r="76" spans="1:31" x14ac:dyDescent="0.45">
      <c r="A76" t="str">
        <f>"МАЦЫНА АЛЕКСАНДР НИКОЛАЕВИЧ"</f>
        <v>МАЦЫНА АЛЕКСАНДР НИКОЛАЕВИЧ</v>
      </c>
      <c r="B76" t="str">
        <f>"1990-03-09"</f>
        <v>1990-03-09</v>
      </c>
      <c r="C76" t="str">
        <f>"75 09 693319"</f>
        <v>75 09 693319</v>
      </c>
      <c r="D76" t="str">
        <f>"4279011611665491"</f>
        <v>4279011611665491</v>
      </c>
      <c r="E76" t="str">
        <f t="shared" si="12"/>
        <v>2021-05-31</v>
      </c>
      <c r="F76" t="str">
        <f>"+"</f>
        <v>+</v>
      </c>
      <c r="G76" t="str">
        <f>"+"</f>
        <v>+</v>
      </c>
      <c r="H76" t="str">
        <f>"40817810716991418987"</f>
        <v>40817810716991418987</v>
      </c>
      <c r="I76" t="str">
        <f>"8597"</f>
        <v>8597</v>
      </c>
      <c r="J76" t="str">
        <f>"0271"</f>
        <v>0271</v>
      </c>
      <c r="K76" t="str">
        <f>"65000.00"</f>
        <v>65000.00</v>
      </c>
      <c r="L76" t="str">
        <f>"454000 ОБЛ ЧЕЛЯБИНСКАЯ   Г ЧЕЛЯБИНСК   УЛ ЯБЛОЧКИНА д. 4"</f>
        <v>454000 ОБЛ ЧЕЛЯБИНСКАЯ   Г ЧЕЛЯБИНСК   УЛ ЯБЛОЧКИНА д. 4</v>
      </c>
      <c r="M76" t="str">
        <f t="shared" si="11"/>
        <v>2019-08-24</v>
      </c>
      <c r="N76" t="str">
        <f>"ООО ЦЕНТУРИОН"</f>
        <v>ООО ЦЕНТУРИОН</v>
      </c>
      <c r="O76" t="str">
        <f>"454000"</f>
        <v>454000</v>
      </c>
      <c r="P76" t="str">
        <f>"ОБЛ ЧЕЛЯБИНСКАЯ"</f>
        <v>ОБЛ ЧЕЛЯБИНСКАЯ</v>
      </c>
      <c r="Q76" t="str">
        <f>""</f>
        <v/>
      </c>
      <c r="R76" t="str">
        <f>"Г ЧЕЛЯБИНСК"</f>
        <v>Г ЧЕЛЯБИНСК</v>
      </c>
      <c r="S76" t="str">
        <f>""</f>
        <v/>
      </c>
      <c r="T76" t="str">
        <f>"УЛ ЧАЙКОВСКОГО"</f>
        <v>УЛ ЧАЙКОВСКОГО</v>
      </c>
      <c r="U76" s="1" t="str">
        <f>"185"</f>
        <v>185</v>
      </c>
      <c r="V76" s="1" t="str">
        <f>""</f>
        <v/>
      </c>
      <c r="W76" s="1" t="str">
        <f>""</f>
        <v/>
      </c>
      <c r="X76" s="1" t="str">
        <f>""</f>
        <v/>
      </c>
      <c r="Y76" s="1" t="str">
        <f>"489"</f>
        <v>489</v>
      </c>
      <c r="Z76" t="str">
        <f>""</f>
        <v/>
      </c>
      <c r="AA76" t="str">
        <f>"3517426143"</f>
        <v>3517426143</v>
      </c>
      <c r="AB76" t="str">
        <f>"9058379077"</f>
        <v>9058379077</v>
      </c>
      <c r="AC76" t="str">
        <f>"3517426143"</f>
        <v>3517426143</v>
      </c>
      <c r="AD76" t="str">
        <f>"9058379077"</f>
        <v>9058379077</v>
      </c>
      <c r="AE76" t="str">
        <f>""</f>
        <v/>
      </c>
    </row>
    <row r="77" spans="1:31" x14ac:dyDescent="0.45">
      <c r="A77" t="str">
        <f>"ОВЧИННИКОВА ЯНА НАЖИПОВНА"</f>
        <v>ОВЧИННИКОВА ЯНА НАЖИПОВНА</v>
      </c>
      <c r="B77" t="str">
        <f>"1979-03-14"</f>
        <v>1979-03-14</v>
      </c>
      <c r="C77" t="str">
        <f>"75 00 629666"</f>
        <v>75 00 629666</v>
      </c>
      <c r="D77" t="str">
        <f>"4279011641411668"</f>
        <v>4279011641411668</v>
      </c>
      <c r="E77" t="str">
        <f t="shared" si="12"/>
        <v>2021-05-31</v>
      </c>
      <c r="F77" t="str">
        <f>"+"</f>
        <v>+</v>
      </c>
      <c r="G77" t="str">
        <f>"W"</f>
        <v>W</v>
      </c>
      <c r="H77" t="str">
        <f>"40817810716991418990"</f>
        <v>40817810716991418990</v>
      </c>
      <c r="I77" t="str">
        <f>"8597"</f>
        <v>8597</v>
      </c>
      <c r="J77" t="str">
        <f>"0420"</f>
        <v>0420</v>
      </c>
      <c r="K77" t="str">
        <f>"32000.00"</f>
        <v>32000.00</v>
      </c>
      <c r="L77" t="str">
        <f>"456730 ОБЛ ЧЕЛЯБИНСКАЯ Р-Н КУНАШАКСКИЙ   С КУНАШАК УЛ ЛЕНИНА д. 105"</f>
        <v>456730 ОБЛ ЧЕЛЯБИНСКАЯ Р-Н КУНАШАКСКИЙ   С КУНАШАК УЛ ЛЕНИНА д. 105</v>
      </c>
      <c r="M77" t="str">
        <f t="shared" si="11"/>
        <v>2019-08-24</v>
      </c>
      <c r="N77" t="str">
        <f>"УПРАВЛЕНИЯ ОБРАЗОВАНИЯ"</f>
        <v>УПРАВЛЕНИЯ ОБРАЗОВАНИЯ</v>
      </c>
      <c r="O77" t="str">
        <f>"456730"</f>
        <v>456730</v>
      </c>
      <c r="P77" t="str">
        <f>"ОБЛ ЧЕЛЯБИНСКАЯ"</f>
        <v>ОБЛ ЧЕЛЯБИНСКАЯ</v>
      </c>
      <c r="Q77" t="str">
        <f>"Р-Н КУНАШАКСКИЙ"</f>
        <v>Р-Н КУНАШАКСКИЙ</v>
      </c>
      <c r="R77" t="str">
        <f>""</f>
        <v/>
      </c>
      <c r="S77" t="str">
        <f>"С КУНАШАК"</f>
        <v>С КУНАШАК</v>
      </c>
      <c r="T77" t="str">
        <f>"УЛ 2-АЯ НОВАЯ"</f>
        <v>УЛ 2-АЯ НОВАЯ</v>
      </c>
      <c r="U77" s="1" t="str">
        <f>"5"</f>
        <v>5</v>
      </c>
      <c r="V77" s="1" t="str">
        <f>""</f>
        <v/>
      </c>
      <c r="W77" s="1" t="str">
        <f>""</f>
        <v/>
      </c>
      <c r="X77" s="1" t="str">
        <f>""</f>
        <v/>
      </c>
      <c r="Y77" s="1" t="str">
        <f>""</f>
        <v/>
      </c>
      <c r="Z77" t="str">
        <f>"3514831955"</f>
        <v>3514831955</v>
      </c>
      <c r="AA77" t="str">
        <f>"3514871100"</f>
        <v>3514871100</v>
      </c>
      <c r="AB77" t="str">
        <f>"9514695986"</f>
        <v>9514695986</v>
      </c>
      <c r="AC77" t="str">
        <f>"3514820065"</f>
        <v>3514820065</v>
      </c>
      <c r="AD77" t="str">
        <f>"9514695986"</f>
        <v>9514695986</v>
      </c>
      <c r="AE77" t="str">
        <f>""</f>
        <v/>
      </c>
    </row>
    <row r="78" spans="1:31" x14ac:dyDescent="0.45">
      <c r="A78" t="str">
        <f>"БУЛАТОВА НАТАЛИЯ ГЕОРГИЕВНА"</f>
        <v>БУЛАТОВА НАТАЛИЯ ГЕОРГИЕВНА</v>
      </c>
      <c r="B78" t="str">
        <f>"1972-07-12"</f>
        <v>1972-07-12</v>
      </c>
      <c r="C78" t="str">
        <f>"75 17 984779"</f>
        <v>75 17 984779</v>
      </c>
      <c r="D78" t="str">
        <f>"4279011675302833"</f>
        <v>4279011675302833</v>
      </c>
      <c r="E78" t="str">
        <f t="shared" si="12"/>
        <v>2021-05-31</v>
      </c>
      <c r="F78" t="str">
        <f>"+"</f>
        <v>+</v>
      </c>
      <c r="G78" t="str">
        <f>"+"</f>
        <v>+</v>
      </c>
      <c r="H78" t="str">
        <f>"40817810016991418991"</f>
        <v>40817810016991418991</v>
      </c>
      <c r="I78" t="str">
        <f>"8597"</f>
        <v>8597</v>
      </c>
      <c r="J78" t="str">
        <f>"0472"</f>
        <v>0472</v>
      </c>
      <c r="K78" t="str">
        <f>"105000.00"</f>
        <v>105000.00</v>
      </c>
      <c r="L78" t="str">
        <f>"454000 ОБЛ ЧЕЛЯБИНСКАЯ Р-Н СОВЕТСКИЙ Г ЧЕЛЯБИНСК Г ЧЕЛЯБИНСК УЛ ДАРВИНА д. 14 офис 202"</f>
        <v>454000 ОБЛ ЧЕЛЯБИНСКАЯ Р-Н СОВЕТСКИЙ Г ЧЕЛЯБИНСК Г ЧЕЛЯБИНСК УЛ ДАРВИНА д. 14 офис 202</v>
      </c>
      <c r="M78" t="str">
        <f t="shared" si="11"/>
        <v>2019-08-24</v>
      </c>
      <c r="N78" t="str">
        <f>"ПЕНСИОНЕР"</f>
        <v>ПЕНСИОНЕР</v>
      </c>
      <c r="O78" t="str">
        <f>"456550"</f>
        <v>456550</v>
      </c>
      <c r="P78" t="str">
        <f>"ОБЛ ЧЕЛЯБИНСКАЯ"</f>
        <v>ОБЛ ЧЕЛЯБИНСКАЯ</v>
      </c>
      <c r="Q78" t="str">
        <f>"Р-Н КОРКИНСКИЙ"</f>
        <v>Р-Н КОРКИНСКИЙ</v>
      </c>
      <c r="R78" t="str">
        <f>"Г КОРКИНО"</f>
        <v>Г КОРКИНО</v>
      </c>
      <c r="S78" t="str">
        <f>"Г КОРКИНО"</f>
        <v>Г КОРКИНО</v>
      </c>
      <c r="T78" t="str">
        <f>"УЛ ПОЖАРСКОГО"</f>
        <v>УЛ ПОЖАРСКОГО</v>
      </c>
      <c r="U78" s="1" t="str">
        <f>"94"</f>
        <v>94</v>
      </c>
      <c r="V78" s="1" t="str">
        <f>""</f>
        <v/>
      </c>
      <c r="W78" s="1" t="str">
        <f>""</f>
        <v/>
      </c>
      <c r="X78" s="1" t="str">
        <f>""</f>
        <v/>
      </c>
      <c r="Y78" s="1" t="str">
        <f>"0"</f>
        <v>0</v>
      </c>
      <c r="Z78" t="str">
        <f>"3515224001"</f>
        <v>3515224001</v>
      </c>
      <c r="AA78" t="str">
        <f>"3511530117"</f>
        <v>3511530117</v>
      </c>
      <c r="AB78" t="str">
        <f>"9514403315"</f>
        <v>9514403315</v>
      </c>
      <c r="AC78" t="str">
        <f>"3511530117"</f>
        <v>3511530117</v>
      </c>
      <c r="AD78" t="str">
        <f>"9514403315"</f>
        <v>9514403315</v>
      </c>
      <c r="AE78" t="str">
        <f>"3515224001"</f>
        <v>3515224001</v>
      </c>
    </row>
    <row r="79" spans="1:31" x14ac:dyDescent="0.45">
      <c r="A79" t="str">
        <f>"ИВАКИН ВЛАДИМИР ВАЛЕНТИНОВИЧ"</f>
        <v>ИВАКИН ВЛАДИМИР ВАЛЕНТИНОВИЧ</v>
      </c>
      <c r="B79" t="str">
        <f>"1957-04-22"</f>
        <v>1957-04-22</v>
      </c>
      <c r="C79" t="str">
        <f>"65 04 169913"</f>
        <v>65 04 169913</v>
      </c>
      <c r="D79" t="str">
        <f>"4279011637536726"</f>
        <v>4279011637536726</v>
      </c>
      <c r="E79" t="str">
        <f t="shared" si="12"/>
        <v>2021-05-31</v>
      </c>
      <c r="F79" t="str">
        <f>"Z"</f>
        <v>Z</v>
      </c>
      <c r="G79" t="str">
        <f>"W"</f>
        <v>W</v>
      </c>
      <c r="H79" t="str">
        <f>"40817810316991418992"</f>
        <v>40817810316991418992</v>
      </c>
      <c r="I79" t="str">
        <f>"7003"</f>
        <v>7003</v>
      </c>
      <c r="J79" t="str">
        <f>"0875"</f>
        <v>0875</v>
      </c>
      <c r="K79" t="str">
        <f>"7958.20"</f>
        <v>7958.20</v>
      </c>
      <c r="L79" t="str">
        <f>"620000 ОБЛ СВЕРДЛОВСКАЯ   Г ЕКАТЕРИНБУРГ   УЛ ТИТОВА д. 1"</f>
        <v>620000 ОБЛ СВЕРДЛОВСКАЯ   Г ЕКАТЕРИНБУРГ   УЛ ТИТОВА д. 1</v>
      </c>
      <c r="M79" t="str">
        <f t="shared" si="11"/>
        <v>2019-08-24</v>
      </c>
      <c r="N79" t="str">
        <f>"ПЕНСИОННЫЙ ФОНД РОССИИ"</f>
        <v>ПЕНСИОННЫЙ ФОНД РОССИИ</v>
      </c>
      <c r="O79" t="str">
        <f>"620000"</f>
        <v>620000</v>
      </c>
      <c r="P79" t="str">
        <f>"ОБЛ СВЕРДЛОВСКАЯ"</f>
        <v>ОБЛ СВЕРДЛОВСКАЯ</v>
      </c>
      <c r="Q79" t="str">
        <f>""</f>
        <v/>
      </c>
      <c r="R79" t="str">
        <f>"Г ЕКАТЕРИНБУРГ"</f>
        <v>Г ЕКАТЕРИНБУРГ</v>
      </c>
      <c r="S79" t="str">
        <f>""</f>
        <v/>
      </c>
      <c r="T79" t="str">
        <f>"УЛ ФЕРГАНСКАЯ"</f>
        <v>УЛ ФЕРГАНСКАЯ</v>
      </c>
      <c r="U79" s="1" t="str">
        <f>"4"</f>
        <v>4</v>
      </c>
      <c r="V79" s="1" t="str">
        <f>""</f>
        <v/>
      </c>
      <c r="W79" s="1" t="str">
        <f>""</f>
        <v/>
      </c>
      <c r="X79" s="1" t="str">
        <f>""</f>
        <v/>
      </c>
      <c r="Y79" s="1" t="str">
        <f>"57"</f>
        <v>57</v>
      </c>
      <c r="Z79" t="str">
        <f>""</f>
        <v/>
      </c>
      <c r="AA79" t="str">
        <f>"9222113443"</f>
        <v>9222113443</v>
      </c>
      <c r="AB79" t="str">
        <f>"9222113443"</f>
        <v>9222113443</v>
      </c>
      <c r="AC79" t="str">
        <f>"9222113443"</f>
        <v>9222113443</v>
      </c>
      <c r="AD79" t="str">
        <f>"9222113443"</f>
        <v>9222113443</v>
      </c>
      <c r="AE79" t="str">
        <f>""</f>
        <v/>
      </c>
    </row>
    <row r="80" spans="1:31" x14ac:dyDescent="0.45">
      <c r="A80" t="str">
        <f>"ПИСАРЕВА СВЕТЛАНА СЕРГЕЕВНА"</f>
        <v>ПИСАРЕВА СВЕТЛАНА СЕРГЕЕВНА</v>
      </c>
      <c r="B80" t="str">
        <f>"1988-12-21"</f>
        <v>1988-12-21</v>
      </c>
      <c r="C80" t="str">
        <f>"75 15 635998"</f>
        <v>75 15 635998</v>
      </c>
      <c r="D80" t="str">
        <f>"4279011651479712"</f>
        <v>4279011651479712</v>
      </c>
      <c r="E80" t="str">
        <f t="shared" si="12"/>
        <v>2021-05-31</v>
      </c>
      <c r="F80" t="str">
        <f>"Q"</f>
        <v>Q</v>
      </c>
      <c r="G80" t="str">
        <f>"Q"</f>
        <v>Q</v>
      </c>
      <c r="H80" t="str">
        <f>"40817810616991418993"</f>
        <v>40817810616991418993</v>
      </c>
      <c r="I80" t="str">
        <f>"8597"</f>
        <v>8597</v>
      </c>
      <c r="J80" t="str">
        <f>"0177"</f>
        <v>0177</v>
      </c>
      <c r="K80" t="str">
        <f>"0.00"</f>
        <v>0.00</v>
      </c>
      <c r="L80" t="str">
        <f>"454000 ОБЛ ЧЕЛЯБИНСКАЯ   Г ЧЕЛЯБИНСК   УЛ БРЕСТСКАЯ д. 17"</f>
        <v>454000 ОБЛ ЧЕЛЯБИНСКАЯ   Г ЧЕЛЯБИНСК   УЛ БРЕСТСКАЯ д. 17</v>
      </c>
      <c r="M80" t="str">
        <f t="shared" si="11"/>
        <v>2019-08-24</v>
      </c>
      <c r="N80" t="str">
        <f>"МБОУ СОШ №55"</f>
        <v>МБОУ СОШ №55</v>
      </c>
      <c r="O80" t="str">
        <f>"454000"</f>
        <v>454000</v>
      </c>
      <c r="P80" t="str">
        <f>"ОБЛ ЧЕЛЯБИНСКАЯ"</f>
        <v>ОБЛ ЧЕЛЯБИНСКАЯ</v>
      </c>
      <c r="Q80" t="str">
        <f>""</f>
        <v/>
      </c>
      <c r="R80" t="str">
        <f>"Г ЧЕЛЯБИНСК"</f>
        <v>Г ЧЕЛЯБИНСК</v>
      </c>
      <c r="S80" t="str">
        <f>""</f>
        <v/>
      </c>
      <c r="T80" t="str">
        <f>"УЛ БАРБЮСА"</f>
        <v>УЛ БАРБЮСА</v>
      </c>
      <c r="U80" s="1" t="str">
        <f>"20"</f>
        <v>20</v>
      </c>
      <c r="V80" s="1" t="str">
        <f>""</f>
        <v/>
      </c>
      <c r="W80" s="1" t="str">
        <f>""</f>
        <v/>
      </c>
      <c r="X80" s="1" t="str">
        <f>""</f>
        <v/>
      </c>
      <c r="Y80" s="1" t="str">
        <f>"26"</f>
        <v>26</v>
      </c>
      <c r="Z80" t="str">
        <f>"3512560705"</f>
        <v>3512560705</v>
      </c>
      <c r="AA80" t="str">
        <f>"3517302029"</f>
        <v>3517302029</v>
      </c>
      <c r="AB80" t="str">
        <f>"9514406770"</f>
        <v>9514406770</v>
      </c>
      <c r="AC80" t="str">
        <f>"3517302029"</f>
        <v>3517302029</v>
      </c>
      <c r="AD80" t="str">
        <f>"9514406770"</f>
        <v>9514406770</v>
      </c>
      <c r="AE80" t="str">
        <f>"3512560705"</f>
        <v>3512560705</v>
      </c>
    </row>
    <row r="81" spans="1:31" x14ac:dyDescent="0.45">
      <c r="A81" t="str">
        <f>"КОПЫЛОВ АРТЕМ АНДРЕЕВИЧ"</f>
        <v>КОПЫЛОВ АРТЕМ АНДРЕЕВИЧ</v>
      </c>
      <c r="B81" t="str">
        <f>"1992-09-11"</f>
        <v>1992-09-11</v>
      </c>
      <c r="C81" t="str">
        <f>"75 12 131490"</f>
        <v>75 12 131490</v>
      </c>
      <c r="D81" t="str">
        <f>"4279011692689782"</f>
        <v>4279011692689782</v>
      </c>
      <c r="E81" t="str">
        <f t="shared" si="12"/>
        <v>2021-05-31</v>
      </c>
      <c r="F81" t="str">
        <f>"+"</f>
        <v>+</v>
      </c>
      <c r="G81" t="str">
        <f>"+"</f>
        <v>+</v>
      </c>
      <c r="H81" t="str">
        <f>"40817810916991418994"</f>
        <v>40817810916991418994</v>
      </c>
      <c r="I81" t="str">
        <f>"8597"</f>
        <v>8597</v>
      </c>
      <c r="J81" t="str">
        <f>"0326"</f>
        <v>0326</v>
      </c>
      <c r="K81" t="str">
        <f>"220000.00"</f>
        <v>220000.00</v>
      </c>
      <c r="L81" t="str">
        <f>"456080 ОБЛ ЧЕЛЯБИНСКАЯ   Г ТРЕХГОРНЫЙ   УЛ ЗАРЕЧНАЯ д. 38"</f>
        <v>456080 ОБЛ ЧЕЛЯБИНСКАЯ   Г ТРЕХГОРНЫЙ   УЛ ЗАРЕЧНАЯ д. 38</v>
      </c>
      <c r="M81" t="str">
        <f t="shared" si="11"/>
        <v>2019-08-24</v>
      </c>
      <c r="N81" t="str">
        <f>"72176057"</f>
        <v>72176057</v>
      </c>
      <c r="O81" t="str">
        <f>"456080"</f>
        <v>456080</v>
      </c>
      <c r="P81" t="str">
        <f>"ОБЛ ЧЕЛЯБИНСКАЯ"</f>
        <v>ОБЛ ЧЕЛЯБИНСКАЯ</v>
      </c>
      <c r="Q81" t="str">
        <f>""</f>
        <v/>
      </c>
      <c r="R81" t="str">
        <f>"Г ТРЕХГОРНЫЙ"</f>
        <v>Г ТРЕХГОРНЫЙ</v>
      </c>
      <c r="S81" t="str">
        <f>""</f>
        <v/>
      </c>
      <c r="T81" t="str">
        <f>"УЛ КАЛИНИНА"</f>
        <v>УЛ КАЛИНИНА</v>
      </c>
      <c r="U81" s="1" t="str">
        <f>"8"</f>
        <v>8</v>
      </c>
      <c r="V81" s="1" t="str">
        <f>""</f>
        <v/>
      </c>
      <c r="W81" s="1" t="str">
        <f>""</f>
        <v/>
      </c>
      <c r="X81" s="1" t="str">
        <f>""</f>
        <v/>
      </c>
      <c r="Y81" s="1" t="str">
        <f>"5"</f>
        <v>5</v>
      </c>
      <c r="Z81" t="str">
        <f>""</f>
        <v/>
      </c>
      <c r="AA81" t="str">
        <f>"3519140511"</f>
        <v>3519140511</v>
      </c>
      <c r="AB81" t="str">
        <f>"9518041090"</f>
        <v>9518041090</v>
      </c>
      <c r="AC81" t="str">
        <f>"3519140511"</f>
        <v>3519140511</v>
      </c>
      <c r="AD81" t="str">
        <f>"9518041090"</f>
        <v>9518041090</v>
      </c>
      <c r="AE81" t="str">
        <f>""</f>
        <v/>
      </c>
    </row>
    <row r="82" spans="1:31" x14ac:dyDescent="0.45">
      <c r="A82" t="str">
        <f>"ХАЙРУЛЛИН АЗАТ ГАБДУЛБАРИЕВИЧ"</f>
        <v>ХАЙРУЛЛИН АЗАТ ГАБДУЛБАРИЕВИЧ</v>
      </c>
      <c r="B82" t="str">
        <f>"1978-04-28"</f>
        <v>1978-04-28</v>
      </c>
      <c r="C82" t="str">
        <f>"80 07 325944"</f>
        <v>80 07 325944</v>
      </c>
      <c r="D82" t="str">
        <f>"4279011680330555"</f>
        <v>4279011680330555</v>
      </c>
      <c r="E82" t="str">
        <f t="shared" si="12"/>
        <v>2021-05-31</v>
      </c>
      <c r="F82" t="str">
        <f>"Q"</f>
        <v>Q</v>
      </c>
      <c r="G82" t="str">
        <f>"Q"</f>
        <v>Q</v>
      </c>
      <c r="H82" t="str">
        <f>"40817810216991418995"</f>
        <v>40817810216991418995</v>
      </c>
      <c r="I82" t="str">
        <f>"8598"</f>
        <v>8598</v>
      </c>
      <c r="J82" t="str">
        <f>"0600"</f>
        <v>0600</v>
      </c>
      <c r="K82" t="str">
        <f>"0.00"</f>
        <v>0.00</v>
      </c>
      <c r="L82" t="str">
        <f>"450000 РЕСП БАШКОРТОСТАН   Г НЕФТЕКАМСК   УЛ ДОРОЖНАЯ д. 46"</f>
        <v>450000 РЕСП БАШКОРТОСТАН   Г НЕФТЕКАМСК   УЛ ДОРОЖНАЯ д. 46</v>
      </c>
      <c r="M82" t="str">
        <f t="shared" si="11"/>
        <v>2019-08-24</v>
      </c>
      <c r="N82" t="str">
        <f>"ГК АБСОЛЮТ"</f>
        <v>ГК АБСОЛЮТ</v>
      </c>
      <c r="O82" t="str">
        <f>"450000"</f>
        <v>450000</v>
      </c>
      <c r="P82" t="str">
        <f>"РЕСП БАШКОРТОСТАН"</f>
        <v>РЕСП БАШКОРТОСТАН</v>
      </c>
      <c r="Q82" t="str">
        <f>""</f>
        <v/>
      </c>
      <c r="R82" t="str">
        <f>"Г НЕФТЕКАМСК"</f>
        <v>Г НЕФТЕКАМСК</v>
      </c>
      <c r="S82" t="str">
        <f>""</f>
        <v/>
      </c>
      <c r="T82" t="str">
        <f>"УЛ СОЦИАЛИСТИЧЕСКАЯ"</f>
        <v>УЛ СОЦИАЛИСТИЧЕСКАЯ</v>
      </c>
      <c r="U82" s="1" t="str">
        <f>"91"</f>
        <v>91</v>
      </c>
      <c r="V82" s="1" t="str">
        <f>""</f>
        <v/>
      </c>
      <c r="W82" s="1" t="str">
        <f>""</f>
        <v/>
      </c>
      <c r="X82" s="1" t="str">
        <f>""</f>
        <v/>
      </c>
      <c r="Y82" s="1" t="str">
        <f>"7"</f>
        <v>7</v>
      </c>
      <c r="Z82" t="str">
        <f>"3478300000"</f>
        <v>3478300000</v>
      </c>
      <c r="AA82" t="str">
        <f>"3478300000"</f>
        <v>3478300000</v>
      </c>
      <c r="AB82" t="str">
        <f>"9867093532"</f>
        <v>9867093532</v>
      </c>
      <c r="AC82" t="str">
        <f>"3478300000"</f>
        <v>3478300000</v>
      </c>
      <c r="AD82" t="str">
        <f>"9867093532"</f>
        <v>9867093532</v>
      </c>
      <c r="AE82" t="str">
        <f>"3478300000"</f>
        <v>3478300000</v>
      </c>
    </row>
    <row r="83" spans="1:31" x14ac:dyDescent="0.45">
      <c r="A83" t="str">
        <f>"ФАТКУЛЛИНА РУЗАЛИЯ ХАРИСОВНА"</f>
        <v>ФАТКУЛЛИНА РУЗАЛИЯ ХАРИСОВНА</v>
      </c>
      <c r="B83" t="str">
        <f>"1986-07-10"</f>
        <v>1986-07-10</v>
      </c>
      <c r="C83" t="str">
        <f>"75 15 685454"</f>
        <v>75 15 685454</v>
      </c>
      <c r="D83" t="str">
        <f>"4279011650063657"</f>
        <v>4279011650063657</v>
      </c>
      <c r="E83" t="str">
        <f t="shared" si="12"/>
        <v>2021-05-31</v>
      </c>
      <c r="F83" t="str">
        <f>"+"</f>
        <v>+</v>
      </c>
      <c r="G83" t="str">
        <f>"+"</f>
        <v>+</v>
      </c>
      <c r="H83" t="str">
        <f>"40817810516991418996"</f>
        <v>40817810516991418996</v>
      </c>
      <c r="I83" t="str">
        <f>"8597"</f>
        <v>8597</v>
      </c>
      <c r="J83" t="str">
        <f>"0561"</f>
        <v>0561</v>
      </c>
      <c r="K83" t="str">
        <f>"75000.00"</f>
        <v>75000.00</v>
      </c>
      <c r="L83" t="str">
        <f>"454000 ОБЛ ЧЕЛЯБИНСКАЯ   Г ЧЕЛЯБИНСК   УЛ МОЛОДОГВАРДЕЙЦЕВ д. 2 корп. А"</f>
        <v>454000 ОБЛ ЧЕЛЯБИНСКАЯ   Г ЧЕЛЯБИНСК   УЛ МОЛОДОГВАРДЕЙЦЕВ д. 2 корп. А</v>
      </c>
      <c r="M83" t="str">
        <f t="shared" si="11"/>
        <v>2019-08-24</v>
      </c>
      <c r="N83" t="str">
        <f>"ООО ХЛЕБПРОМ"</f>
        <v>ООО ХЛЕБПРОМ</v>
      </c>
      <c r="O83" t="str">
        <f>"454000"</f>
        <v>454000</v>
      </c>
      <c r="P83" t="str">
        <f>"ОБЛ ЧЕЛЯБИНСКАЯ"</f>
        <v>ОБЛ ЧЕЛЯБИНСКАЯ</v>
      </c>
      <c r="Q83" t="str">
        <f>""</f>
        <v/>
      </c>
      <c r="R83" t="str">
        <f>"Г ЧЕЛЯБИНСК"</f>
        <v>Г ЧЕЛЯБИНСК</v>
      </c>
      <c r="S83" t="str">
        <f>""</f>
        <v/>
      </c>
      <c r="T83" t="str">
        <f>"УЛ БЕЙВЕЛЯ"</f>
        <v>УЛ БЕЙВЕЛЯ</v>
      </c>
      <c r="U83" s="1" t="str">
        <f>"39"</f>
        <v>39</v>
      </c>
      <c r="V83" s="1" t="str">
        <f>""</f>
        <v/>
      </c>
      <c r="W83" s="1" t="str">
        <f>""</f>
        <v/>
      </c>
      <c r="X83" s="1" t="str">
        <f>""</f>
        <v/>
      </c>
      <c r="Y83" s="1" t="str">
        <f>"75"</f>
        <v>75</v>
      </c>
      <c r="Z83" t="str">
        <f>""</f>
        <v/>
      </c>
      <c r="AA83" t="str">
        <f>"9511162682"</f>
        <v>9511162682</v>
      </c>
      <c r="AB83" t="str">
        <f>"9511162682"</f>
        <v>9511162682</v>
      </c>
      <c r="AC83" t="str">
        <f>"9511162682"</f>
        <v>9511162682</v>
      </c>
      <c r="AD83" t="str">
        <f>"9511162682"</f>
        <v>9511162682</v>
      </c>
      <c r="AE83" t="str">
        <f>""</f>
        <v/>
      </c>
    </row>
    <row r="84" spans="1:31" x14ac:dyDescent="0.45">
      <c r="A84" t="str">
        <f>"КОЖЕВНИКОВА КЛАРА НАИЛОВНА"</f>
        <v>КОЖЕВНИКОВА КЛАРА НАИЛОВНА</v>
      </c>
      <c r="B84" t="str">
        <f>"1958-03-30"</f>
        <v>1958-03-30</v>
      </c>
      <c r="C84" t="str">
        <f>"65 04 152436"</f>
        <v>65 04 152436</v>
      </c>
      <c r="D84" t="str">
        <f>"4279011688814832"</f>
        <v>4279011688814832</v>
      </c>
      <c r="E84" t="str">
        <f t="shared" si="12"/>
        <v>2021-05-31</v>
      </c>
      <c r="F84" t="str">
        <f>"+"</f>
        <v>+</v>
      </c>
      <c r="G84" t="str">
        <f>"+"</f>
        <v>+</v>
      </c>
      <c r="H84" t="str">
        <f>"40817810816991418997"</f>
        <v>40817810816991418997</v>
      </c>
      <c r="I84" t="str">
        <f>"7003"</f>
        <v>7003</v>
      </c>
      <c r="J84" t="str">
        <f>"0438"</f>
        <v>0438</v>
      </c>
      <c r="K84" t="str">
        <f>"600000.00"</f>
        <v>600000.00</v>
      </c>
      <c r="L84" t="str">
        <f>"620142 ОБЛ СВЕРДЛОВСКАЯ   Г ЕКАТЕРИНБУРГ   УЛ МАШИННАЯ д. 44 корп. 2 кв. 102"</f>
        <v>620142 ОБЛ СВЕРДЛОВСКАЯ   Г ЕКАТЕРИНБУРГ   УЛ МАШИННАЯ д. 44 корп. 2 кв. 102</v>
      </c>
      <c r="M84" t="str">
        <f t="shared" si="11"/>
        <v>2019-08-24</v>
      </c>
      <c r="N84" t="str">
        <f>"ПЕНСИОНЕР"</f>
        <v>ПЕНСИОНЕР</v>
      </c>
      <c r="O84" t="str">
        <f>"620142"</f>
        <v>620142</v>
      </c>
      <c r="P84" t="str">
        <f>"ОБЛ СВЕРДЛОВСКАЯ"</f>
        <v>ОБЛ СВЕРДЛОВСКАЯ</v>
      </c>
      <c r="Q84" t="str">
        <f>""</f>
        <v/>
      </c>
      <c r="R84" t="str">
        <f>"Г ЕКАТЕРИНБУРГ"</f>
        <v>Г ЕКАТЕРИНБУРГ</v>
      </c>
      <c r="S84" t="str">
        <f>""</f>
        <v/>
      </c>
      <c r="T84" t="str">
        <f>"УЛ МАШИННАЯ"</f>
        <v>УЛ МАШИННАЯ</v>
      </c>
      <c r="U84" s="1" t="str">
        <f>"44"</f>
        <v>44</v>
      </c>
      <c r="V84" s="1" t="str">
        <f>""</f>
        <v/>
      </c>
      <c r="W84" s="1" t="str">
        <f>"2"</f>
        <v>2</v>
      </c>
      <c r="X84" s="1" t="str">
        <f>""</f>
        <v/>
      </c>
      <c r="Y84" s="1" t="str">
        <f>"102"</f>
        <v>102</v>
      </c>
      <c r="Z84" t="str">
        <f>"3432174486"</f>
        <v>3432174486</v>
      </c>
      <c r="AA84" t="str">
        <f>"9068005307"</f>
        <v>9068005307</v>
      </c>
      <c r="AB84" t="str">
        <f>"9068005307"</f>
        <v>9068005307</v>
      </c>
      <c r="AC84" t="str">
        <f>"9068005307"</f>
        <v>9068005307</v>
      </c>
      <c r="AD84" t="str">
        <f>"9068005307"</f>
        <v>9068005307</v>
      </c>
      <c r="AE84" t="str">
        <f>""</f>
        <v/>
      </c>
    </row>
    <row r="85" spans="1:31" x14ac:dyDescent="0.45">
      <c r="A85" t="str">
        <f>"ТУРКИН АЛЕКСАНДР СЕРГЕЕВИЧ"</f>
        <v>ТУРКИН АЛЕКСАНДР СЕРГЕЕВИЧ</v>
      </c>
      <c r="B85" t="str">
        <f>"1980-03-20"</f>
        <v>1980-03-20</v>
      </c>
      <c r="C85" t="str">
        <f>"65 03 416375"</f>
        <v>65 03 416375</v>
      </c>
      <c r="D85" t="str">
        <f>"4279011617427615"</f>
        <v>4279011617427615</v>
      </c>
      <c r="E85" t="str">
        <f t="shared" si="12"/>
        <v>2021-05-31</v>
      </c>
      <c r="F85" t="str">
        <f>"Q"</f>
        <v>Q</v>
      </c>
      <c r="G85" t="str">
        <f>"Q"</f>
        <v>Q</v>
      </c>
      <c r="H85" t="str">
        <f>"40817810116991418998"</f>
        <v>40817810116991418998</v>
      </c>
      <c r="I85" t="str">
        <f>"7003"</f>
        <v>7003</v>
      </c>
      <c r="J85" t="str">
        <f>"0882"</f>
        <v>0882</v>
      </c>
      <c r="K85" t="str">
        <f>"0.00"</f>
        <v>0.00</v>
      </c>
      <c r="L85" t="str">
        <f>"620000 ОБЛ СВЕРДЛОВСКАЯ   Г ЕКАТЕРИНБУРГ   УЛ ЛОБРОЛЮБОВА д. 16 офис 717"</f>
        <v>620000 ОБЛ СВЕРДЛОВСКАЯ   Г ЕКАТЕРИНБУРГ   УЛ ЛОБРОЛЮБОВА д. 16 офис 717</v>
      </c>
      <c r="M85" t="str">
        <f t="shared" si="11"/>
        <v>2019-08-24</v>
      </c>
      <c r="N85" t="str">
        <f>"ООО ЮГОРИЯ"</f>
        <v>ООО ЮГОРИЯ</v>
      </c>
      <c r="O85" t="str">
        <f>"620000"</f>
        <v>620000</v>
      </c>
      <c r="P85" t="str">
        <f>"ОБЛ СВЕРДЛОВСКАЯ"</f>
        <v>ОБЛ СВЕРДЛОВСКАЯ</v>
      </c>
      <c r="Q85" t="str">
        <f>""</f>
        <v/>
      </c>
      <c r="R85" t="str">
        <f>"Г ЕКАТЕРИНБУРГ"</f>
        <v>Г ЕКАТЕРИНБУРГ</v>
      </c>
      <c r="S85" t="str">
        <f>""</f>
        <v/>
      </c>
      <c r="T85" t="str">
        <f>"УЛ АВИАЦИОННАЯ"</f>
        <v>УЛ АВИАЦИОННАЯ</v>
      </c>
      <c r="U85" s="1" t="str">
        <f>"63"</f>
        <v>63</v>
      </c>
      <c r="V85" s="1" t="str">
        <f>""</f>
        <v/>
      </c>
      <c r="W85" s="1" t="str">
        <f>"4"</f>
        <v>4</v>
      </c>
      <c r="X85" s="1" t="str">
        <f>""</f>
        <v/>
      </c>
      <c r="Y85" s="1" t="str">
        <f>"8"</f>
        <v>8</v>
      </c>
      <c r="Z85" t="str">
        <f>""</f>
        <v/>
      </c>
      <c r="AA85" t="str">
        <f>"9827593133"</f>
        <v>9827593133</v>
      </c>
      <c r="AB85" t="str">
        <f>"9827593133"</f>
        <v>9827593133</v>
      </c>
      <c r="AC85" t="str">
        <f>"9827593133"</f>
        <v>9827593133</v>
      </c>
      <c r="AD85" t="str">
        <f>"9827593133"</f>
        <v>9827593133</v>
      </c>
      <c r="AE85" t="str">
        <f>""</f>
        <v/>
      </c>
    </row>
    <row r="86" spans="1:31" x14ac:dyDescent="0.45">
      <c r="A86" t="str">
        <f>"БАТЫРШИНА ГУЛЬШАТ ГАБДУЛЛОВНА"</f>
        <v>БАТЫРШИНА ГУЛЬШАТ ГАБДУЛЛОВНА</v>
      </c>
      <c r="B86" t="str">
        <f>"1978-06-25"</f>
        <v>1978-06-25</v>
      </c>
      <c r="C86" t="str">
        <f>"80 04 120920"</f>
        <v>80 04 120920</v>
      </c>
      <c r="D86" t="str">
        <f>"4279011604650013"</f>
        <v>4279011604650013</v>
      </c>
      <c r="E86" t="str">
        <f t="shared" si="12"/>
        <v>2021-05-31</v>
      </c>
      <c r="F86" t="str">
        <f>"+"</f>
        <v>+</v>
      </c>
      <c r="G86" t="str">
        <f>"+"</f>
        <v>+</v>
      </c>
      <c r="H86" t="str">
        <f>"40817810416991418999"</f>
        <v>40817810416991418999</v>
      </c>
      <c r="I86" t="str">
        <f>"7003"</f>
        <v>7003</v>
      </c>
      <c r="J86" t="str">
        <f>"0457"</f>
        <v>0457</v>
      </c>
      <c r="K86" t="str">
        <f>"155000.00"</f>
        <v>155000.00</v>
      </c>
      <c r="L86" t="str">
        <f>"620000 ОБЛ СВЕРДЛОВСКАЯ   Г ЕКАТЕРИНБУРГ   УЛ 32 ВОЕННЫЙ ГОРОДОК"</f>
        <v>620000 ОБЛ СВЕРДЛОВСКАЯ   Г ЕКАТЕРИНБУРГ   УЛ 32 ВОЕННЫЙ ГОРОДОК</v>
      </c>
      <c r="M86" t="str">
        <f t="shared" si="11"/>
        <v>2019-08-24</v>
      </c>
      <c r="N86" t="str">
        <f>"ВРЕМЕННО НЕ РАБОТАЕТ"</f>
        <v>ВРЕМЕННО НЕ РАБОТАЕТ</v>
      </c>
      <c r="O86" t="str">
        <f>"620000"</f>
        <v>620000</v>
      </c>
      <c r="P86" t="str">
        <f>"ОБЛ СВЕРДЛОВСКАЯ"</f>
        <v>ОБЛ СВЕРДЛОВСКАЯ</v>
      </c>
      <c r="Q86" t="str">
        <f>""</f>
        <v/>
      </c>
      <c r="R86" t="str">
        <f>"Г ЕКАТЕРИНБУРГ"</f>
        <v>Г ЕКАТЕРИНБУРГ</v>
      </c>
      <c r="S86" t="str">
        <f>""</f>
        <v/>
      </c>
      <c r="T86" t="str">
        <f>"УЛ 32 В ГОРОДОК"</f>
        <v>УЛ 32 В ГОРОДОК</v>
      </c>
      <c r="U86" s="1" t="str">
        <f>""</f>
        <v/>
      </c>
      <c r="V86" s="1" t="str">
        <f>""</f>
        <v/>
      </c>
      <c r="W86" s="1" t="str">
        <f>""</f>
        <v/>
      </c>
      <c r="X86" s="1" t="str">
        <f>""</f>
        <v/>
      </c>
      <c r="Y86" s="1" t="str">
        <f>""</f>
        <v/>
      </c>
      <c r="Z86" t="str">
        <f>"9630526292"</f>
        <v>9630526292</v>
      </c>
      <c r="AA86" t="str">
        <f>"9630526292"</f>
        <v>9630526292</v>
      </c>
      <c r="AB86" t="str">
        <f>"9630526292"</f>
        <v>9630526292</v>
      </c>
      <c r="AC86" t="str">
        <f>"9630526292"</f>
        <v>9630526292</v>
      </c>
      <c r="AD86" t="str">
        <f>"9630526292"</f>
        <v>9630526292</v>
      </c>
      <c r="AE86" t="str">
        <f>"9630526292"</f>
        <v>9630526292</v>
      </c>
    </row>
    <row r="87" spans="1:31" x14ac:dyDescent="0.45">
      <c r="A87" t="str">
        <f>"ХАМЕТКУЛОВ ИЛЬЯ РАВИЛЕВИЧ"</f>
        <v>ХАМЕТКУЛОВ ИЛЬЯ РАВИЛЕВИЧ</v>
      </c>
      <c r="B87" t="str">
        <f>"1987-05-01"</f>
        <v>1987-05-01</v>
      </c>
      <c r="C87" t="str">
        <f>"75 05 972368"</f>
        <v>75 05 972368</v>
      </c>
      <c r="D87" t="str">
        <f>"4279011666317204"</f>
        <v>4279011666317204</v>
      </c>
      <c r="E87" t="str">
        <f t="shared" si="12"/>
        <v>2021-05-31</v>
      </c>
      <c r="F87" t="str">
        <f>"+"</f>
        <v>+</v>
      </c>
      <c r="G87" t="str">
        <f>"+"</f>
        <v>+</v>
      </c>
      <c r="H87" t="str">
        <f>"40817810016991419000"</f>
        <v>40817810016991419000</v>
      </c>
      <c r="I87" t="str">
        <f>"7003"</f>
        <v>7003</v>
      </c>
      <c r="J87" t="str">
        <f>"0496"</f>
        <v>0496</v>
      </c>
      <c r="K87" t="str">
        <f>"160000.00"</f>
        <v>160000.00</v>
      </c>
      <c r="L87" t="str">
        <f>"620000 ОБЛ СВЕРДЛОВСКАЯ   Г ПОЛЕВСКОЙ   УЛ РОЗЫ ЛЮКСЕМБУРГ д. 4"</f>
        <v>620000 ОБЛ СВЕРДЛОВСКАЯ   Г ПОЛЕВСКОЙ   УЛ РОЗЫ ЛЮКСЕМБУРГ д. 4</v>
      </c>
      <c r="M87" t="str">
        <f t="shared" si="11"/>
        <v>2019-08-24</v>
      </c>
      <c r="N87" t="str">
        <f>"ООО ЩИТ"</f>
        <v>ООО ЩИТ</v>
      </c>
      <c r="O87" t="str">
        <f>"620000"</f>
        <v>620000</v>
      </c>
      <c r="P87" t="str">
        <f>"ОБЛ СВЕРДЛОВСКАЯ"</f>
        <v>ОБЛ СВЕРДЛОВСКАЯ</v>
      </c>
      <c r="Q87" t="str">
        <f>""</f>
        <v/>
      </c>
      <c r="R87" t="str">
        <f>"Г ПОЛЕВСКОЙ"</f>
        <v>Г ПОЛЕВСКОЙ</v>
      </c>
      <c r="S87" t="str">
        <f>""</f>
        <v/>
      </c>
      <c r="T87" t="str">
        <f>"УЛ РОЗЫ ЛЮКСЕМБУРГ"</f>
        <v>УЛ РОЗЫ ЛЮКСЕМБУРГ</v>
      </c>
      <c r="U87" s="1" t="str">
        <f>"86"</f>
        <v>86</v>
      </c>
      <c r="V87" s="1" t="str">
        <f>""</f>
        <v/>
      </c>
      <c r="W87" s="1" t="str">
        <f>""</f>
        <v/>
      </c>
      <c r="X87" s="1" t="str">
        <f>""</f>
        <v/>
      </c>
      <c r="Y87" s="1" t="str">
        <f>"46"</f>
        <v>46</v>
      </c>
      <c r="Z87" t="str">
        <f>""</f>
        <v/>
      </c>
      <c r="AA87" t="str">
        <f>"+7 (953) 0045453"</f>
        <v>+7 (953) 0045453</v>
      </c>
      <c r="AB87" t="str">
        <f>"+7 (953) 0045453"</f>
        <v>+7 (953) 0045453</v>
      </c>
      <c r="AC87" t="str">
        <f>"9530045453"</f>
        <v>9530045453</v>
      </c>
      <c r="AD87" t="str">
        <f>"9530045453"</f>
        <v>9530045453</v>
      </c>
      <c r="AE87" t="str">
        <f>""</f>
        <v/>
      </c>
    </row>
    <row r="88" spans="1:31" x14ac:dyDescent="0.45">
      <c r="A88" t="str">
        <f>"АБДРАХМАНОВА ЕЛЕНА ВИКТОРОВНА"</f>
        <v>АБДРАХМАНОВА ЕЛЕНА ВИКТОРОВНА</v>
      </c>
      <c r="B88" t="str">
        <f>"1990-10-02"</f>
        <v>1990-10-02</v>
      </c>
      <c r="C88" t="str">
        <f>"80 18 830534"</f>
        <v>80 18 830534</v>
      </c>
      <c r="D88" t="str">
        <f>"4279011661605512"</f>
        <v>4279011661605512</v>
      </c>
      <c r="E88" t="str">
        <f t="shared" si="12"/>
        <v>2021-05-31</v>
      </c>
      <c r="F88" t="str">
        <f>"Q"</f>
        <v>Q</v>
      </c>
      <c r="G88" t="str">
        <f>"Q"</f>
        <v>Q</v>
      </c>
      <c r="H88" t="str">
        <f>"40817810616991419002"</f>
        <v>40817810616991419002</v>
      </c>
      <c r="I88" t="str">
        <f>"8598"</f>
        <v>8598</v>
      </c>
      <c r="J88" t="str">
        <f>"0196"</f>
        <v>0196</v>
      </c>
      <c r="K88" t="str">
        <f>"0.00"</f>
        <v>0.00</v>
      </c>
      <c r="L88" t="str">
        <f>"450000 РЕСП БАШКОРТОСТАН   Г УФА   УЛ ОКТЯБРЬСКОЙ РЕВОЛЮЦИИ д. 3А"</f>
        <v>450000 РЕСП БАШКОРТОСТАН   Г УФА   УЛ ОКТЯБРЬСКОЙ РЕВОЛЮЦИИ д. 3А</v>
      </c>
      <c r="M88" t="str">
        <f t="shared" si="11"/>
        <v>2019-08-24</v>
      </c>
      <c r="N88" t="str">
        <f>"ФГБОУ ВО ФГПУ ИМ. АКМУЛЛЫ"</f>
        <v>ФГБОУ ВО ФГПУ ИМ. АКМУЛЛЫ</v>
      </c>
      <c r="O88" t="str">
        <f>"450000"</f>
        <v>450000</v>
      </c>
      <c r="P88" t="str">
        <f>"РЕСП БАШКОРТОСТАН"</f>
        <v>РЕСП БАШКОРТОСТАН</v>
      </c>
      <c r="Q88" t="str">
        <f>""</f>
        <v/>
      </c>
      <c r="R88" t="str">
        <f>"Г УФА"</f>
        <v>Г УФА</v>
      </c>
      <c r="S88" t="str">
        <f>""</f>
        <v/>
      </c>
      <c r="T88" t="str">
        <f>"УЛ НАБЕРЕЖНАЯ Р. УФЫ"</f>
        <v>УЛ НАБЕРЕЖНАЯ Р. УФЫ</v>
      </c>
      <c r="U88" s="1" t="str">
        <f>"43"</f>
        <v>43</v>
      </c>
      <c r="V88" s="1" t="str">
        <f>""</f>
        <v/>
      </c>
      <c r="W88" s="1" t="str">
        <f>""</f>
        <v/>
      </c>
      <c r="X88" s="1" t="str">
        <f>""</f>
        <v/>
      </c>
      <c r="Y88" s="1" t="str">
        <f>"55"</f>
        <v>55</v>
      </c>
      <c r="Z88" t="str">
        <f>"9373453273"</f>
        <v>9373453273</v>
      </c>
      <c r="AA88" t="str">
        <f>"9373453273"</f>
        <v>9373453273</v>
      </c>
      <c r="AB88" t="str">
        <f>"9373453273"</f>
        <v>9373453273</v>
      </c>
      <c r="AC88" t="str">
        <f>"9373453273"</f>
        <v>9373453273</v>
      </c>
      <c r="AD88" t="str">
        <f>"9373453273"</f>
        <v>9373453273</v>
      </c>
      <c r="AE88" t="str">
        <f>"9373453273"</f>
        <v>9373453273</v>
      </c>
    </row>
    <row r="89" spans="1:31" x14ac:dyDescent="0.45">
      <c r="A89" t="str">
        <f>"БЕЛКИН ДМИТРИЙ БОРИСОВИЧ"</f>
        <v>БЕЛКИН ДМИТРИЙ БОРИСОВИЧ</v>
      </c>
      <c r="B89" t="str">
        <f>"1970-03-04"</f>
        <v>1970-03-04</v>
      </c>
      <c r="C89" t="str">
        <f>"65 15 013530"</f>
        <v>65 15 013530</v>
      </c>
      <c r="D89" t="str">
        <f>"4279011636688510"</f>
        <v>4279011636688510</v>
      </c>
      <c r="E89" t="str">
        <f t="shared" si="12"/>
        <v>2021-05-31</v>
      </c>
      <c r="F89" t="str">
        <f>"+"</f>
        <v>+</v>
      </c>
      <c r="G89" t="str">
        <f>"+"</f>
        <v>+</v>
      </c>
      <c r="H89" t="str">
        <f>"40817810316991419001"</f>
        <v>40817810316991419001</v>
      </c>
      <c r="I89" t="str">
        <f>"7003"</f>
        <v>7003</v>
      </c>
      <c r="J89" t="str">
        <f>"0898"</f>
        <v>0898</v>
      </c>
      <c r="K89" t="str">
        <f>"20000.00"</f>
        <v>20000.00</v>
      </c>
      <c r="L89" t="str">
        <f>"620000 ОБЛ СВЕРДЛОВСКАЯ   Г ЕКАТЕРИНБУРГ   УЛ НАЧДИВА ВАСИЛЕЬВА д. 1"</f>
        <v>620000 ОБЛ СВЕРДЛОВСКАЯ   Г ЕКАТЕРИНБУРГ   УЛ НАЧДИВА ВАСИЛЕЬВА д. 1</v>
      </c>
      <c r="M89" t="str">
        <f t="shared" si="11"/>
        <v>2019-08-24</v>
      </c>
      <c r="N89" t="str">
        <f>"НПО АВТОМАТИКА"</f>
        <v>НПО АВТОМАТИКА</v>
      </c>
      <c r="O89" t="str">
        <f>"620000"</f>
        <v>620000</v>
      </c>
      <c r="P89" t="str">
        <f>"ОБЛ СВЕРДЛОВСКАЯ"</f>
        <v>ОБЛ СВЕРДЛОВСКАЯ</v>
      </c>
      <c r="Q89" t="str">
        <f>""</f>
        <v/>
      </c>
      <c r="R89" t="str">
        <f>"Г ЕКАТЕРИНБУРГ"</f>
        <v>Г ЕКАТЕРИНБУРГ</v>
      </c>
      <c r="S89" t="str">
        <f>""</f>
        <v/>
      </c>
      <c r="T89" t="str">
        <f>"УЛ СЕРАФИМЫ ДЕРЯБИНОЙ"</f>
        <v>УЛ СЕРАФИМЫ ДЕРЯБИНОЙ</v>
      </c>
      <c r="U89" s="1" t="str">
        <f>"25"</f>
        <v>25</v>
      </c>
      <c r="V89" s="1" t="str">
        <f>""</f>
        <v/>
      </c>
      <c r="W89" s="1" t="str">
        <f>""</f>
        <v/>
      </c>
      <c r="X89" s="1" t="str">
        <f>""</f>
        <v/>
      </c>
      <c r="Y89" s="1" t="str">
        <f>"69"</f>
        <v>69</v>
      </c>
      <c r="Z89" t="str">
        <f>"9049803026"</f>
        <v>9049803026</v>
      </c>
      <c r="AA89" t="str">
        <f>"9049803026"</f>
        <v>9049803026</v>
      </c>
      <c r="AB89" t="str">
        <f>"9049803026"</f>
        <v>9049803026</v>
      </c>
      <c r="AC89" t="str">
        <f>"9049803026"</f>
        <v>9049803026</v>
      </c>
      <c r="AD89" t="str">
        <f>"9049803026"</f>
        <v>9049803026</v>
      </c>
      <c r="AE89" t="str">
        <f>"9049803026"</f>
        <v>9049803026</v>
      </c>
    </row>
    <row r="90" spans="1:31" x14ac:dyDescent="0.45">
      <c r="A90" t="str">
        <f>"ИЛЬЯСОВ АЛЕКСАНДР БОРИСОВИЧ"</f>
        <v>ИЛЬЯСОВ АЛЕКСАНДР БОРИСОВИЧ</v>
      </c>
      <c r="B90" t="str">
        <f>"1991-02-11"</f>
        <v>1991-02-11</v>
      </c>
      <c r="C90" t="str">
        <f>"65 11 353323"</f>
        <v>65 11 353323</v>
      </c>
      <c r="D90" t="str">
        <f>"4279011698135871"</f>
        <v>4279011698135871</v>
      </c>
      <c r="E90" t="str">
        <f t="shared" si="12"/>
        <v>2021-05-31</v>
      </c>
      <c r="F90" t="str">
        <f>"+"</f>
        <v>+</v>
      </c>
      <c r="G90" t="str">
        <f>"+"</f>
        <v>+</v>
      </c>
      <c r="H90" t="str">
        <f>"40817810216991419004"</f>
        <v>40817810216991419004</v>
      </c>
      <c r="I90" t="str">
        <f>"7003"</f>
        <v>7003</v>
      </c>
      <c r="J90" t="str">
        <f>"0409"</f>
        <v>0409</v>
      </c>
      <c r="K90" t="str">
        <f>"25000.00"</f>
        <v>25000.00</v>
      </c>
      <c r="L90" t="str">
        <f>"620000 ОБЛ СВЕРДЛОВСКАЯ   Г ЕКАТЕРИНБУРГ   УЛ МАЛЫШЕВА д. 5"</f>
        <v>620000 ОБЛ СВЕРДЛОВСКАЯ   Г ЕКАТЕРИНБУРГ   УЛ МАЛЫШЕВА д. 5</v>
      </c>
      <c r="M90" t="str">
        <f t="shared" si="11"/>
        <v>2019-08-24</v>
      </c>
      <c r="N90" t="str">
        <f>"МЕДИА МАРКТ"</f>
        <v>МЕДИА МАРКТ</v>
      </c>
      <c r="O90" t="str">
        <f>"620000"</f>
        <v>620000</v>
      </c>
      <c r="P90" t="str">
        <f>"ОБЛ СВЕРДЛОВСКАЯ"</f>
        <v>ОБЛ СВЕРДЛОВСКАЯ</v>
      </c>
      <c r="Q90" t="str">
        <f>""</f>
        <v/>
      </c>
      <c r="R90" t="str">
        <f>"Г ЕКАТЕРИНБУРГ"</f>
        <v>Г ЕКАТЕРИНБУРГ</v>
      </c>
      <c r="S90" t="str">
        <f>""</f>
        <v/>
      </c>
      <c r="T90" t="str">
        <f>"УЛ КРАСНОЛЕСЬЯ"</f>
        <v>УЛ КРАСНОЛЕСЬЯ</v>
      </c>
      <c r="U90" s="1" t="str">
        <f>"155"</f>
        <v>155</v>
      </c>
      <c r="V90" s="1" t="str">
        <f>""</f>
        <v/>
      </c>
      <c r="W90" s="1" t="str">
        <f>""</f>
        <v/>
      </c>
      <c r="X90" s="1" t="str">
        <f>""</f>
        <v/>
      </c>
      <c r="Y90" s="1" t="str">
        <f>"103"</f>
        <v>103</v>
      </c>
      <c r="Z90" t="str">
        <f>""</f>
        <v/>
      </c>
      <c r="AA90" t="str">
        <f>"9826619856"</f>
        <v>9826619856</v>
      </c>
      <c r="AB90" t="str">
        <f>"9826619856"</f>
        <v>9826619856</v>
      </c>
      <c r="AC90" t="str">
        <f>"9826619856"</f>
        <v>9826619856</v>
      </c>
      <c r="AD90" t="str">
        <f>"9826619856"</f>
        <v>9826619856</v>
      </c>
      <c r="AE90" t="str">
        <f>""</f>
        <v/>
      </c>
    </row>
    <row r="91" spans="1:31" x14ac:dyDescent="0.45">
      <c r="A91" t="str">
        <f>"ЗАХАРОВА АЛЕКСАНДРА ОЛЕГОВНА"</f>
        <v>ЗАХАРОВА АЛЕКСАНДРА ОЛЕГОВНА</v>
      </c>
      <c r="B91" t="str">
        <f>"1992-02-06"</f>
        <v>1992-02-06</v>
      </c>
      <c r="C91" t="str">
        <f>"75 14 497958"</f>
        <v>75 14 497958</v>
      </c>
      <c r="D91" t="str">
        <f>"4276011685924967"</f>
        <v>4276011685924967</v>
      </c>
      <c r="E91" t="str">
        <f t="shared" si="12"/>
        <v>2021-05-31</v>
      </c>
      <c r="F91" t="str">
        <f>"Q"</f>
        <v>Q</v>
      </c>
      <c r="G91" t="str">
        <f>"Q"</f>
        <v>Q</v>
      </c>
      <c r="H91" t="str">
        <f>"40817810816991419006"</f>
        <v>40817810816991419006</v>
      </c>
      <c r="I91" t="str">
        <f>"8597"</f>
        <v>8597</v>
      </c>
      <c r="J91" t="str">
        <f>"0486"</f>
        <v>0486</v>
      </c>
      <c r="K91" t="str">
        <f>"0.00"</f>
        <v>0.00</v>
      </c>
      <c r="L91" t="str">
        <f>"456580 ОБЛ ЧЕЛЯБИНСКАЯ Р-Н ЕМАНЖЕЛИНСКИЙ Г ЕМАНЖЕЛИНСК   УЛ ЛЕНИНА д. 37"</f>
        <v>456580 ОБЛ ЧЕЛЯБИНСКАЯ Р-Н ЕМАНЖЕЛИНСКИЙ Г ЕМАНЖЕЛИНСК   УЛ ЛЕНИНА д. 37</v>
      </c>
      <c r="M91" t="str">
        <f t="shared" si="11"/>
        <v>2019-08-24</v>
      </c>
      <c r="N91" t="str">
        <f>"ТАНДЕР КУРГАНСКИЙ ФИЛИАЛ"</f>
        <v>ТАНДЕР КУРГАНСКИЙ ФИЛИАЛ</v>
      </c>
      <c r="O91" t="str">
        <f>"454580"</f>
        <v>454580</v>
      </c>
      <c r="P91" t="str">
        <f>"ОБЛ ЧЕЛЯБИНСКАЯ"</f>
        <v>ОБЛ ЧЕЛЯБИНСКАЯ</v>
      </c>
      <c r="Q91" t="str">
        <f>""</f>
        <v/>
      </c>
      <c r="R91" t="str">
        <f>"Г ЕМАНЖЕЛИНСК"</f>
        <v>Г ЕМАНЖЕЛИНСК</v>
      </c>
      <c r="S91" t="str">
        <f>""</f>
        <v/>
      </c>
      <c r="T91" t="str">
        <f>"УЛ ШАХТОВАЯ"</f>
        <v>УЛ ШАХТОВАЯ</v>
      </c>
      <c r="U91" s="1" t="str">
        <f>"70"</f>
        <v>70</v>
      </c>
      <c r="V91" s="1" t="str">
        <f>""</f>
        <v/>
      </c>
      <c r="W91" s="1" t="str">
        <f>""</f>
        <v/>
      </c>
      <c r="X91" s="1" t="str">
        <f>""</f>
        <v/>
      </c>
      <c r="Y91" s="1" t="str">
        <f>""</f>
        <v/>
      </c>
      <c r="Z91" t="str">
        <f>"3512680088"</f>
        <v>3512680088</v>
      </c>
      <c r="AA91" t="str">
        <f>""</f>
        <v/>
      </c>
      <c r="AB91" t="str">
        <f>"9511283380"</f>
        <v>9511283380</v>
      </c>
      <c r="AC91" t="str">
        <f>""</f>
        <v/>
      </c>
      <c r="AD91" t="str">
        <f>"9511283380"</f>
        <v>9511283380</v>
      </c>
      <c r="AE91" t="str">
        <f>"3512680088"</f>
        <v>3512680088</v>
      </c>
    </row>
    <row r="92" spans="1:31" x14ac:dyDescent="0.45">
      <c r="A92" t="str">
        <f>"КРУПЕНКО НАТАЛЬЯ НИКОЛАЕВНА"</f>
        <v>КРУПЕНКО НАТАЛЬЯ НИКОЛАЕВНА</v>
      </c>
      <c r="B92" t="str">
        <f>"1989-01-23"</f>
        <v>1989-01-23</v>
      </c>
      <c r="C92" t="str">
        <f>"37 16 683235"</f>
        <v>37 16 683235</v>
      </c>
      <c r="D92" t="str">
        <f>"4279011635452769"</f>
        <v>4279011635452769</v>
      </c>
      <c r="E92" t="str">
        <f t="shared" si="12"/>
        <v>2021-05-31</v>
      </c>
      <c r="F92" t="str">
        <f t="shared" ref="F92:G101" si="13">"+"</f>
        <v>+</v>
      </c>
      <c r="G92" t="str">
        <f t="shared" si="13"/>
        <v>+</v>
      </c>
      <c r="H92" t="str">
        <f>"40817810116991419007"</f>
        <v>40817810116991419007</v>
      </c>
      <c r="I92" t="str">
        <f>"8599"</f>
        <v>8599</v>
      </c>
      <c r="J92" t="str">
        <f>"0045"</f>
        <v>0045</v>
      </c>
      <c r="K92" t="str">
        <f>"40000.00"</f>
        <v>40000.00</v>
      </c>
      <c r="L92" t="str">
        <f>"641000 ОБЛ КУРГАНСКАЯ   Г КУРГАН   УЛ К.МЯГОТИНА д. 47"</f>
        <v>641000 ОБЛ КУРГАНСКАЯ   Г КУРГАН   УЛ К.МЯГОТИНА д. 47</v>
      </c>
      <c r="M92" t="str">
        <f t="shared" si="11"/>
        <v>2019-08-24</v>
      </c>
      <c r="N92" t="str">
        <f>"ИП СВЕЧКИНЕНЕ СВЕТЛАНА ГЕННАДЬЕВНА"</f>
        <v>ИП СВЕЧКИНЕНЕ СВЕТЛАНА ГЕННАДЬЕВНА</v>
      </c>
      <c r="O92" t="str">
        <f>"641000"</f>
        <v>641000</v>
      </c>
      <c r="P92" t="str">
        <f>"ОБЛ КУРГАНСКАЯ"</f>
        <v>ОБЛ КУРГАНСКАЯ</v>
      </c>
      <c r="Q92" t="str">
        <f>""</f>
        <v/>
      </c>
      <c r="R92" t="str">
        <f>"Г КУРГАН"</f>
        <v>Г КУРГАН</v>
      </c>
      <c r="S92" t="str">
        <f>""</f>
        <v/>
      </c>
      <c r="T92" t="str">
        <f>"УЛ УРИЦКОГО"</f>
        <v>УЛ УРИЦКОГО</v>
      </c>
      <c r="U92" s="1" t="str">
        <f>"124"</f>
        <v>124</v>
      </c>
      <c r="V92" s="1" t="str">
        <f>""</f>
        <v/>
      </c>
      <c r="W92" s="1" t="str">
        <f>""</f>
        <v/>
      </c>
      <c r="X92" s="1" t="str">
        <f>""</f>
        <v/>
      </c>
      <c r="Y92" s="1" t="str">
        <f>"21"</f>
        <v>21</v>
      </c>
      <c r="Z92" t="str">
        <f>"3522441707"</f>
        <v>3522441707</v>
      </c>
      <c r="AA92" t="str">
        <f>"9125246092"</f>
        <v>9125246092</v>
      </c>
      <c r="AB92" t="str">
        <f>"9195667390"</f>
        <v>9195667390</v>
      </c>
      <c r="AC92" t="str">
        <f>"9125246092"</f>
        <v>9125246092</v>
      </c>
      <c r="AD92" t="str">
        <f>"9195667390"</f>
        <v>9195667390</v>
      </c>
      <c r="AE92" t="str">
        <f>"3522441701"</f>
        <v>3522441701</v>
      </c>
    </row>
    <row r="93" spans="1:31" x14ac:dyDescent="0.45">
      <c r="A93" t="str">
        <f>"КНЯЗЕВА СВЕТЛАНА ВЯЧЕСЛАВОВНА"</f>
        <v>КНЯЗЕВА СВЕТЛАНА ВЯЧЕСЛАВОВНА</v>
      </c>
      <c r="B93" t="str">
        <f>"1965-03-10"</f>
        <v>1965-03-10</v>
      </c>
      <c r="C93" t="str">
        <f>"80 10 092680"</f>
        <v>80 10 092680</v>
      </c>
      <c r="D93" t="str">
        <f>"4279011624676154"</f>
        <v>4279011624676154</v>
      </c>
      <c r="E93" t="str">
        <f t="shared" si="12"/>
        <v>2021-05-31</v>
      </c>
      <c r="F93" t="str">
        <f t="shared" si="13"/>
        <v>+</v>
      </c>
      <c r="G93" t="str">
        <f t="shared" si="13"/>
        <v>+</v>
      </c>
      <c r="H93" t="str">
        <f>"40817810416991419008"</f>
        <v>40817810416991419008</v>
      </c>
      <c r="I93" t="str">
        <f>"8598"</f>
        <v>8598</v>
      </c>
      <c r="J93" t="str">
        <f>"0228"</f>
        <v>0228</v>
      </c>
      <c r="K93" t="str">
        <f>"210000.00"</f>
        <v>210000.00</v>
      </c>
      <c r="L93" t="str">
        <f>"450000 РЕСП БАШКОРТОСТАН   Г УФЫ   УЛ СТ. КУВЫКИНА д. 23 кв. 36"</f>
        <v>450000 РЕСП БАШКОРТОСТАН   Г УФЫ   УЛ СТ. КУВЫКИНА д. 23 кв. 36</v>
      </c>
      <c r="M93" t="str">
        <f t="shared" si="11"/>
        <v>2019-08-24</v>
      </c>
      <c r="N93" t="str">
        <f>"-"</f>
        <v>-</v>
      </c>
      <c r="O93" t="str">
        <f>"450000"</f>
        <v>450000</v>
      </c>
      <c r="P93" t="str">
        <f>"РЕСП БАШКОРТОСТАН"</f>
        <v>РЕСП БАШКОРТОСТАН</v>
      </c>
      <c r="Q93" t="str">
        <f>""</f>
        <v/>
      </c>
      <c r="R93" t="str">
        <f>"Г УФА"</f>
        <v>Г УФА</v>
      </c>
      <c r="S93" t="str">
        <f>""</f>
        <v/>
      </c>
      <c r="T93" t="str">
        <f>"УЛ СТ. КУВЫКИНА"</f>
        <v>УЛ СТ. КУВЫКИНА</v>
      </c>
      <c r="U93" s="1" t="str">
        <f>"23"</f>
        <v>23</v>
      </c>
      <c r="V93" s="1" t="str">
        <f>""</f>
        <v/>
      </c>
      <c r="W93" s="1" t="str">
        <f>""</f>
        <v/>
      </c>
      <c r="X93" s="1" t="str">
        <f>""</f>
        <v/>
      </c>
      <c r="Y93" s="1" t="str">
        <f>"36"</f>
        <v>36</v>
      </c>
      <c r="Z93" t="str">
        <f>""</f>
        <v/>
      </c>
      <c r="AA93" t="str">
        <f>"3472540341"</f>
        <v>3472540341</v>
      </c>
      <c r="AB93" t="str">
        <f>"9174359529"</f>
        <v>9174359529</v>
      </c>
      <c r="AC93" t="str">
        <f>"9174120214"</f>
        <v>9174120214</v>
      </c>
      <c r="AD93" t="str">
        <f>"9174359529"</f>
        <v>9174359529</v>
      </c>
      <c r="AE93" t="str">
        <f>""</f>
        <v/>
      </c>
    </row>
    <row r="94" spans="1:31" x14ac:dyDescent="0.45">
      <c r="A94" t="str">
        <f>"КИЛИН ЮРИЙ НИКОЛАЕВИЧ"</f>
        <v>КИЛИН ЮРИЙ НИКОЛАЕВИЧ</v>
      </c>
      <c r="B94" t="str">
        <f>"1980-09-09"</f>
        <v>1980-09-09</v>
      </c>
      <c r="C94" t="str">
        <f>"65 03 639218"</f>
        <v>65 03 639218</v>
      </c>
      <c r="D94" t="str">
        <f>"4279011609677730"</f>
        <v>4279011609677730</v>
      </c>
      <c r="E94" t="str">
        <f t="shared" si="12"/>
        <v>2021-05-31</v>
      </c>
      <c r="F94" t="str">
        <f t="shared" si="13"/>
        <v>+</v>
      </c>
      <c r="G94" t="str">
        <f t="shared" si="13"/>
        <v>+</v>
      </c>
      <c r="H94" t="str">
        <f>"40817810716991419009"</f>
        <v>40817810716991419009</v>
      </c>
      <c r="I94" t="str">
        <f>"7003"</f>
        <v>7003</v>
      </c>
      <c r="J94" t="str">
        <f>"0408"</f>
        <v>0408</v>
      </c>
      <c r="K94" t="str">
        <f>"60000.00"</f>
        <v>60000.00</v>
      </c>
      <c r="L94" t="str">
        <f>"620000 ОБЛ СВЕРДЛОВСКАЯ   Г ЕКАТЕРИНБУРГ   УЛ ШЕФСКАЯ д. 2Н"</f>
        <v>620000 ОБЛ СВЕРДЛОВСКАЯ   Г ЕКАТЕРИНБУРГ   УЛ ШЕФСКАЯ д. 2Н</v>
      </c>
      <c r="M94" t="str">
        <f t="shared" si="11"/>
        <v>2019-08-24</v>
      </c>
      <c r="N94" t="str">
        <f>"ООО ОБЪЕДИНЕНИЕ УРАЛЬСКИХ МАШИНОСТОИТЕЛЕЙ"</f>
        <v>ООО ОБЪЕДИНЕНИЕ УРАЛЬСКИХ МАШИНОСТОИТЕЛЕЙ</v>
      </c>
      <c r="O94" t="str">
        <f>"620000"</f>
        <v>620000</v>
      </c>
      <c r="P94" t="str">
        <f>"ОБЛ СВЕРДЛОВСКАЯ"</f>
        <v>ОБЛ СВЕРДЛОВСКАЯ</v>
      </c>
      <c r="Q94" t="str">
        <f>""</f>
        <v/>
      </c>
      <c r="R94" t="str">
        <f>"Г ЕКАТЕРИНБУРГ"</f>
        <v>Г ЕКАТЕРИНБУРГ</v>
      </c>
      <c r="S94" t="str">
        <f>""</f>
        <v/>
      </c>
      <c r="T94" t="str">
        <f>"УЛ КРАСНОФЛОТЦЕВ"</f>
        <v>УЛ КРАСНОФЛОТЦЕВ</v>
      </c>
      <c r="U94" s="1" t="str">
        <f>"67"</f>
        <v>67</v>
      </c>
      <c r="V94" s="1" t="str">
        <f>""</f>
        <v/>
      </c>
      <c r="W94" s="1" t="str">
        <f>""</f>
        <v/>
      </c>
      <c r="X94" s="1" t="str">
        <f>""</f>
        <v/>
      </c>
      <c r="Y94" s="1" t="str">
        <f>"61"</f>
        <v>61</v>
      </c>
      <c r="Z94" t="str">
        <f>""</f>
        <v/>
      </c>
      <c r="AA94" t="str">
        <f>"9221318588"</f>
        <v>9221318588</v>
      </c>
      <c r="AB94" t="str">
        <f>"9221318588"</f>
        <v>9221318588</v>
      </c>
      <c r="AC94" t="str">
        <f>"9221318588"</f>
        <v>9221318588</v>
      </c>
      <c r="AD94" t="str">
        <f>"9221318588"</f>
        <v>9221318588</v>
      </c>
      <c r="AE94" t="str">
        <f>""</f>
        <v/>
      </c>
    </row>
    <row r="95" spans="1:31" x14ac:dyDescent="0.45">
      <c r="A95" t="str">
        <f>"ДЕРНОВ ДМИТРИЙ АЛЕКСАНДРОВИЧ"</f>
        <v>ДЕРНОВ ДМИТРИЙ АЛЕКСАНДРОВИЧ</v>
      </c>
      <c r="B95" t="str">
        <f>"1984-03-29"</f>
        <v>1984-03-29</v>
      </c>
      <c r="C95" t="str">
        <f>"65 05 334352"</f>
        <v>65 05 334352</v>
      </c>
      <c r="D95" t="str">
        <f>"4279011671493248"</f>
        <v>4279011671493248</v>
      </c>
      <c r="E95" t="str">
        <f t="shared" si="12"/>
        <v>2021-05-31</v>
      </c>
      <c r="F95" t="str">
        <f t="shared" si="13"/>
        <v>+</v>
      </c>
      <c r="G95" t="str">
        <f t="shared" si="13"/>
        <v>+</v>
      </c>
      <c r="H95" t="str">
        <f>"40817810116991419010"</f>
        <v>40817810116991419010</v>
      </c>
      <c r="I95" t="str">
        <f>"7003"</f>
        <v>7003</v>
      </c>
      <c r="J95" t="str">
        <f>"0403"</f>
        <v>0403</v>
      </c>
      <c r="K95" t="str">
        <f>"29000.00"</f>
        <v>29000.00</v>
      </c>
      <c r="L95" t="str">
        <f>"620000 ОБЛ СВЕРДЛОВСКАЯ   Г ЕКАТЕРИНБУРГ     офис 0"</f>
        <v>620000 ОБЛ СВЕРДЛОВСКАЯ   Г ЕКАТЕРИНБУРГ     офис 0</v>
      </c>
      <c r="M95" t="str">
        <f t="shared" si="11"/>
        <v>2019-08-24</v>
      </c>
      <c r="N95" t="s">
        <v>32</v>
      </c>
      <c r="O95" t="str">
        <f>"620000"</f>
        <v>620000</v>
      </c>
      <c r="P95" t="str">
        <f>"ОБЛ СВЕРДЛОВСКАЯ"</f>
        <v>ОБЛ СВЕРДЛОВСКАЯ</v>
      </c>
      <c r="Q95" t="str">
        <f>""</f>
        <v/>
      </c>
      <c r="R95" t="str">
        <f>"Г ЕКАТЕРИНБУРГ"</f>
        <v>Г ЕКАТЕРИНБУРГ</v>
      </c>
      <c r="S95" t="str">
        <f>""</f>
        <v/>
      </c>
      <c r="T95" t="str">
        <f>"УЛ КОСМОНАВТОВ"</f>
        <v>УЛ КОСМОНАВТОВ</v>
      </c>
      <c r="U95" s="1" t="str">
        <f>"36"</f>
        <v>36</v>
      </c>
      <c r="V95" s="1" t="str">
        <f>""</f>
        <v/>
      </c>
      <c r="W95" s="1" t="str">
        <f>""</f>
        <v/>
      </c>
      <c r="X95" s="1" t="str">
        <f>""</f>
        <v/>
      </c>
      <c r="Y95" s="1" t="str">
        <f>"13"</f>
        <v>13</v>
      </c>
      <c r="Z95" t="str">
        <f>"+7 (812) 4997997"</f>
        <v>+7 (812) 4997997</v>
      </c>
      <c r="AA95" t="str">
        <f>"+7 (922) 1505881"</f>
        <v>+7 (922) 1505881</v>
      </c>
      <c r="AB95" t="str">
        <f>"+7 (922) 1505881"</f>
        <v>+7 (922) 1505881</v>
      </c>
      <c r="AC95" t="str">
        <f>"9221505881"</f>
        <v>9221505881</v>
      </c>
      <c r="AD95" t="str">
        <f>"9221505881"</f>
        <v>9221505881</v>
      </c>
      <c r="AE95" t="str">
        <f>""</f>
        <v/>
      </c>
    </row>
    <row r="96" spans="1:31" x14ac:dyDescent="0.45">
      <c r="A96" t="str">
        <f>"КОРЯКОВА НИНА АЛЕКСЕЕВНА"</f>
        <v>КОРЯКОВА НИНА АЛЕКСЕЕВНА</v>
      </c>
      <c r="B96" t="str">
        <f>"1965-08-30"</f>
        <v>1965-08-30</v>
      </c>
      <c r="C96" t="str">
        <f>"65 10 941683"</f>
        <v>65 10 941683</v>
      </c>
      <c r="D96" t="str">
        <f>"4279011630521246"</f>
        <v>4279011630521246</v>
      </c>
      <c r="E96" t="str">
        <f t="shared" si="12"/>
        <v>2021-05-31</v>
      </c>
      <c r="F96" t="str">
        <f t="shared" si="13"/>
        <v>+</v>
      </c>
      <c r="G96" t="str">
        <f t="shared" si="13"/>
        <v>+</v>
      </c>
      <c r="H96" t="str">
        <f>"40817810416991419011"</f>
        <v>40817810416991419011</v>
      </c>
      <c r="I96" t="str">
        <f>"7003"</f>
        <v>7003</v>
      </c>
      <c r="J96" t="str">
        <f>"0659"</f>
        <v>0659</v>
      </c>
      <c r="K96" t="str">
        <f>"70000.00"</f>
        <v>70000.00</v>
      </c>
      <c r="L96" t="str">
        <f>"620000 ОБЛ СВЕРДЛОВСКАЯ     С МАНЧАЖ УЛ СОВЕТСКАЯ д. 58"</f>
        <v>620000 ОБЛ СВЕРДЛОВСКАЯ     С МАНЧАЖ УЛ СОВЕТСКАЯ д. 58</v>
      </c>
      <c r="M96" t="str">
        <f t="shared" si="11"/>
        <v>2019-08-24</v>
      </c>
      <c r="N96" t="str">
        <f>"АРТИНСКОЕ РАЙПО"</f>
        <v>АРТИНСКОЕ РАЙПО</v>
      </c>
      <c r="O96" t="str">
        <f>"620000"</f>
        <v>620000</v>
      </c>
      <c r="P96" t="str">
        <f>"ОБЛ СВЕРДЛОВСКАЯ"</f>
        <v>ОБЛ СВЕРДЛОВСКАЯ</v>
      </c>
      <c r="Q96" t="str">
        <f>"Р-Н АРТИНСКИЙ"</f>
        <v>Р-Н АРТИНСКИЙ</v>
      </c>
      <c r="R96" t="str">
        <f>""</f>
        <v/>
      </c>
      <c r="S96" t="str">
        <f>"С МАНЧАЖ"</f>
        <v>С МАНЧАЖ</v>
      </c>
      <c r="T96" t="str">
        <f>""</f>
        <v/>
      </c>
      <c r="U96" s="1" t="str">
        <f>"24"</f>
        <v>24</v>
      </c>
      <c r="V96" s="1" t="str">
        <f>""</f>
        <v/>
      </c>
      <c r="W96" s="1" t="str">
        <f>""</f>
        <v/>
      </c>
      <c r="X96" s="1" t="str">
        <f>""</f>
        <v/>
      </c>
      <c r="Y96" s="1" t="str">
        <f>""</f>
        <v/>
      </c>
      <c r="Z96" t="str">
        <f>"3439121590"</f>
        <v>3439121590</v>
      </c>
      <c r="AA96" t="str">
        <f>"9533814597"</f>
        <v>9533814597</v>
      </c>
      <c r="AB96" t="str">
        <f>"9533814597"</f>
        <v>9533814597</v>
      </c>
      <c r="AC96" t="str">
        <f>"3439423502"</f>
        <v>3439423502</v>
      </c>
      <c r="AD96" t="str">
        <f>"9533814597"</f>
        <v>9533814597</v>
      </c>
      <c r="AE96" t="str">
        <f>"3439433492"</f>
        <v>3439433492</v>
      </c>
    </row>
    <row r="97" spans="1:31" x14ac:dyDescent="0.45">
      <c r="A97" t="str">
        <f>"ЛИСИЦЫН ИВАН ГЕННАДЬЕВИЧ"</f>
        <v>ЛИСИЦЫН ИВАН ГЕННАДЬЕВИЧ</v>
      </c>
      <c r="B97" t="str">
        <f>"1987-11-12"</f>
        <v>1987-11-12</v>
      </c>
      <c r="C97" t="str">
        <f>"65 08 411517"</f>
        <v>65 08 411517</v>
      </c>
      <c r="D97" t="str">
        <f>"4279011646356413"</f>
        <v>4279011646356413</v>
      </c>
      <c r="E97" t="str">
        <f t="shared" si="12"/>
        <v>2021-05-31</v>
      </c>
      <c r="F97" t="str">
        <f t="shared" si="13"/>
        <v>+</v>
      </c>
      <c r="G97" t="str">
        <f t="shared" si="13"/>
        <v>+</v>
      </c>
      <c r="H97" t="str">
        <f>"40817810016991419013"</f>
        <v>40817810016991419013</v>
      </c>
      <c r="I97" t="str">
        <f>"7003"</f>
        <v>7003</v>
      </c>
      <c r="J97" t="str">
        <f>"0736"</f>
        <v>0736</v>
      </c>
      <c r="K97" t="str">
        <f>"15000.00"</f>
        <v>15000.00</v>
      </c>
      <c r="L97" t="str">
        <f>"620000 ОБЛ СВЕРДЛОВСКАЯ   Г НИЖНИЙ ТАГИЛ   Ш ВОСТОЧНОЕ д. 28"</f>
        <v>620000 ОБЛ СВЕРДЛОВСКАЯ   Г НИЖНИЙ ТАГИЛ   Ш ВОСТОЧНОЕ д. 28</v>
      </c>
      <c r="M97" t="str">
        <f t="shared" si="11"/>
        <v>2019-08-24</v>
      </c>
      <c r="N97" t="str">
        <f>"АО НПК УВЗ"</f>
        <v>АО НПК УВЗ</v>
      </c>
      <c r="O97" t="str">
        <f>"620000"</f>
        <v>620000</v>
      </c>
      <c r="P97" t="str">
        <f>"ОБЛ СВЕРДЛОВСКАЯ"</f>
        <v>ОБЛ СВЕРДЛОВСКАЯ</v>
      </c>
      <c r="Q97" t="str">
        <f>"Р-Н ПРИГОРОДНЫЙ"</f>
        <v>Р-Н ПРИГОРОДНЫЙ</v>
      </c>
      <c r="R97" t="str">
        <f>"П ЛЕНЕВКА"</f>
        <v>П ЛЕНЕВКА</v>
      </c>
      <c r="S97" t="str">
        <f>""</f>
        <v/>
      </c>
      <c r="T97" t="str">
        <f>"УЛ ЦЕНТРАЛЬНАЯ"</f>
        <v>УЛ ЦЕНТРАЛЬНАЯ</v>
      </c>
      <c r="U97" s="1" t="str">
        <f>"3"</f>
        <v>3</v>
      </c>
      <c r="V97" s="1" t="str">
        <f>""</f>
        <v/>
      </c>
      <c r="W97" s="1" t="str">
        <f>""</f>
        <v/>
      </c>
      <c r="X97" s="1" t="str">
        <f>""</f>
        <v/>
      </c>
      <c r="Y97" s="1" t="str">
        <f>"2"</f>
        <v>2</v>
      </c>
      <c r="Z97" t="str">
        <f>"9193877550"</f>
        <v>9193877550</v>
      </c>
      <c r="AA97" t="str">
        <f>"9630484985"</f>
        <v>9630484985</v>
      </c>
      <c r="AB97" t="str">
        <f>"9630484985"</f>
        <v>9630484985</v>
      </c>
      <c r="AC97" t="str">
        <f>"9630484985"</f>
        <v>9630484985</v>
      </c>
      <c r="AD97" t="str">
        <f>"9630484985"</f>
        <v>9630484985</v>
      </c>
      <c r="AE97" t="str">
        <f>"9193877550"</f>
        <v>9193877550</v>
      </c>
    </row>
    <row r="98" spans="1:31" x14ac:dyDescent="0.45">
      <c r="A98" t="str">
        <f>"ПОПОВА НАТАЛЬЯ ЮРЬЕВНА"</f>
        <v>ПОПОВА НАТАЛЬЯ ЮРЬЕВНА</v>
      </c>
      <c r="B98" t="str">
        <f>"1962-06-20"</f>
        <v>1962-06-20</v>
      </c>
      <c r="C98" t="str">
        <f>"65 15 001966"</f>
        <v>65 15 001966</v>
      </c>
      <c r="D98" t="str">
        <f>"4279011636856224"</f>
        <v>4279011636856224</v>
      </c>
      <c r="E98" t="str">
        <f t="shared" si="12"/>
        <v>2021-05-31</v>
      </c>
      <c r="F98" t="str">
        <f t="shared" si="13"/>
        <v>+</v>
      </c>
      <c r="G98" t="str">
        <f t="shared" si="13"/>
        <v>+</v>
      </c>
      <c r="H98" t="str">
        <f>"40817810316991419014"</f>
        <v>40817810316991419014</v>
      </c>
      <c r="I98" t="str">
        <f>"7003"</f>
        <v>7003</v>
      </c>
      <c r="J98" t="str">
        <f>"0369"</f>
        <v>0369</v>
      </c>
      <c r="K98" t="str">
        <f>"14000.00"</f>
        <v>14000.00</v>
      </c>
      <c r="L98" t="str">
        <f>"620000 ОБЛ СВЕРДЛОВСКАЯ   Г ЕКАТЕРИНБУРГ   УЛ ШИШМИНСКАЯ д. 28 кв. 58"</f>
        <v>620000 ОБЛ СВЕРДЛОВСКАЯ   Г ЕКАТЕРИНБУРГ   УЛ ШИШМИНСКАЯ д. 28 кв. 58</v>
      </c>
      <c r="M98" t="str">
        <f t="shared" si="11"/>
        <v>2019-08-24</v>
      </c>
      <c r="N98" t="str">
        <f>"ПЕНСИОНЕР"</f>
        <v>ПЕНСИОНЕР</v>
      </c>
      <c r="O98" t="str">
        <f>"620000"</f>
        <v>620000</v>
      </c>
      <c r="P98" t="str">
        <f>"ОБЛ СВЕРДЛОВСКАЯ"</f>
        <v>ОБЛ СВЕРДЛОВСКАЯ</v>
      </c>
      <c r="Q98" t="str">
        <f>""</f>
        <v/>
      </c>
      <c r="R98" t="str">
        <f>"Г ЕКАТЕРИНБУРГ"</f>
        <v>Г ЕКАТЕРИНБУРГ</v>
      </c>
      <c r="S98" t="str">
        <f>""</f>
        <v/>
      </c>
      <c r="T98" t="str">
        <f>"УЛ ШИШМИНСКАЯ"</f>
        <v>УЛ ШИШМИНСКАЯ</v>
      </c>
      <c r="U98" s="1" t="str">
        <f>"28"</f>
        <v>28</v>
      </c>
      <c r="V98" s="1" t="str">
        <f>""</f>
        <v/>
      </c>
      <c r="W98" s="1" t="str">
        <f>""</f>
        <v/>
      </c>
      <c r="X98" s="1" t="str">
        <f>""</f>
        <v/>
      </c>
      <c r="Y98" s="1" t="str">
        <f>"58"</f>
        <v>58</v>
      </c>
      <c r="Z98" t="str">
        <f>""</f>
        <v/>
      </c>
      <c r="AA98" t="str">
        <f>"9632758829"</f>
        <v>9632758829</v>
      </c>
      <c r="AB98" t="str">
        <f>"9632758829"</f>
        <v>9632758829</v>
      </c>
      <c r="AC98" t="str">
        <f>"9632758829"</f>
        <v>9632758829</v>
      </c>
      <c r="AD98" t="str">
        <f>"9632758829"</f>
        <v>9632758829</v>
      </c>
      <c r="AE98" t="str">
        <f>""</f>
        <v/>
      </c>
    </row>
    <row r="99" spans="1:31" x14ac:dyDescent="0.45">
      <c r="A99" t="str">
        <f>"АБДЮШЕВА АЛСУ НАИЛЕВНА"</f>
        <v>АБДЮШЕВА АЛСУ НАИЛЕВНА</v>
      </c>
      <c r="B99" t="str">
        <f>"1983-02-23"</f>
        <v>1983-02-23</v>
      </c>
      <c r="C99" t="str">
        <f>"80 06 016851"</f>
        <v>80 06 016851</v>
      </c>
      <c r="D99" t="str">
        <f>"4279011685107602"</f>
        <v>4279011685107602</v>
      </c>
      <c r="E99" t="str">
        <f t="shared" si="12"/>
        <v>2021-05-31</v>
      </c>
      <c r="F99" t="str">
        <f t="shared" si="13"/>
        <v>+</v>
      </c>
      <c r="G99" t="str">
        <f t="shared" si="13"/>
        <v>+</v>
      </c>
      <c r="H99" t="str">
        <f>"40817810616991419015"</f>
        <v>40817810616991419015</v>
      </c>
      <c r="I99" t="str">
        <f>"8598"</f>
        <v>8598</v>
      </c>
      <c r="J99" t="str">
        <f>"0034"</f>
        <v>0034</v>
      </c>
      <c r="K99" t="str">
        <f>"120000.00"</f>
        <v>120000.00</v>
      </c>
      <c r="L99" t="str">
        <f>"450000 РЕСП БАШКОРТОСТАН     Г УФА УЛ ЦЮРУПЫ д. 84"</f>
        <v>450000 РЕСП БАШКОРТОСТАН     Г УФА УЛ ЦЮРУПЫ д. 84</v>
      </c>
      <c r="M99" t="str">
        <f t="shared" si="11"/>
        <v>2019-08-24</v>
      </c>
      <c r="N99" t="str">
        <f>"ГБУЗ РБ ГКБ №5"</f>
        <v>ГБУЗ РБ ГКБ №5</v>
      </c>
      <c r="O99" t="str">
        <f>"450000"</f>
        <v>450000</v>
      </c>
      <c r="P99" t="str">
        <f>"РЕСП БАШКОРТОСТАН"</f>
        <v>РЕСП БАШКОРТОСТАН</v>
      </c>
      <c r="Q99" t="str">
        <f>""</f>
        <v/>
      </c>
      <c r="R99" t="str">
        <f>""</f>
        <v/>
      </c>
      <c r="S99" t="str">
        <f>"Г УФА"</f>
        <v>Г УФА</v>
      </c>
      <c r="T99" t="str">
        <f>"УЛ КОЛЬЦЕВАЯ"</f>
        <v>УЛ КОЛЬЦЕВАЯ</v>
      </c>
      <c r="U99" s="1" t="str">
        <f>"205/1"</f>
        <v>205/1</v>
      </c>
      <c r="V99" s="1" t="str">
        <f>""</f>
        <v/>
      </c>
      <c r="W99" s="1" t="str">
        <f>""</f>
        <v/>
      </c>
      <c r="X99" s="1" t="str">
        <f>""</f>
        <v/>
      </c>
      <c r="Y99" s="1" t="str">
        <f>"79"</f>
        <v>79</v>
      </c>
      <c r="Z99" t="str">
        <f>"3472506803"</f>
        <v>3472506803</v>
      </c>
      <c r="AA99" t="str">
        <f>"9273378633"</f>
        <v>9273378633</v>
      </c>
      <c r="AB99" t="str">
        <f>"9273378633"</f>
        <v>9273378633</v>
      </c>
      <c r="AC99" t="str">
        <f>"3472733067"</f>
        <v>3472733067</v>
      </c>
      <c r="AD99" t="str">
        <f>"9273378633"</f>
        <v>9273378633</v>
      </c>
      <c r="AE99" t="str">
        <f>"3472506803"</f>
        <v>3472506803</v>
      </c>
    </row>
    <row r="100" spans="1:31" x14ac:dyDescent="0.45">
      <c r="A100" t="str">
        <f>"КОНЮХОВА КСЕНИЯ АНАТОЛЬЕВНА"</f>
        <v>КОНЮХОВА КСЕНИЯ АНАТОЛЬЕВНА</v>
      </c>
      <c r="B100" t="str">
        <f>"1993-03-19"</f>
        <v>1993-03-19</v>
      </c>
      <c r="C100" t="str">
        <f>"80 18 730852"</f>
        <v>80 18 730852</v>
      </c>
      <c r="D100" t="str">
        <f>"4279011615941195"</f>
        <v>4279011615941195</v>
      </c>
      <c r="E100" t="str">
        <f t="shared" si="12"/>
        <v>2021-05-31</v>
      </c>
      <c r="F100" t="str">
        <f t="shared" si="13"/>
        <v>+</v>
      </c>
      <c r="G100" t="str">
        <f t="shared" si="13"/>
        <v>+</v>
      </c>
      <c r="H100" t="str">
        <f>"40817810916991419016"</f>
        <v>40817810916991419016</v>
      </c>
      <c r="I100" t="str">
        <f>"8598"</f>
        <v>8598</v>
      </c>
      <c r="J100" t="str">
        <f>"0196"</f>
        <v>0196</v>
      </c>
      <c r="K100" t="str">
        <f>"100000.00"</f>
        <v>100000.00</v>
      </c>
      <c r="L100" t="str">
        <f>"450000 РЕСП БАШКОРТОСТАН   Г УФА   УЛ ЛЕНИНА д. 20"</f>
        <v>450000 РЕСП БАШКОРТОСТАН   Г УФА   УЛ ЛЕНИНА д. 20</v>
      </c>
      <c r="M100" t="str">
        <f t="shared" si="11"/>
        <v>2019-08-24</v>
      </c>
      <c r="N100" t="str">
        <f>"ПАО СБЕРБАНК РОССИИ"</f>
        <v>ПАО СБЕРБАНК РОССИИ</v>
      </c>
      <c r="O100" t="str">
        <f>"450000"</f>
        <v>450000</v>
      </c>
      <c r="P100" t="str">
        <f>"РЕСП БАШКОРТОСТАН"</f>
        <v>РЕСП БАШКОРТОСТАН</v>
      </c>
      <c r="Q100" t="str">
        <f>"Р-Н БАЙМАКСКИЙ"</f>
        <v>Р-Н БАЙМАКСКИЙ</v>
      </c>
      <c r="R100" t="str">
        <f>""</f>
        <v/>
      </c>
      <c r="S100" t="str">
        <f>"С УРГАЗА"</f>
        <v>С УРГАЗА</v>
      </c>
      <c r="T100" t="str">
        <f>"УЛ ЗАРЕЧЬЕ"</f>
        <v>УЛ ЗАРЕЧЬЕ</v>
      </c>
      <c r="U100" s="1" t="str">
        <f>"35"</f>
        <v>35</v>
      </c>
      <c r="V100" s="1" t="str">
        <f>""</f>
        <v/>
      </c>
      <c r="W100" s="1" t="str">
        <f>""</f>
        <v/>
      </c>
      <c r="X100" s="1" t="str">
        <f>""</f>
        <v/>
      </c>
      <c r="Y100" s="1" t="str">
        <f>""</f>
        <v/>
      </c>
      <c r="Z100" t="str">
        <f>"3472769988"</f>
        <v>3472769988</v>
      </c>
      <c r="AA100" t="str">
        <f>"9656681568"</f>
        <v>9656681568</v>
      </c>
      <c r="AB100" t="str">
        <f>"9656681568"</f>
        <v>9656681568</v>
      </c>
      <c r="AC100" t="str">
        <f>"9656681568"</f>
        <v>9656681568</v>
      </c>
      <c r="AD100" t="str">
        <f>"9656681568"</f>
        <v>9656681568</v>
      </c>
      <c r="AE100" t="str">
        <f>"9656681568"</f>
        <v>9656681568</v>
      </c>
    </row>
    <row r="101" spans="1:31" x14ac:dyDescent="0.45">
      <c r="A101" t="str">
        <f>"КОЗЛОВА ЕВГЕНИЯ ЕВГЕНЬЕВНА"</f>
        <v>КОЗЛОВА ЕВГЕНИЯ ЕВГЕНЬЕВНА</v>
      </c>
      <c r="B101" t="str">
        <f>"1987-04-03"</f>
        <v>1987-04-03</v>
      </c>
      <c r="C101" t="str">
        <f>"65 07 312261"</f>
        <v>65 07 312261</v>
      </c>
      <c r="D101" t="str">
        <f>"4279011636636386"</f>
        <v>4279011636636386</v>
      </c>
      <c r="E101" t="str">
        <f t="shared" si="12"/>
        <v>2021-05-31</v>
      </c>
      <c r="F101" t="str">
        <f t="shared" si="13"/>
        <v>+</v>
      </c>
      <c r="G101" t="str">
        <f t="shared" si="13"/>
        <v>+</v>
      </c>
      <c r="H101" t="str">
        <f>"40817810216991419017"</f>
        <v>40817810216991419017</v>
      </c>
      <c r="I101" t="str">
        <f>"7003"</f>
        <v>7003</v>
      </c>
      <c r="J101" t="str">
        <f>"0417"</f>
        <v>0417</v>
      </c>
      <c r="K101" t="str">
        <f>"21000.00"</f>
        <v>21000.00</v>
      </c>
      <c r="L101" t="str">
        <f>"620000 ОБЛ СВЕРДЛОВСКАЯ   Г ЕКАТЕРИНБУРГ   УЛ СЫРОМОЛОТОВА д. 25"</f>
        <v>620000 ОБЛ СВЕРДЛОВСКАЯ   Г ЕКАТЕРИНБУРГ   УЛ СЫРОМОЛОТОВА д. 25</v>
      </c>
      <c r="M101" t="str">
        <f t="shared" si="11"/>
        <v>2019-08-24</v>
      </c>
      <c r="N101" t="str">
        <f>"ИП ГАСАНОВ"</f>
        <v>ИП ГАСАНОВ</v>
      </c>
      <c r="O101" t="str">
        <f>"620000"</f>
        <v>620000</v>
      </c>
      <c r="P101" t="str">
        <f>"ОБЛ СВЕРДЛОВСКАЯ"</f>
        <v>ОБЛ СВЕРДЛОВСКАЯ</v>
      </c>
      <c r="Q101" t="str">
        <f>""</f>
        <v/>
      </c>
      <c r="R101" t="str">
        <f>""</f>
        <v/>
      </c>
      <c r="S101" t="str">
        <f>"П ВЕРХНЯЯ СЫСЕРТЬ"</f>
        <v>П ВЕРХНЯЯ СЫСЕРТЬ</v>
      </c>
      <c r="T101" t="str">
        <f>"УЛ ЮБИЛЕЙНЫЙ"</f>
        <v>УЛ ЮБИЛЕЙНЫЙ</v>
      </c>
      <c r="U101" s="1" t="str">
        <f>"2"</f>
        <v>2</v>
      </c>
      <c r="V101" s="1" t="str">
        <f>""</f>
        <v/>
      </c>
      <c r="W101" s="1" t="str">
        <f>""</f>
        <v/>
      </c>
      <c r="X101" s="1" t="str">
        <f>""</f>
        <v/>
      </c>
      <c r="Y101" s="1" t="str">
        <f>"2"</f>
        <v>2</v>
      </c>
      <c r="Z101" t="str">
        <f>""</f>
        <v/>
      </c>
      <c r="AA101" t="str">
        <f>"3433740155"</f>
        <v>3433740155</v>
      </c>
      <c r="AB101" t="str">
        <f>"9222249401"</f>
        <v>9222249401</v>
      </c>
      <c r="AC101" t="str">
        <f>"9226005479"</f>
        <v>9226005479</v>
      </c>
      <c r="AD101" t="str">
        <f>"9222249401"</f>
        <v>9222249401</v>
      </c>
      <c r="AE101" t="str">
        <f>""</f>
        <v/>
      </c>
    </row>
    <row r="102" spans="1:31" x14ac:dyDescent="0.45">
      <c r="A102" t="str">
        <f>"ФАДЕЕВА СВЕТЛАНА ВЛАДИМИРОВНА"</f>
        <v>ФАДЕЕВА СВЕТЛАНА ВЛАДИМИРОВНА</v>
      </c>
      <c r="B102" t="str">
        <f>"1987-01-19"</f>
        <v>1987-01-19</v>
      </c>
      <c r="C102" t="str">
        <f>"75 15 740935"</f>
        <v>75 15 740935</v>
      </c>
      <c r="D102" t="str">
        <f>"4279011682886786"</f>
        <v>4279011682886786</v>
      </c>
      <c r="E102" t="str">
        <f t="shared" si="12"/>
        <v>2021-05-31</v>
      </c>
      <c r="F102" t="str">
        <f>"Y"</f>
        <v>Y</v>
      </c>
      <c r="G102" t="str">
        <f>"Q"</f>
        <v>Q</v>
      </c>
      <c r="H102" t="str">
        <f>"40817810516991419018"</f>
        <v>40817810516991419018</v>
      </c>
      <c r="I102" t="str">
        <f>"8597"</f>
        <v>8597</v>
      </c>
      <c r="J102" t="str">
        <f>"0534"</f>
        <v>0534</v>
      </c>
      <c r="K102" t="str">
        <f>"0.00"</f>
        <v>0.00</v>
      </c>
      <c r="L102" t="str">
        <f>"456492 ОБЛ ЧЕЛЯБИНСКАЯ Р-Н УЙСКИЙ   С ЛАРИНО УЛ ОКТЯБРЬСКАЯ д. 15"</f>
        <v>456492 ОБЛ ЧЕЛЯБИНСКАЯ Р-Н УЙСКИЙ   С ЛАРИНО УЛ ОКТЯБРЬСКАЯ д. 15</v>
      </c>
      <c r="M102" t="str">
        <f t="shared" si="11"/>
        <v>2019-08-24</v>
      </c>
      <c r="N102" t="str">
        <f>"МКОУ ЛАРИНСКАЯ СОШ"</f>
        <v>МКОУ ЛАРИНСКАЯ СОШ</v>
      </c>
      <c r="O102" t="str">
        <f>"456492"</f>
        <v>456492</v>
      </c>
      <c r="P102" t="str">
        <f>"ОБЛ ЧЕЛЯБИНСКАЯ"</f>
        <v>ОБЛ ЧЕЛЯБИНСКАЯ</v>
      </c>
      <c r="Q102" t="str">
        <f>"Р-Н УЙСКИЙ"</f>
        <v>Р-Н УЙСКИЙ</v>
      </c>
      <c r="R102" t="str">
        <f>""</f>
        <v/>
      </c>
      <c r="S102" t="str">
        <f>"С ЛАРИНО"</f>
        <v>С ЛАРИНО</v>
      </c>
      <c r="T102" t="str">
        <f>"УЛ ОКТЯБРЬСКАЯ"</f>
        <v>УЛ ОКТЯБРЬСКАЯ</v>
      </c>
      <c r="U102" s="1" t="str">
        <f>"24"</f>
        <v>24</v>
      </c>
      <c r="V102" s="1" t="str">
        <f>""</f>
        <v/>
      </c>
      <c r="W102" s="1" t="str">
        <f>""</f>
        <v/>
      </c>
      <c r="X102" s="1" t="str">
        <f>""</f>
        <v/>
      </c>
      <c r="Y102" s="1" t="str">
        <f>""</f>
        <v/>
      </c>
      <c r="Z102" t="str">
        <f>""</f>
        <v/>
      </c>
      <c r="AA102" t="str">
        <f>"9000660138"</f>
        <v>9000660138</v>
      </c>
      <c r="AB102" t="str">
        <f>"9507456485"</f>
        <v>9507456485</v>
      </c>
      <c r="AC102" t="str">
        <f>"9000660138"</f>
        <v>9000660138</v>
      </c>
      <c r="AD102" t="str">
        <f>"9507456485"</f>
        <v>9507456485</v>
      </c>
      <c r="AE102" t="str">
        <f>""</f>
        <v/>
      </c>
    </row>
    <row r="103" spans="1:31" x14ac:dyDescent="0.45">
      <c r="A103" t="str">
        <f>"ПАТРИН ДМИТРИЙ СЕРГЕЕВИЧ"</f>
        <v>ПАТРИН ДМИТРИЙ СЕРГЕЕВИЧ</v>
      </c>
      <c r="B103" t="str">
        <f>"1971-07-04"</f>
        <v>1971-07-04</v>
      </c>
      <c r="C103" t="str">
        <f>"75 16 833308"</f>
        <v>75 16 833308</v>
      </c>
      <c r="D103" t="str">
        <f>"4279011616359579"</f>
        <v>4279011616359579</v>
      </c>
      <c r="E103" t="str">
        <f t="shared" si="12"/>
        <v>2021-05-31</v>
      </c>
      <c r="F103" t="str">
        <f t="shared" ref="F103:G105" si="14">"+"</f>
        <v>+</v>
      </c>
      <c r="G103" t="str">
        <f t="shared" si="14"/>
        <v>+</v>
      </c>
      <c r="H103" t="str">
        <f>"40817810816991419019"</f>
        <v>40817810816991419019</v>
      </c>
      <c r="I103" t="str">
        <f>"8597"</f>
        <v>8597</v>
      </c>
      <c r="J103" t="str">
        <f>"0533"</f>
        <v>0533</v>
      </c>
      <c r="K103" t="str">
        <f>"150000.00"</f>
        <v>150000.00</v>
      </c>
      <c r="L103" t="str">
        <f>"456300 ОБЛ ЧЕЛЯБИНСКАЯ   Г МИАСС   ПР-КТ АВТОЗАВОДЦЕВ д. 15 корп. А"</f>
        <v>456300 ОБЛ ЧЕЛЯБИНСКАЯ   Г МИАСС   ПР-КТ АВТОЗАВОДЦЕВ д. 15 корп. А</v>
      </c>
      <c r="M103" t="str">
        <f t="shared" si="11"/>
        <v>2019-08-24</v>
      </c>
      <c r="N103" t="str">
        <f>"УПФР ГОРОДА МИАССА ЧЕЛЯБИСНКОЙ ОБЛАСТИ"</f>
        <v>УПФР ГОРОДА МИАССА ЧЕЛЯБИСНКОЙ ОБЛАСТИ</v>
      </c>
      <c r="O103" t="str">
        <f>"456320"</f>
        <v>456320</v>
      </c>
      <c r="P103" t="str">
        <f>"ОБЛ ЧЕЛЯБИНСКАЯ"</f>
        <v>ОБЛ ЧЕЛЯБИНСКАЯ</v>
      </c>
      <c r="Q103" t="str">
        <f>""</f>
        <v/>
      </c>
      <c r="R103" t="str">
        <f>"Г МИАСС"</f>
        <v>Г МИАСС</v>
      </c>
      <c r="S103" t="str">
        <f>""</f>
        <v/>
      </c>
      <c r="T103" t="str">
        <f>"ПР-КТ МАКЕЕВА"</f>
        <v>ПР-КТ МАКЕЕВА</v>
      </c>
      <c r="U103" s="1" t="str">
        <f>"19"</f>
        <v>19</v>
      </c>
      <c r="V103" s="1" t="str">
        <f>""</f>
        <v/>
      </c>
      <c r="W103" s="1" t="str">
        <f>""</f>
        <v/>
      </c>
      <c r="X103" s="1" t="str">
        <f>""</f>
        <v/>
      </c>
      <c r="Y103" s="1" t="str">
        <f>"2КОМ.14,27"</f>
        <v>2КОМ.14,27</v>
      </c>
      <c r="Z103" t="str">
        <f>""</f>
        <v/>
      </c>
      <c r="AA103" t="str">
        <f>"9517906089"</f>
        <v>9517906089</v>
      </c>
      <c r="AB103" t="str">
        <f>"9517906089"</f>
        <v>9517906089</v>
      </c>
      <c r="AC103" t="str">
        <f>"9517906089"</f>
        <v>9517906089</v>
      </c>
      <c r="AD103" t="str">
        <f>"9517906089"</f>
        <v>9517906089</v>
      </c>
      <c r="AE103" t="str">
        <f>""</f>
        <v/>
      </c>
    </row>
    <row r="104" spans="1:31" x14ac:dyDescent="0.45">
      <c r="A104" t="str">
        <f>"НУРДАВЛЕТОВ ИЛЬФАТ ИЛЬДАРОВИЧ"</f>
        <v>НУРДАВЛЕТОВ ИЛЬФАТ ИЛЬДАРОВИЧ</v>
      </c>
      <c r="B104" t="str">
        <f>"1986-05-09"</f>
        <v>1986-05-09</v>
      </c>
      <c r="C104" t="str">
        <f>"80 05 392041"</f>
        <v>80 05 392041</v>
      </c>
      <c r="D104" t="str">
        <f>"4279011616507896"</f>
        <v>4279011616507896</v>
      </c>
      <c r="E104" t="str">
        <f t="shared" si="12"/>
        <v>2021-05-31</v>
      </c>
      <c r="F104" t="str">
        <f t="shared" si="14"/>
        <v>+</v>
      </c>
      <c r="G104" t="str">
        <f t="shared" si="14"/>
        <v>+</v>
      </c>
      <c r="H104" t="str">
        <f>"40817810216991419020"</f>
        <v>40817810216991419020</v>
      </c>
      <c r="I104" t="str">
        <f>"8598"</f>
        <v>8598</v>
      </c>
      <c r="J104" t="str">
        <f>"0267"</f>
        <v>0267</v>
      </c>
      <c r="K104" t="str">
        <f>"360000.00"</f>
        <v>360000.00</v>
      </c>
      <c r="L104" t="str">
        <f>"620000 ОБЛ ТЮМЕНСКАЯ   Г СУРГУТ   УЛ ИНДУСТРИАЛЬНАЯ д. 6 корп. 2"</f>
        <v>620000 ОБЛ ТЮМЕНСКАЯ   Г СУРГУТ   УЛ ИНДУСТРИАЛЬНАЯ д. 6 корп. 2</v>
      </c>
      <c r="M104" t="str">
        <f t="shared" si="11"/>
        <v>2019-08-24</v>
      </c>
      <c r="N104" t="str">
        <f>"ООО НЕФТЬМОНТАЖ"</f>
        <v>ООО НЕФТЬМОНТАЖ</v>
      </c>
      <c r="O104" t="str">
        <f>"452550"</f>
        <v>452550</v>
      </c>
      <c r="P104" t="str">
        <f>"РЕСП БАШКОРТОСТАН"</f>
        <v>РЕСП БАШКОРТОСТАН</v>
      </c>
      <c r="Q104" t="str">
        <f>"Р-Н МЕЧЕТЛИНСКИЙ"</f>
        <v>Р-Н МЕЧЕТЛИНСКИЙ</v>
      </c>
      <c r="R104" t="str">
        <f>""</f>
        <v/>
      </c>
      <c r="S104" t="str">
        <f>"С БОЛЬШЕУСТЬИКИНСКОЕ"</f>
        <v>С БОЛЬШЕУСТЬИКИНСКОЕ</v>
      </c>
      <c r="T104" t="str">
        <f>"УЛ КРАСНОАРМЕЙСКАЯ"</f>
        <v>УЛ КРАСНОАРМЕЙСКАЯ</v>
      </c>
      <c r="U104" s="1" t="str">
        <f>"3"</f>
        <v>3</v>
      </c>
      <c r="V104" s="1" t="str">
        <f>""</f>
        <v/>
      </c>
      <c r="W104" s="1" t="str">
        <f>""</f>
        <v/>
      </c>
      <c r="X104" s="1" t="str">
        <f>""</f>
        <v/>
      </c>
      <c r="Y104" s="1" t="str">
        <f>""</f>
        <v/>
      </c>
      <c r="Z104" t="str">
        <f>""</f>
        <v/>
      </c>
      <c r="AA104" t="str">
        <f>"9227880057"</f>
        <v>9227880057</v>
      </c>
      <c r="AB104" t="str">
        <f>"9608004988"</f>
        <v>9608004988</v>
      </c>
      <c r="AC104" t="str">
        <f>"9227880057"</f>
        <v>9227880057</v>
      </c>
      <c r="AD104" t="str">
        <f>"9227880057"</f>
        <v>9227880057</v>
      </c>
      <c r="AE104" t="str">
        <f>""</f>
        <v/>
      </c>
    </row>
    <row r="105" spans="1:31" x14ac:dyDescent="0.45">
      <c r="A105" t="str">
        <f>"НИКУЛИНА ИРИНА АЛЕКСАНДРОВНА"</f>
        <v>НИКУЛИНА ИРИНА АЛЕКСАНДРОВНА</v>
      </c>
      <c r="B105" t="str">
        <f>"1982-03-30"</f>
        <v>1982-03-30</v>
      </c>
      <c r="C105" t="str">
        <f>"65 03 947090"</f>
        <v>65 03 947090</v>
      </c>
      <c r="D105" t="str">
        <f>"4279011686092670"</f>
        <v>4279011686092670</v>
      </c>
      <c r="E105" t="str">
        <f t="shared" si="12"/>
        <v>2021-05-31</v>
      </c>
      <c r="F105" t="str">
        <f t="shared" si="14"/>
        <v>+</v>
      </c>
      <c r="G105" t="str">
        <f t="shared" si="14"/>
        <v>+</v>
      </c>
      <c r="H105" t="str">
        <f>"40817810816991419022"</f>
        <v>40817810816991419022</v>
      </c>
      <c r="I105" t="str">
        <f>"7003"</f>
        <v>7003</v>
      </c>
      <c r="J105" t="str">
        <f>"0507"</f>
        <v>0507</v>
      </c>
      <c r="K105" t="str">
        <f>"20000.00"</f>
        <v>20000.00</v>
      </c>
      <c r="L105" t="str">
        <f>"620000 ОБЛ СВЕРДЛОВСКАЯ   Г АЛАПАЕВСК   УЛ 3 ИНТЕРНАЦИОНАЛА д. 2 стр. 1"</f>
        <v>620000 ОБЛ СВЕРДЛОВСКАЯ   Г АЛАПАЕВСК   УЛ 3 ИНТЕРНАЦИОНАЛА д. 2 стр. 1</v>
      </c>
      <c r="M105" t="str">
        <f t="shared" si="11"/>
        <v>2019-08-24</v>
      </c>
      <c r="N105" t="str">
        <f>"ООО АВАНГАРД"</f>
        <v>ООО АВАНГАРД</v>
      </c>
      <c r="O105" t="str">
        <f>"624603"</f>
        <v>624603</v>
      </c>
      <c r="P105" t="str">
        <f>"ОБЛ СВЕРДЛОВСКАЯ"</f>
        <v>ОБЛ СВЕРДЛОВСКАЯ</v>
      </c>
      <c r="Q105" t="str">
        <f>""</f>
        <v/>
      </c>
      <c r="R105" t="str">
        <f>"Г АЛАПАЕВСК"</f>
        <v>Г АЛАПАЕВСК</v>
      </c>
      <c r="S105" t="str">
        <f>""</f>
        <v/>
      </c>
      <c r="T105" t="str">
        <f>"УЛ ПОБЕДЫ"</f>
        <v>УЛ ПОБЕДЫ</v>
      </c>
      <c r="U105" s="1" t="str">
        <f>"35"</f>
        <v>35</v>
      </c>
      <c r="V105" s="1" t="str">
        <f>""</f>
        <v/>
      </c>
      <c r="W105" s="1" t="str">
        <f>""</f>
        <v/>
      </c>
      <c r="X105" s="1" t="str">
        <f>""</f>
        <v/>
      </c>
      <c r="Y105" s="1" t="str">
        <f>"10"</f>
        <v>10</v>
      </c>
      <c r="Z105" t="str">
        <f>""</f>
        <v/>
      </c>
      <c r="AA105" t="str">
        <f>"9827068265"</f>
        <v>9827068265</v>
      </c>
      <c r="AB105" t="str">
        <f>"9122228355"</f>
        <v>9122228355</v>
      </c>
      <c r="AC105" t="str">
        <f>"9827068265"</f>
        <v>9827068265</v>
      </c>
      <c r="AD105" t="str">
        <f>"9122228355"</f>
        <v>9122228355</v>
      </c>
      <c r="AE105" t="str">
        <f>""</f>
        <v/>
      </c>
    </row>
    <row r="106" spans="1:31" x14ac:dyDescent="0.45">
      <c r="A106" t="str">
        <f>"ХАБИРОВ РУСЛАН АЙРАТОВИЧ"</f>
        <v>ХАБИРОВ РУСЛАН АЙРАТОВИЧ</v>
      </c>
      <c r="B106" t="str">
        <f>"1992-01-17"</f>
        <v>1992-01-17</v>
      </c>
      <c r="C106" t="str">
        <f>"75 12 045285"</f>
        <v>75 12 045285</v>
      </c>
      <c r="D106" t="str">
        <f>"4279011688731879"</f>
        <v>4279011688731879</v>
      </c>
      <c r="E106" t="str">
        <f t="shared" si="12"/>
        <v>2021-05-31</v>
      </c>
      <c r="F106" t="str">
        <f>"Q"</f>
        <v>Q</v>
      </c>
      <c r="G106" t="str">
        <f>"Q"</f>
        <v>Q</v>
      </c>
      <c r="H106" t="str">
        <f>"40817810416991419024"</f>
        <v>40817810416991419024</v>
      </c>
      <c r="I106" t="str">
        <f>"7003"</f>
        <v>7003</v>
      </c>
      <c r="J106" t="str">
        <f>"0577"</f>
        <v>0577</v>
      </c>
      <c r="K106" t="str">
        <f>"0.00"</f>
        <v>0.00</v>
      </c>
      <c r="L106" t="str">
        <f>"620000 ОБЛ СВЕРДЛОВСКАЯ   Г КАМЕНСК-УРАЛЬСКИЙ   УЛ АЛЮМИНИЕВАЯ д. 47"</f>
        <v>620000 ОБЛ СВЕРДЛОВСКАЯ   Г КАМЕНСК-УРАЛЬСКИЙ   УЛ АЛЮМИНИЕВАЯ д. 47</v>
      </c>
      <c r="M106" t="str">
        <f t="shared" si="11"/>
        <v>2019-08-24</v>
      </c>
      <c r="N106" t="str">
        <f>"МАУК ТЕАТР ДРАМЫ"</f>
        <v>МАУК ТЕАТР ДРАМЫ</v>
      </c>
      <c r="O106" t="str">
        <f>"620000"</f>
        <v>620000</v>
      </c>
      <c r="P106" t="str">
        <f>"ОБЛ СВЕРДЛОВСКАЯ"</f>
        <v>ОБЛ СВЕРДЛОВСКАЯ</v>
      </c>
      <c r="Q106" t="str">
        <f>"Р-Н КАМЕНСКИЙ"</f>
        <v>Р-Н КАМЕНСКИЙ</v>
      </c>
      <c r="R106" t="str">
        <f>""</f>
        <v/>
      </c>
      <c r="S106" t="str">
        <f>"Д ЧЕРНОСКУТОВА"</f>
        <v>Д ЧЕРНОСКУТОВА</v>
      </c>
      <c r="T106" t="str">
        <f>"УЛ ЦЕНТРАЛЬНАЯ"</f>
        <v>УЛ ЦЕНТРАЛЬНАЯ</v>
      </c>
      <c r="U106" s="1" t="str">
        <f>"21"</f>
        <v>21</v>
      </c>
      <c r="V106" s="1" t="str">
        <f>""</f>
        <v/>
      </c>
      <c r="W106" s="1" t="str">
        <f>""</f>
        <v/>
      </c>
      <c r="X106" s="1" t="str">
        <f>""</f>
        <v/>
      </c>
      <c r="Y106" s="1" t="str">
        <f>""</f>
        <v/>
      </c>
      <c r="Z106" t="str">
        <f>"9961821410"</f>
        <v>9961821410</v>
      </c>
      <c r="AA106" t="str">
        <f>"9049835964"</f>
        <v>9049835964</v>
      </c>
      <c r="AB106" t="str">
        <f>"9049835964"</f>
        <v>9049835964</v>
      </c>
      <c r="AC106" t="str">
        <f>"3439396300"</f>
        <v>3439396300</v>
      </c>
      <c r="AD106" t="str">
        <f>"9049835964"</f>
        <v>9049835964</v>
      </c>
      <c r="AE106" t="str">
        <f>"9961821410"</f>
        <v>9961821410</v>
      </c>
    </row>
    <row r="107" spans="1:31" x14ac:dyDescent="0.45">
      <c r="A107" t="str">
        <f>"МАКАРОВА ЕЛИЗАВЕТА ВАЛЕРЬЕВНА"</f>
        <v>МАКАРОВА ЕЛИЗАВЕТА ВАЛЕРЬЕВНА</v>
      </c>
      <c r="B107" t="str">
        <f>"1993-10-28"</f>
        <v>1993-10-28</v>
      </c>
      <c r="C107" t="str">
        <f>"75 18 286628"</f>
        <v>75 18 286628</v>
      </c>
      <c r="D107" t="str">
        <f>"4279011660537476"</f>
        <v>4279011660537476</v>
      </c>
      <c r="E107" t="str">
        <f t="shared" si="12"/>
        <v>2021-05-31</v>
      </c>
      <c r="F107" t="str">
        <f t="shared" ref="F107:G110" si="15">"+"</f>
        <v>+</v>
      </c>
      <c r="G107" t="str">
        <f t="shared" si="15"/>
        <v>+</v>
      </c>
      <c r="H107" t="str">
        <f>"40817810116991419023"</f>
        <v>40817810116991419023</v>
      </c>
      <c r="I107" t="str">
        <f>"8597"</f>
        <v>8597</v>
      </c>
      <c r="J107" t="str">
        <f>"0118"</f>
        <v>0118</v>
      </c>
      <c r="K107" t="str">
        <f>"100000.00"</f>
        <v>100000.00</v>
      </c>
      <c r="L107" t="str">
        <f>"454000 ОБЛ ЧЕЛЯБИНСКАЯ   Г ЧЕЛЯБИНСК   УЛ ЭНТУЗИАСТОВ д. 11А"</f>
        <v>454000 ОБЛ ЧЕЛЯБИНСКАЯ   Г ЧЕЛЯБИНСК   УЛ ЭНТУЗИАСТОВ д. 11А</v>
      </c>
      <c r="M107" t="str">
        <f t="shared" si="11"/>
        <v>2019-08-24</v>
      </c>
      <c r="N107" t="str">
        <f>"ГОСПРОМ"</f>
        <v>ГОСПРОМ</v>
      </c>
      <c r="O107" t="str">
        <f>"454047"</f>
        <v>454047</v>
      </c>
      <c r="P107" t="str">
        <f>"ОБЛ ЧЕЛЯБИНСКАЯ"</f>
        <v>ОБЛ ЧЕЛЯБИНСКАЯ</v>
      </c>
      <c r="Q107" t="str">
        <f>""</f>
        <v/>
      </c>
      <c r="R107" t="str">
        <f>"Г ЧЕЛЯБИНСК"</f>
        <v>Г ЧЕЛЯБИНСК</v>
      </c>
      <c r="S107" t="str">
        <f>""</f>
        <v/>
      </c>
      <c r="T107" t="str">
        <f>"УЛ ВИШНЕГОРСКАЯ"</f>
        <v>УЛ ВИШНЕГОРСКАЯ</v>
      </c>
      <c r="U107" s="1" t="str">
        <f>"18"</f>
        <v>18</v>
      </c>
      <c r="V107" s="1" t="str">
        <f>""</f>
        <v/>
      </c>
      <c r="W107" s="1" t="str">
        <f>""</f>
        <v/>
      </c>
      <c r="X107" s="1" t="str">
        <f>""</f>
        <v/>
      </c>
      <c r="Y107" s="1" t="str">
        <f>"2"</f>
        <v>2</v>
      </c>
      <c r="Z107" t="str">
        <f>"+7 (35144) 51137"</f>
        <v>+7 (35144) 51137</v>
      </c>
      <c r="AA107" t="str">
        <f>"+7 (951) 4447546"</f>
        <v>+7 (951) 4447546</v>
      </c>
      <c r="AB107" t="str">
        <f>"+7 (951) 4447546"</f>
        <v>+7 (951) 4447546</v>
      </c>
      <c r="AC107" t="str">
        <f>"9962307492"</f>
        <v>9962307492</v>
      </c>
      <c r="AD107" t="str">
        <f>"9514447546"</f>
        <v>9514447546</v>
      </c>
      <c r="AE107" t="str">
        <f>""</f>
        <v/>
      </c>
    </row>
    <row r="108" spans="1:31" x14ac:dyDescent="0.45">
      <c r="A108" t="str">
        <f>"СУЛТАНГАРЕЕВ АРТУР АЛЬБЕРТОВИЧ"</f>
        <v>СУЛТАНГАРЕЕВ АРТУР АЛЬБЕРТОВИЧ</v>
      </c>
      <c r="B108" t="str">
        <f>"1986-04-15"</f>
        <v>1986-04-15</v>
      </c>
      <c r="C108" t="str">
        <f>"80 05 720782"</f>
        <v>80 05 720782</v>
      </c>
      <c r="D108" t="str">
        <f>"4279011694010268"</f>
        <v>4279011694010268</v>
      </c>
      <c r="E108" t="str">
        <f t="shared" si="12"/>
        <v>2021-05-31</v>
      </c>
      <c r="F108" t="str">
        <f t="shared" si="15"/>
        <v>+</v>
      </c>
      <c r="G108" t="str">
        <f t="shared" si="15"/>
        <v>+</v>
      </c>
      <c r="H108" t="str">
        <f>"40817810716991419025"</f>
        <v>40817810716991419025</v>
      </c>
      <c r="I108" t="str">
        <f>"8598"</f>
        <v>8598</v>
      </c>
      <c r="J108" t="str">
        <f>"0117"</f>
        <v>0117</v>
      </c>
      <c r="K108" t="str">
        <f>"100000.00"</f>
        <v>100000.00</v>
      </c>
      <c r="L108" t="str">
        <f>"450000 РЕСП БАШКОРТОСТАН   Г УФА   УЛ КАВКАЗСКАЯ д. 17"</f>
        <v>450000 РЕСП БАШКОРТОСТАН   Г УФА   УЛ КАВКАЗСКАЯ д. 17</v>
      </c>
      <c r="M108" t="str">
        <f t="shared" si="11"/>
        <v>2019-08-24</v>
      </c>
      <c r="N108" t="str">
        <f>"ПОЛК ППСП УМВД РОССИИ ПО Г.УФЕ"</f>
        <v>ПОЛК ППСП УМВД РОССИИ ПО Г.УФЕ</v>
      </c>
      <c r="O108" t="str">
        <f>"450000"</f>
        <v>450000</v>
      </c>
      <c r="P108" t="str">
        <f>"РЕСП БАШКОРТОСТАН"</f>
        <v>РЕСП БАШКОРТОСТАН</v>
      </c>
      <c r="Q108" t="str">
        <f>"Р-Н КАРАИДЕЛЬСКИЙ"</f>
        <v>Р-Н КАРАИДЕЛЬСКИЙ</v>
      </c>
      <c r="R108" t="str">
        <f>""</f>
        <v/>
      </c>
      <c r="S108" t="str">
        <f>"Д ЯКУПОВО"</f>
        <v>Д ЯКУПОВО</v>
      </c>
      <c r="T108" t="str">
        <f>"УЛ ДРУЖБЫ"</f>
        <v>УЛ ДРУЖБЫ</v>
      </c>
      <c r="U108" s="1" t="str">
        <f>"7"</f>
        <v>7</v>
      </c>
      <c r="V108" s="1" t="str">
        <f>""</f>
        <v/>
      </c>
      <c r="W108" s="1" t="str">
        <f>""</f>
        <v/>
      </c>
      <c r="X108" s="1" t="str">
        <f>""</f>
        <v/>
      </c>
      <c r="Y108" s="1" t="str">
        <f>""</f>
        <v/>
      </c>
      <c r="Z108" t="str">
        <f>"3472532379"</f>
        <v>3472532379</v>
      </c>
      <c r="AA108" t="str">
        <f>"3474425969"</f>
        <v>3474425969</v>
      </c>
      <c r="AB108" t="str">
        <f>"9991312577"</f>
        <v>9991312577</v>
      </c>
      <c r="AC108" t="str">
        <f>"9991312577"</f>
        <v>9991312577</v>
      </c>
      <c r="AD108" t="str">
        <f>"9991312577"</f>
        <v>9991312577</v>
      </c>
      <c r="AE108" t="str">
        <f>""</f>
        <v/>
      </c>
    </row>
    <row r="109" spans="1:31" x14ac:dyDescent="0.45">
      <c r="A109" t="str">
        <f>"РЕВА ОЛЬГА СЕРГЕЕВНА"</f>
        <v>РЕВА ОЛЬГА СЕРГЕЕВНА</v>
      </c>
      <c r="B109" t="str">
        <f>"1981-01-08"</f>
        <v>1981-01-08</v>
      </c>
      <c r="C109" t="str">
        <f>"80 01 095655"</f>
        <v>80 01 095655</v>
      </c>
      <c r="D109" t="str">
        <f>"4279011653038268"</f>
        <v>4279011653038268</v>
      </c>
      <c r="E109" t="str">
        <f t="shared" si="12"/>
        <v>2021-05-31</v>
      </c>
      <c r="F109" t="str">
        <f t="shared" si="15"/>
        <v>+</v>
      </c>
      <c r="G109" t="str">
        <f t="shared" si="15"/>
        <v>+</v>
      </c>
      <c r="H109" t="str">
        <f>"40817810016991419026"</f>
        <v>40817810016991419026</v>
      </c>
      <c r="I109" t="str">
        <f>"8598"</f>
        <v>8598</v>
      </c>
      <c r="J109" t="str">
        <f>"0373"</f>
        <v>0373</v>
      </c>
      <c r="K109" t="str">
        <f>"105000.00"</f>
        <v>105000.00</v>
      </c>
      <c r="L109" t="str">
        <f>"453100 РЕСП БАШКОРТОСТАН   Г СТЕРЛИТАМАК   УЛ РАЕВСКИЙ ТРАКТ д. 1К"</f>
        <v>453100 РЕСП БАШКОРТОСТАН   Г СТЕРЛИТАМАК   УЛ РАЕВСКИЙ ТРАКТ д. 1К</v>
      </c>
      <c r="M109" t="str">
        <f t="shared" si="11"/>
        <v>2019-08-24</v>
      </c>
      <c r="N109" t="str">
        <f>"ИП ЗИНАТУЛЛИНА И.Ф."</f>
        <v>ИП ЗИНАТУЛЛИНА И.Ф.</v>
      </c>
      <c r="O109" t="str">
        <f>"453103"</f>
        <v>453103</v>
      </c>
      <c r="P109" t="str">
        <f>"РЕСП БАШКОРТОСТАН"</f>
        <v>РЕСП БАШКОРТОСТАН</v>
      </c>
      <c r="Q109" t="str">
        <f>""</f>
        <v/>
      </c>
      <c r="R109" t="str">
        <f>"Г СТЕРЛИТАМАК"</f>
        <v>Г СТЕРЛИТАМАК</v>
      </c>
      <c r="S109" t="str">
        <f>""</f>
        <v/>
      </c>
      <c r="T109" t="str">
        <f>"УЛ ПР. ЛЕНИНА"</f>
        <v>УЛ ПР. ЛЕНИНА</v>
      </c>
      <c r="U109" s="1" t="str">
        <f>"26"</f>
        <v>26</v>
      </c>
      <c r="V109" s="1" t="str">
        <f>""</f>
        <v/>
      </c>
      <c r="W109" s="1" t="str">
        <f>""</f>
        <v/>
      </c>
      <c r="X109" s="1" t="str">
        <f>""</f>
        <v/>
      </c>
      <c r="Y109" s="1" t="str">
        <f>"63"</f>
        <v>63</v>
      </c>
      <c r="Z109" t="str">
        <f>""</f>
        <v/>
      </c>
      <c r="AA109" t="str">
        <f>"9177564344"</f>
        <v>9177564344</v>
      </c>
      <c r="AB109" t="str">
        <f>"9177564344"</f>
        <v>9177564344</v>
      </c>
      <c r="AC109" t="str">
        <f>"9177564344"</f>
        <v>9177564344</v>
      </c>
      <c r="AD109" t="str">
        <f>"9177564344"</f>
        <v>9177564344</v>
      </c>
      <c r="AE109" t="str">
        <f>""</f>
        <v/>
      </c>
    </row>
    <row r="110" spans="1:31" x14ac:dyDescent="0.45">
      <c r="A110" t="str">
        <f>"ШУБИН ВАДИМ ВАЛЕРЬЕВИЧ"</f>
        <v>ШУБИН ВАДИМ ВАЛЕРЬЕВИЧ</v>
      </c>
      <c r="B110" t="str">
        <f>"1975-08-11"</f>
        <v>1975-08-11</v>
      </c>
      <c r="C110" t="str">
        <f>"65 07 246495"</f>
        <v>65 07 246495</v>
      </c>
      <c r="D110" t="str">
        <f>"4279011639316259"</f>
        <v>4279011639316259</v>
      </c>
      <c r="E110" t="str">
        <f t="shared" si="12"/>
        <v>2021-05-31</v>
      </c>
      <c r="F110" t="str">
        <f t="shared" si="15"/>
        <v>+</v>
      </c>
      <c r="G110" t="str">
        <f t="shared" si="15"/>
        <v>+</v>
      </c>
      <c r="H110" t="str">
        <f>"40817810316991419027"</f>
        <v>40817810316991419027</v>
      </c>
      <c r="I110" t="str">
        <f>"7003"</f>
        <v>7003</v>
      </c>
      <c r="J110" t="str">
        <f>"0371"</f>
        <v>0371</v>
      </c>
      <c r="K110" t="str">
        <f>"12000.00"</f>
        <v>12000.00</v>
      </c>
      <c r="L110" t="str">
        <f>"620000 ОБЛ СВЕРДЛОВСКАЯ   Г ЕКАТЕРИНБУРГ   УЛ КРУПНОСОРТЩИКОВ д. 14"</f>
        <v>620000 ОБЛ СВЕРДЛОВСКАЯ   Г ЕКАТЕРИНБУРГ   УЛ КРУПНОСОРТЩИКОВ д. 14</v>
      </c>
      <c r="M110" t="str">
        <f t="shared" si="11"/>
        <v>2019-08-24</v>
      </c>
      <c r="N110" t="str">
        <f>"ЯНДЕКС ТАКСИ"</f>
        <v>ЯНДЕКС ТАКСИ</v>
      </c>
      <c r="O110" t="str">
        <f>"620000"</f>
        <v>620000</v>
      </c>
      <c r="P110" t="str">
        <f>"ОБЛ СВЕРДЛОВСКАЯ"</f>
        <v>ОБЛ СВЕРДЛОВСКАЯ</v>
      </c>
      <c r="Q110" t="str">
        <f>""</f>
        <v/>
      </c>
      <c r="R110" t="str">
        <f>"Г ЕКАТЕРИНБУРГ"</f>
        <v>Г ЕКАТЕРИНБУРГ</v>
      </c>
      <c r="S110" t="str">
        <f>""</f>
        <v/>
      </c>
      <c r="T110" t="str">
        <f>"УЛ ФРЕЗЕРОВЩИКОВ"</f>
        <v>УЛ ФРЕЗЕРОВЩИКОВ</v>
      </c>
      <c r="U110" s="1" t="str">
        <f>"25"</f>
        <v>25</v>
      </c>
      <c r="V110" s="1" t="str">
        <f>""</f>
        <v/>
      </c>
      <c r="W110" s="1" t="str">
        <f>"1"</f>
        <v>1</v>
      </c>
      <c r="X110" s="1" t="str">
        <f>""</f>
        <v/>
      </c>
      <c r="Y110" s="1" t="str">
        <f>"51"</f>
        <v>51</v>
      </c>
      <c r="Z110" t="str">
        <f>""</f>
        <v/>
      </c>
      <c r="AA110" t="str">
        <f>"9658301415"</f>
        <v>9658301415</v>
      </c>
      <c r="AB110" t="str">
        <f>"9030825383"</f>
        <v>9030825383</v>
      </c>
      <c r="AC110" t="str">
        <f>"9658301415"</f>
        <v>9658301415</v>
      </c>
      <c r="AD110" t="str">
        <f>"9030825383"</f>
        <v>9030825383</v>
      </c>
      <c r="AE110" t="str">
        <f>""</f>
        <v/>
      </c>
    </row>
    <row r="111" spans="1:31" x14ac:dyDescent="0.45">
      <c r="A111" t="str">
        <f>"АХЬЯМОВА ГУЛЬНАРА РАШИТОВНА"</f>
        <v>АХЬЯМОВА ГУЛЬНАРА РАШИТОВНА</v>
      </c>
      <c r="B111" t="str">
        <f>"1976-01-15"</f>
        <v>1976-01-15</v>
      </c>
      <c r="C111" t="str">
        <f>"80 03 272825"</f>
        <v>80 03 272825</v>
      </c>
      <c r="D111" t="str">
        <f>"4279011622623042"</f>
        <v>4279011622623042</v>
      </c>
      <c r="E111" t="str">
        <f t="shared" si="12"/>
        <v>2021-05-31</v>
      </c>
      <c r="F111" t="str">
        <f>"Q"</f>
        <v>Q</v>
      </c>
      <c r="G111" t="str">
        <f>"Q"</f>
        <v>Q</v>
      </c>
      <c r="H111" t="str">
        <f>"40817810616991419028"</f>
        <v>40817810616991419028</v>
      </c>
      <c r="I111" t="str">
        <f>"8598"</f>
        <v>8598</v>
      </c>
      <c r="J111" t="str">
        <f>"0183"</f>
        <v>0183</v>
      </c>
      <c r="K111" t="str">
        <f>"0.00"</f>
        <v>0.00</v>
      </c>
      <c r="L111" t="str">
        <f>"450000 РЕСП БАШКОРТОСТАН   Г УФА   УЛ АЙСКАЯ д. 45 корп. 3"</f>
        <v>450000 РЕСП БАШКОРТОСТАН   Г УФА   УЛ АЙСКАЯ д. 45 корп. 3</v>
      </c>
      <c r="M111" t="str">
        <f t="shared" si="11"/>
        <v>2019-08-24</v>
      </c>
      <c r="N111" t="str">
        <f>"ДЕТСКИЙ САД №214"</f>
        <v>ДЕТСКИЙ САД №214</v>
      </c>
      <c r="O111" t="str">
        <f>"450000"</f>
        <v>450000</v>
      </c>
      <c r="P111" t="str">
        <f>"РЕСП БАШКОРТОСТАН"</f>
        <v>РЕСП БАШКОРТОСТАН</v>
      </c>
      <c r="Q111" t="str">
        <f>""</f>
        <v/>
      </c>
      <c r="R111" t="str">
        <f>"Г УФА"</f>
        <v>Г УФА</v>
      </c>
      <c r="S111" t="str">
        <f>""</f>
        <v/>
      </c>
      <c r="T111" t="str">
        <f>"УЛ АЙСКАЯ"</f>
        <v>УЛ АЙСКАЯ</v>
      </c>
      <c r="U111" s="1" t="str">
        <f>"54"</f>
        <v>54</v>
      </c>
      <c r="V111" s="1" t="str">
        <f>""</f>
        <v/>
      </c>
      <c r="W111" s="1" t="str">
        <f>"1"</f>
        <v>1</v>
      </c>
      <c r="X111" s="1" t="str">
        <f>""</f>
        <v/>
      </c>
      <c r="Y111" s="1" t="str">
        <f>"47"</f>
        <v>47</v>
      </c>
      <c r="Z111" t="str">
        <f>"9273358560"</f>
        <v>9273358560</v>
      </c>
      <c r="AA111" t="str">
        <f>"3472286695"</f>
        <v>3472286695</v>
      </c>
      <c r="AB111" t="str">
        <f>"9273358560"</f>
        <v>9273358560</v>
      </c>
      <c r="AC111" t="str">
        <f>"3472286695"</f>
        <v>3472286695</v>
      </c>
      <c r="AD111" t="str">
        <f>"9273358560"</f>
        <v>9273358560</v>
      </c>
      <c r="AE111" t="str">
        <f>"9273358560"</f>
        <v>9273358560</v>
      </c>
    </row>
    <row r="112" spans="1:31" x14ac:dyDescent="0.45">
      <c r="A112" t="str">
        <f>"АНЮШИН АЛЕКСАНДР ВАЛЕРЬЕВИЧ"</f>
        <v>АНЮШИН АЛЕКСАНДР ВАЛЕРЬЕВИЧ</v>
      </c>
      <c r="B112" t="str">
        <f>"1990-11-01"</f>
        <v>1990-11-01</v>
      </c>
      <c r="C112" t="str">
        <f>"65 11 048532"</f>
        <v>65 11 048532</v>
      </c>
      <c r="D112" t="str">
        <f>"4279011653456635"</f>
        <v>4279011653456635</v>
      </c>
      <c r="E112" t="str">
        <f t="shared" si="12"/>
        <v>2021-05-31</v>
      </c>
      <c r="F112" t="str">
        <f t="shared" ref="F112:G115" si="16">"+"</f>
        <v>+</v>
      </c>
      <c r="G112" t="str">
        <f t="shared" si="16"/>
        <v>+</v>
      </c>
      <c r="H112" t="str">
        <f>"40817810916991419029"</f>
        <v>40817810916991419029</v>
      </c>
      <c r="I112" t="str">
        <f>"7003"</f>
        <v>7003</v>
      </c>
      <c r="J112" t="str">
        <f>"0875"</f>
        <v>0875</v>
      </c>
      <c r="K112" t="str">
        <f>"230000.00"</f>
        <v>230000.00</v>
      </c>
      <c r="L112" t="str">
        <f>"620000 ОБЛ МОСКОВСКАЯ   Г МОСКВА   ПЕР МИТИНСКИЙ д. 15"</f>
        <v>620000 ОБЛ МОСКОВСКАЯ   Г МОСКВА   ПЕР МИТИНСКИЙ д. 15</v>
      </c>
      <c r="M112" t="str">
        <f t="shared" si="11"/>
        <v>2019-08-24</v>
      </c>
      <c r="N112" t="str">
        <f>"ООО АРЛАЙТ-РУС"</f>
        <v>ООО АРЛАЙТ-РУС</v>
      </c>
      <c r="O112" t="str">
        <f>"620000"</f>
        <v>620000</v>
      </c>
      <c r="P112" t="str">
        <f>"ОБЛ СВЕРДЛОВСКАЯ"</f>
        <v>ОБЛ СВЕРДЛОВСКАЯ</v>
      </c>
      <c r="Q112" t="str">
        <f>""</f>
        <v/>
      </c>
      <c r="R112" t="str">
        <f>"Г ЕКАТЕРИНБУРГ"</f>
        <v>Г ЕКАТЕРИНБУРГ</v>
      </c>
      <c r="S112" t="str">
        <f>""</f>
        <v/>
      </c>
      <c r="T112" t="str">
        <f>"УЛ АКАДЕМИКА ШВАРЦА"</f>
        <v>УЛ АКАДЕМИКА ШВАРЦА</v>
      </c>
      <c r="U112" s="1" t="str">
        <f>"18"</f>
        <v>18</v>
      </c>
      <c r="V112" s="1" t="str">
        <f>""</f>
        <v/>
      </c>
      <c r="W112" s="1" t="str">
        <f>"1"</f>
        <v>1</v>
      </c>
      <c r="X112" s="1" t="str">
        <f>""</f>
        <v/>
      </c>
      <c r="Y112" s="1" t="str">
        <f>"79"</f>
        <v>79</v>
      </c>
      <c r="Z112" t="str">
        <f>"0000000000"</f>
        <v>0000000000</v>
      </c>
      <c r="AA112" t="str">
        <f>"9222223662"</f>
        <v>9222223662</v>
      </c>
      <c r="AB112" t="str">
        <f>"9222223662"</f>
        <v>9222223662</v>
      </c>
      <c r="AC112" t="str">
        <f>"9222223662"</f>
        <v>9222223662</v>
      </c>
      <c r="AD112" t="str">
        <f>"9222223662"</f>
        <v>9222223662</v>
      </c>
      <c r="AE112" t="str">
        <f>""</f>
        <v/>
      </c>
    </row>
    <row r="113" spans="1:31" x14ac:dyDescent="0.45">
      <c r="A113" t="str">
        <f>"КАНАЕВА ЕЛЕНА АЛЕКСАНДРОВНА"</f>
        <v>КАНАЕВА ЕЛЕНА АЛЕКСАНДРОВНА</v>
      </c>
      <c r="B113" t="str">
        <f>"1981-08-25"</f>
        <v>1981-08-25</v>
      </c>
      <c r="C113" t="str">
        <f>"75 13 302975"</f>
        <v>75 13 302975</v>
      </c>
      <c r="D113" t="str">
        <f>"4279011627901435"</f>
        <v>4279011627901435</v>
      </c>
      <c r="E113" t="str">
        <f t="shared" si="12"/>
        <v>2021-05-31</v>
      </c>
      <c r="F113" t="str">
        <f t="shared" si="16"/>
        <v>+</v>
      </c>
      <c r="G113" t="str">
        <f t="shared" si="16"/>
        <v>+</v>
      </c>
      <c r="H113" t="str">
        <f>"40817810316991419030"</f>
        <v>40817810316991419030</v>
      </c>
      <c r="I113" t="str">
        <f>"8597"</f>
        <v>8597</v>
      </c>
      <c r="J113" t="str">
        <f>"0195"</f>
        <v>0195</v>
      </c>
      <c r="K113" t="str">
        <f>"40000.00"</f>
        <v>40000.00</v>
      </c>
      <c r="L113" t="str">
        <f>"454000 ОБЛ ЧЕЛЯБИНСКАЯ   Г ЧЕЛЯБИНСК   УЛ ТАРАСОВА д. 50"</f>
        <v>454000 ОБЛ ЧЕЛЯБИНСКАЯ   Г ЧЕЛЯБИНСК   УЛ ТАРАСОВА д. 50</v>
      </c>
      <c r="M113" t="str">
        <f t="shared" si="11"/>
        <v>2019-08-24</v>
      </c>
      <c r="N113" t="str">
        <f>"ИП ГИЛЬМАНОВА О.Б."</f>
        <v>ИП ГИЛЬМАНОВА О.Б.</v>
      </c>
      <c r="O113" t="str">
        <f>"454000"</f>
        <v>454000</v>
      </c>
      <c r="P113" t="str">
        <f>"ОБЛ ЧЕЛЯБИНСКАЯ"</f>
        <v>ОБЛ ЧЕЛЯБИНСКАЯ</v>
      </c>
      <c r="Q113" t="str">
        <f>"Р-Н ЕТКУЛЬСКИЙ"</f>
        <v>Р-Н ЕТКУЛЬСКИЙ</v>
      </c>
      <c r="R113" t="str">
        <f>""</f>
        <v/>
      </c>
      <c r="S113" t="str">
        <f>"С ЕМАНЖЕЛИНКА"</f>
        <v>С ЕМАНЖЕЛИНКА</v>
      </c>
      <c r="T113" t="str">
        <f>"УЛ ДРУЖБЫ"</f>
        <v>УЛ ДРУЖБЫ</v>
      </c>
      <c r="U113" s="1" t="str">
        <f>"7"</f>
        <v>7</v>
      </c>
      <c r="V113" s="1" t="str">
        <f>""</f>
        <v/>
      </c>
      <c r="W113" s="1" t="str">
        <f>""</f>
        <v/>
      </c>
      <c r="X113" s="1" t="str">
        <f>""</f>
        <v/>
      </c>
      <c r="Y113" s="1" t="str">
        <f>""</f>
        <v/>
      </c>
      <c r="Z113" t="str">
        <f>""</f>
        <v/>
      </c>
      <c r="AA113" t="str">
        <f>"3514593629"</f>
        <v>3514593629</v>
      </c>
      <c r="AB113" t="str">
        <f>"9227586656"</f>
        <v>9227586656</v>
      </c>
      <c r="AC113" t="str">
        <f>"3514593629"</f>
        <v>3514593629</v>
      </c>
      <c r="AD113" t="str">
        <f>"9227586656"</f>
        <v>9227586656</v>
      </c>
      <c r="AE113" t="str">
        <f>""</f>
        <v/>
      </c>
    </row>
    <row r="114" spans="1:31" x14ac:dyDescent="0.45">
      <c r="A114" t="str">
        <f>"СТРЕЛКОВА ГАЛИНА АЛЕКСАНДРОВНА"</f>
        <v>СТРЕЛКОВА ГАЛИНА АЛЕКСАНДРОВНА</v>
      </c>
      <c r="B114" t="str">
        <f>"1973-12-09"</f>
        <v>1973-12-09</v>
      </c>
      <c r="C114" t="str">
        <f>"65 18 797410"</f>
        <v>65 18 797410</v>
      </c>
      <c r="D114" t="str">
        <f>"4279011671660945"</f>
        <v>4279011671660945</v>
      </c>
      <c r="E114" t="str">
        <f t="shared" si="12"/>
        <v>2021-05-31</v>
      </c>
      <c r="F114" t="str">
        <f t="shared" si="16"/>
        <v>+</v>
      </c>
      <c r="G114" t="str">
        <f t="shared" si="16"/>
        <v>+</v>
      </c>
      <c r="H114" t="str">
        <f>"40817810616991419031"</f>
        <v>40817810616991419031</v>
      </c>
      <c r="I114" t="str">
        <f>"7003"</f>
        <v>7003</v>
      </c>
      <c r="J114" t="str">
        <f>"0579"</f>
        <v>0579</v>
      </c>
      <c r="K114" t="str">
        <f>"200000.00"</f>
        <v>200000.00</v>
      </c>
      <c r="L114" t="str">
        <f>"623400 ОБЛ СВЕРДЛОВСКАЯ   Г КАМЕНСК-УРАЛЬСКИЙ   УЛ ЗАВОДСКАЯ д. 4"</f>
        <v>623400 ОБЛ СВЕРДЛОВСКАЯ   Г КАМЕНСК-УРАЛЬСКИЙ   УЛ ЗАВОДСКАЯ д. 4</v>
      </c>
      <c r="M114" t="str">
        <f t="shared" si="11"/>
        <v>2019-08-24</v>
      </c>
      <c r="N114" t="str">
        <f>"РУСАЛ УРАЛ"</f>
        <v>РУСАЛ УРАЛ</v>
      </c>
      <c r="O114" t="str">
        <f>"620000"</f>
        <v>620000</v>
      </c>
      <c r="P114" t="str">
        <f>"ОБЛ СВЕРДЛОВСКАЯ"</f>
        <v>ОБЛ СВЕРДЛОВСКАЯ</v>
      </c>
      <c r="Q114" t="str">
        <f>""</f>
        <v/>
      </c>
      <c r="R114" t="str">
        <f>"Г ЕКАТЕРИНБУРГ"</f>
        <v>Г ЕКАТЕРИНБУРГ</v>
      </c>
      <c r="S114" t="str">
        <f>""</f>
        <v/>
      </c>
      <c r="T114" t="str">
        <f>"УЛ КАМЕНСКАЯ"</f>
        <v>УЛ КАМЕНСКАЯ</v>
      </c>
      <c r="U114" s="1" t="str">
        <f>"59"</f>
        <v>59</v>
      </c>
      <c r="V114" s="1" t="str">
        <f>""</f>
        <v/>
      </c>
      <c r="W114" s="1" t="str">
        <f>""</f>
        <v/>
      </c>
      <c r="X114" s="1" t="str">
        <f>""</f>
        <v/>
      </c>
      <c r="Y114" s="1" t="str">
        <f>"42"</f>
        <v>42</v>
      </c>
      <c r="Z114" t="str">
        <f>"3439366283"</f>
        <v>3439366283</v>
      </c>
      <c r="AA114" t="str">
        <f>"9826437005"</f>
        <v>9826437005</v>
      </c>
      <c r="AB114" t="str">
        <f>"9638557208"</f>
        <v>9638557208</v>
      </c>
      <c r="AC114" t="str">
        <f>"9826437005"</f>
        <v>9826437005</v>
      </c>
      <c r="AD114" t="str">
        <f>"9638557208"</f>
        <v>9638557208</v>
      </c>
      <c r="AE114" t="str">
        <f>"3439366283"</f>
        <v>3439366283</v>
      </c>
    </row>
    <row r="115" spans="1:31" x14ac:dyDescent="0.45">
      <c r="A115" t="str">
        <f>"ТИШИНА ЕЛЕНА МИХАЙЛОВНА"</f>
        <v>ТИШИНА ЕЛЕНА МИХАЙЛОВНА</v>
      </c>
      <c r="B115" t="str">
        <f>"1962-02-09"</f>
        <v>1962-02-09</v>
      </c>
      <c r="C115" t="str">
        <f>"75 07 158195"</f>
        <v>75 07 158195</v>
      </c>
      <c r="D115" t="str">
        <f>"4279011649383141"</f>
        <v>4279011649383141</v>
      </c>
      <c r="E115" t="str">
        <f t="shared" si="12"/>
        <v>2021-05-31</v>
      </c>
      <c r="F115" t="str">
        <f t="shared" si="16"/>
        <v>+</v>
      </c>
      <c r="G115" t="str">
        <f t="shared" si="16"/>
        <v>+</v>
      </c>
      <c r="H115" t="str">
        <f>"40817810916991419032"</f>
        <v>40817810916991419032</v>
      </c>
      <c r="I115" t="str">
        <f>"8597"</f>
        <v>8597</v>
      </c>
      <c r="J115" t="str">
        <f>"0331"</f>
        <v>0331</v>
      </c>
      <c r="K115" t="str">
        <f>"200000.00"</f>
        <v>200000.00</v>
      </c>
      <c r="L115" t="str">
        <f>"454000 ОБЛ ЧЕЛЯБИНСКАЯ   Г МАГНИТОГОРСК   ПР-КТ ЛЕНИНА д. 47 офис 67"</f>
        <v>454000 ОБЛ ЧЕЛЯБИНСКАЯ   Г МАГНИТОГОРСК   ПР-КТ ЛЕНИНА д. 47 офис 67</v>
      </c>
      <c r="M115" t="str">
        <f t="shared" si="11"/>
        <v>2019-08-24</v>
      </c>
      <c r="N115" t="str">
        <f>"ООО КОНСУЛЬТАЦИОННОЕ БЮРО"</f>
        <v>ООО КОНСУЛЬТАЦИОННОЕ БЮРО</v>
      </c>
      <c r="O115" t="str">
        <f>"454000"</f>
        <v>454000</v>
      </c>
      <c r="P115" t="str">
        <f>"ОБЛ ЧЕЛЯБИНСКАЯ"</f>
        <v>ОБЛ ЧЕЛЯБИНСКАЯ</v>
      </c>
      <c r="Q115" t="str">
        <f>""</f>
        <v/>
      </c>
      <c r="R115" t="str">
        <f>"Г МАГНИТОГОРСК"</f>
        <v>Г МАГНИТОГОРСК</v>
      </c>
      <c r="S115" t="str">
        <f>""</f>
        <v/>
      </c>
      <c r="T115" t="str">
        <f>"ПР-КТ ЛЕНИНА"</f>
        <v>ПР-КТ ЛЕНИНА</v>
      </c>
      <c r="U115" s="1" t="str">
        <f>"47"</f>
        <v>47</v>
      </c>
      <c r="V115" s="1" t="str">
        <f>""</f>
        <v/>
      </c>
      <c r="W115" s="1" t="str">
        <f>""</f>
        <v/>
      </c>
      <c r="X115" s="1" t="str">
        <f>""</f>
        <v/>
      </c>
      <c r="Y115" s="1" t="str">
        <f>"70"</f>
        <v>70</v>
      </c>
      <c r="Z115" t="str">
        <f>""</f>
        <v/>
      </c>
      <c r="AA115" t="str">
        <f>"9823000900"</f>
        <v>9823000900</v>
      </c>
      <c r="AB115" t="str">
        <f>"9823000901"</f>
        <v>9823000901</v>
      </c>
      <c r="AC115" t="str">
        <f>"9823000900"</f>
        <v>9823000900</v>
      </c>
      <c r="AD115" t="str">
        <f>"9823000901"</f>
        <v>9823000901</v>
      </c>
      <c r="AE115" t="str">
        <f>""</f>
        <v/>
      </c>
    </row>
    <row r="116" spans="1:31" x14ac:dyDescent="0.45">
      <c r="A116" t="str">
        <f>"ШВАГИНА ВАЛЕНТИНА АЛЕКСАНДРОВНА"</f>
        <v>ШВАГИНА ВАЛЕНТИНА АЛЕКСАНДРОВНА</v>
      </c>
      <c r="B116" t="str">
        <f>"1961-02-25"</f>
        <v>1961-02-25</v>
      </c>
      <c r="C116" t="str">
        <f>"75 05 769208"</f>
        <v>75 05 769208</v>
      </c>
      <c r="D116" t="str">
        <f>"4279011679578537"</f>
        <v>4279011679578537</v>
      </c>
      <c r="E116" t="str">
        <f t="shared" si="12"/>
        <v>2021-05-31</v>
      </c>
      <c r="F116" t="str">
        <f>"Q"</f>
        <v>Q</v>
      </c>
      <c r="G116" t="str">
        <f>"Q"</f>
        <v>Q</v>
      </c>
      <c r="H116" t="str">
        <f>"40817810216991419033"</f>
        <v>40817810216991419033</v>
      </c>
      <c r="I116" t="str">
        <f>"8597"</f>
        <v>8597</v>
      </c>
      <c r="J116" t="str">
        <f>"0177"</f>
        <v>0177</v>
      </c>
      <c r="K116" t="str">
        <f>"0.00"</f>
        <v>0.00</v>
      </c>
      <c r="L116" t="str">
        <f>"454000 ОБЛ ЧЕЛЯБИНСКАЯ   Г ЧЕЛЯБИНСК   УЛ ТУХАЧЕВСКОГО д. 13 кв. 132"</f>
        <v>454000 ОБЛ ЧЕЛЯБИНСКАЯ   Г ЧЕЛЯБИНСК   УЛ ТУХАЧЕВСКОГО д. 13 кв. 132</v>
      </c>
      <c r="M116" t="str">
        <f t="shared" si="11"/>
        <v>2019-08-24</v>
      </c>
      <c r="N116" t="str">
        <f>"ПЕНСТОНЕР"</f>
        <v>ПЕНСТОНЕР</v>
      </c>
      <c r="O116" t="str">
        <f>"454000"</f>
        <v>454000</v>
      </c>
      <c r="P116" t="str">
        <f>"ОБЛ ЧЕЛЯБИНСКАЯ"</f>
        <v>ОБЛ ЧЕЛЯБИНСКАЯ</v>
      </c>
      <c r="Q116" t="str">
        <f>""</f>
        <v/>
      </c>
      <c r="R116" t="str">
        <f>"Г ЧЕЛЯБИНСК"</f>
        <v>Г ЧЕЛЯБИНСК</v>
      </c>
      <c r="S116" t="str">
        <f>""</f>
        <v/>
      </c>
      <c r="T116" t="str">
        <f>"УЛ ТУХАЧЕВСКОГО"</f>
        <v>УЛ ТУХАЧЕВСКОГО</v>
      </c>
      <c r="U116" s="1" t="str">
        <f>"13"</f>
        <v>13</v>
      </c>
      <c r="V116" s="1" t="str">
        <f>""</f>
        <v/>
      </c>
      <c r="W116" s="1" t="str">
        <f>""</f>
        <v/>
      </c>
      <c r="X116" s="1" t="str">
        <f>""</f>
        <v/>
      </c>
      <c r="Y116" s="1" t="str">
        <f>"132"</f>
        <v>132</v>
      </c>
      <c r="Z116" t="str">
        <f>""</f>
        <v/>
      </c>
      <c r="AA116" t="str">
        <f>"9821141977"</f>
        <v>9821141977</v>
      </c>
      <c r="AB116" t="str">
        <f>"9514841885"</f>
        <v>9514841885</v>
      </c>
      <c r="AC116" t="str">
        <f>"9821141977"</f>
        <v>9821141977</v>
      </c>
      <c r="AD116" t="str">
        <f>"9514841885"</f>
        <v>9514841885</v>
      </c>
      <c r="AE116" t="str">
        <f>""</f>
        <v/>
      </c>
    </row>
    <row r="117" spans="1:31" x14ac:dyDescent="0.45">
      <c r="A117" t="str">
        <f>"ДЕМИН ВИКТОР НИКОЛАЕВИЧ"</f>
        <v>ДЕМИН ВИКТОР НИКОЛАЕВИЧ</v>
      </c>
      <c r="B117" t="str">
        <f>"1969-09-03"</f>
        <v>1969-09-03</v>
      </c>
      <c r="C117" t="str">
        <f>"65 14 922201"</f>
        <v>65 14 922201</v>
      </c>
      <c r="D117" t="str">
        <f>"4279011669440136"</f>
        <v>4279011669440136</v>
      </c>
      <c r="E117" t="str">
        <f t="shared" si="12"/>
        <v>2021-05-31</v>
      </c>
      <c r="F117" t="str">
        <f>"+"</f>
        <v>+</v>
      </c>
      <c r="G117" t="str">
        <f>"+"</f>
        <v>+</v>
      </c>
      <c r="H117" t="str">
        <f>"40817810516991419034"</f>
        <v>40817810516991419034</v>
      </c>
      <c r="I117" t="str">
        <f>"7003"</f>
        <v>7003</v>
      </c>
      <c r="J117" t="str">
        <f>"0698"</f>
        <v>0698</v>
      </c>
      <c r="K117" t="str">
        <f>"165000.00"</f>
        <v>165000.00</v>
      </c>
      <c r="L117" t="str">
        <f>"623090 ОБЛ СВЕРДЛОВСКАЯ ОБЛАСТЬ Р-Н НИЖНЕСЕРГИНСКИЙ Г НИЖНИЕ СЕРГИ   УЛ РОЗЫ ЛЮКСЕМБУРГ д. 82"</f>
        <v>623090 ОБЛ СВЕРДЛОВСКАЯ ОБЛАСТЬ Р-Н НИЖНЕСЕРГИНСКИЙ Г НИЖНИЕ СЕРГИ   УЛ РОЗЫ ЛЮКСЕМБУРГ д. 82</v>
      </c>
      <c r="M117" t="str">
        <f t="shared" si="11"/>
        <v>2019-08-24</v>
      </c>
      <c r="N117" t="str">
        <f>"ИП ДЕМИН ВИКТОР НИКОЛАЕВИЧ"</f>
        <v>ИП ДЕМИН ВИКТОР НИКОЛАЕВИЧ</v>
      </c>
      <c r="O117" t="str">
        <f>"620000"</f>
        <v>620000</v>
      </c>
      <c r="P117" t="str">
        <f>"ОБЛ СВЕРДЛОВСКАЯ"</f>
        <v>ОБЛ СВЕРДЛОВСКАЯ</v>
      </c>
      <c r="Q117" t="str">
        <f>"Р-Н НИЖНЕСЕРГИНСКИЙ"</f>
        <v>Р-Н НИЖНЕСЕРГИНСКИЙ</v>
      </c>
      <c r="R117" t="str">
        <f>"Г НИЖНИЕ СЕРГИ"</f>
        <v>Г НИЖНИЕ СЕРГИ</v>
      </c>
      <c r="S117" t="str">
        <f>""</f>
        <v/>
      </c>
      <c r="T117" t="str">
        <f>"УЛ ФРУНЗЕ"</f>
        <v>УЛ ФРУНЗЕ</v>
      </c>
      <c r="U117" s="1" t="str">
        <f>"56"</f>
        <v>56</v>
      </c>
      <c r="V117" s="1" t="str">
        <f>""</f>
        <v/>
      </c>
      <c r="W117" s="1" t="str">
        <f>""</f>
        <v/>
      </c>
      <c r="X117" s="1" t="str">
        <f>""</f>
        <v/>
      </c>
      <c r="Y117" s="1" t="str">
        <f>""</f>
        <v/>
      </c>
      <c r="Z117" t="str">
        <f>"+7 (900) 2004681"</f>
        <v>+7 (900) 2004681</v>
      </c>
      <c r="AA117" t="str">
        <f>"+7 (34398) 21736"</f>
        <v>+7 (34398) 21736</v>
      </c>
      <c r="AB117" t="str">
        <f>"+7 (909) 0026569"</f>
        <v>+7 (909) 0026569</v>
      </c>
      <c r="AC117" t="str">
        <f>"9090026569"</f>
        <v>9090026569</v>
      </c>
      <c r="AD117" t="str">
        <f>"9090026569"</f>
        <v>9090026569</v>
      </c>
      <c r="AE117" t="str">
        <f>"9002004681"</f>
        <v>9002004681</v>
      </c>
    </row>
    <row r="118" spans="1:31" x14ac:dyDescent="0.45">
      <c r="A118" t="str">
        <f>"МОРОЗОВА ИРАИДА ПЕТРОВНА"</f>
        <v>МОРОЗОВА ИРАИДА ПЕТРОВНА</v>
      </c>
      <c r="B118" t="str">
        <f>"1963-02-28"</f>
        <v>1963-02-28</v>
      </c>
      <c r="C118" t="str">
        <f>"65 08 362469"</f>
        <v>65 08 362469</v>
      </c>
      <c r="D118" t="str">
        <f>"4279011631107326"</f>
        <v>4279011631107326</v>
      </c>
      <c r="E118" t="str">
        <f t="shared" si="12"/>
        <v>2021-05-31</v>
      </c>
      <c r="F118" t="str">
        <f>"+"</f>
        <v>+</v>
      </c>
      <c r="G118" t="str">
        <f>"+"</f>
        <v>+</v>
      </c>
      <c r="H118" t="str">
        <f>"40817810816991419035"</f>
        <v>40817810816991419035</v>
      </c>
      <c r="I118" t="str">
        <f>"7003"</f>
        <v>7003</v>
      </c>
      <c r="J118" t="str">
        <f>"0733"</f>
        <v>0733</v>
      </c>
      <c r="K118" t="str">
        <f>"42000.00"</f>
        <v>42000.00</v>
      </c>
      <c r="L118" t="str">
        <f>"620000 ОБЛ СВЕРДЛОВСКАЯ   Г НИЖНИЙ ТАГИЛ   УЛ МЕТАЛЛУРГОВ д. 1"</f>
        <v>620000 ОБЛ СВЕРДЛОВСКАЯ   Г НИЖНИЙ ТАГИЛ   УЛ МЕТАЛЛУРГОВ д. 1</v>
      </c>
      <c r="M118" t="str">
        <f t="shared" si="11"/>
        <v>2019-08-24</v>
      </c>
      <c r="N118" t="str">
        <f>"АО ЕВРАЗ НТМК"</f>
        <v>АО ЕВРАЗ НТМК</v>
      </c>
      <c r="O118" t="str">
        <f>"620000"</f>
        <v>620000</v>
      </c>
      <c r="P118" t="str">
        <f>"ОБЛ СВЕРДЛОВСКАЯ"</f>
        <v>ОБЛ СВЕРДЛОВСКАЯ</v>
      </c>
      <c r="Q118" t="str">
        <f>""</f>
        <v/>
      </c>
      <c r="R118" t="str">
        <f>"Г НИЖНИЙ ТАГИЛ"</f>
        <v>Г НИЖНИЙ ТАГИЛ</v>
      </c>
      <c r="S118" t="str">
        <f>""</f>
        <v/>
      </c>
      <c r="T118" t="str">
        <f>"УЛ ШМИДТА"</f>
        <v>УЛ ШМИДТА</v>
      </c>
      <c r="U118" s="1" t="str">
        <f>"17"</f>
        <v>17</v>
      </c>
      <c r="V118" s="1" t="str">
        <f>""</f>
        <v/>
      </c>
      <c r="W118" s="1" t="str">
        <f>""</f>
        <v/>
      </c>
      <c r="X118" s="1" t="str">
        <f>""</f>
        <v/>
      </c>
      <c r="Y118" s="1" t="str">
        <f>"8"</f>
        <v>8</v>
      </c>
      <c r="Z118" t="str">
        <f>"3435496502"</f>
        <v>3435496502</v>
      </c>
      <c r="AA118" t="str">
        <f>"9126508698"</f>
        <v>9126508698</v>
      </c>
      <c r="AB118" t="str">
        <f>"9502063323"</f>
        <v>9502063323</v>
      </c>
      <c r="AC118" t="str">
        <f>"9126508698"</f>
        <v>9126508698</v>
      </c>
      <c r="AD118" t="str">
        <f>"9502063323"</f>
        <v>9502063323</v>
      </c>
      <c r="AE118" t="str">
        <f>""</f>
        <v/>
      </c>
    </row>
    <row r="119" spans="1:31" x14ac:dyDescent="0.45">
      <c r="A119" t="str">
        <f>"ПРОКУРОВА ЕКАТЕРИНА СЕРГЕЕВНА"</f>
        <v>ПРОКУРОВА ЕКАТЕРИНА СЕРГЕЕВНА</v>
      </c>
      <c r="B119" t="str">
        <f>"1990-08-05"</f>
        <v>1990-08-05</v>
      </c>
      <c r="C119" t="str">
        <f>"65 16 307870"</f>
        <v>65 16 307870</v>
      </c>
      <c r="D119" t="str">
        <f>"4279011626415015"</f>
        <v>4279011626415015</v>
      </c>
      <c r="E119" t="str">
        <f t="shared" si="12"/>
        <v>2021-05-31</v>
      </c>
      <c r="F119" t="str">
        <f>"X"</f>
        <v>X</v>
      </c>
      <c r="G119" t="str">
        <f>"+"</f>
        <v>+</v>
      </c>
      <c r="H119" t="str">
        <f>"40817810716991419067"</f>
        <v>40817810716991419067</v>
      </c>
      <c r="I119" t="str">
        <f>"7003"</f>
        <v>7003</v>
      </c>
      <c r="J119" t="str">
        <f>"0465"</f>
        <v>0465</v>
      </c>
      <c r="K119" t="str">
        <f>"18000.00"</f>
        <v>18000.00</v>
      </c>
      <c r="L119" t="str">
        <f>"620000 ОБЛ СВЕРДЛОВСКАЯ   Г ЕКАТЕРИНБУРГ   УЛ МАЛЫШЕВА д. 128А"</f>
        <v>620000 ОБЛ СВЕРДЛОВСКАЯ   Г ЕКАТЕРИНБУРГ   УЛ МАЛЫШЕВА д. 128А</v>
      </c>
      <c r="M119" t="str">
        <f t="shared" si="11"/>
        <v>2019-08-24</v>
      </c>
      <c r="N119" t="s">
        <v>33</v>
      </c>
      <c r="O119" t="str">
        <f>"620000"</f>
        <v>620000</v>
      </c>
      <c r="P119" t="str">
        <f>"ОБЛ СВЕРДЛОВСКАЯ"</f>
        <v>ОБЛ СВЕРДЛОВСКАЯ</v>
      </c>
      <c r="Q119" t="str">
        <f>""</f>
        <v/>
      </c>
      <c r="R119" t="str">
        <f>"Г ЗАРЕЧНЫЙ"</f>
        <v>Г ЗАРЕЧНЫЙ</v>
      </c>
      <c r="S119" t="str">
        <f>""</f>
        <v/>
      </c>
      <c r="T119" t="str">
        <f>"УЛ КУРЧАТОВА"</f>
        <v>УЛ КУРЧАТОВА</v>
      </c>
      <c r="U119" s="1" t="str">
        <f>"31"</f>
        <v>31</v>
      </c>
      <c r="V119" s="1" t="str">
        <f>""</f>
        <v/>
      </c>
      <c r="W119" s="1" t="str">
        <f>"2"</f>
        <v>2</v>
      </c>
      <c r="X119" s="1" t="str">
        <f>""</f>
        <v/>
      </c>
      <c r="Y119" s="1" t="str">
        <f>"16"</f>
        <v>16</v>
      </c>
      <c r="Z119" t="str">
        <f>""</f>
        <v/>
      </c>
      <c r="AA119" t="str">
        <f>"9126677933"</f>
        <v>9126677933</v>
      </c>
      <c r="AB119" t="str">
        <f>"9126677933"</f>
        <v>9126677933</v>
      </c>
      <c r="AC119" t="str">
        <f>"9126677933"</f>
        <v>9126677933</v>
      </c>
      <c r="AD119" t="str">
        <f>"9126677933"</f>
        <v>9126677933</v>
      </c>
      <c r="AE119" t="str">
        <f>""</f>
        <v/>
      </c>
    </row>
    <row r="120" spans="1:31" x14ac:dyDescent="0.45">
      <c r="A120" t="str">
        <f>"СМИРНОВА ДАРЬЯ СЕРГЕЕВНА"</f>
        <v>СМИРНОВА ДАРЬЯ СЕРГЕЕВНА</v>
      </c>
      <c r="B120" t="str">
        <f>"1987-08-02"</f>
        <v>1987-08-02</v>
      </c>
      <c r="C120" t="str">
        <f>"75 07 105905"</f>
        <v>75 07 105905</v>
      </c>
      <c r="D120" t="str">
        <f>"4279011646471998"</f>
        <v>4279011646471998</v>
      </c>
      <c r="E120" t="str">
        <f t="shared" si="12"/>
        <v>2021-05-31</v>
      </c>
      <c r="F120" t="str">
        <f>"+"</f>
        <v>+</v>
      </c>
      <c r="G120" t="str">
        <f>"+"</f>
        <v>+</v>
      </c>
      <c r="H120" t="str">
        <f>"40817810416991419066"</f>
        <v>40817810416991419066</v>
      </c>
      <c r="I120" t="str">
        <f>"8597"</f>
        <v>8597</v>
      </c>
      <c r="J120" t="str">
        <f>"0277"</f>
        <v>0277</v>
      </c>
      <c r="K120" t="str">
        <f>"28000.00"</f>
        <v>28000.00</v>
      </c>
      <c r="L120" t="str">
        <f>"454000 ОБЛ ЧЕЛЯБИНСКАЯ   Г ЧЕЛЯБИНСК   УЛ НОВОРОССИЙСКАЯ д. 46"</f>
        <v>454000 ОБЛ ЧЕЛЯБИНСКАЯ   Г ЧЕЛЯБИНСК   УЛ НОВОРОССИЙСКАЯ д. 46</v>
      </c>
      <c r="M120" t="str">
        <f t="shared" si="11"/>
        <v>2019-08-24</v>
      </c>
      <c r="N120" t="str">
        <f>"ЧЕЛЯБИНСКИЙ ЗАВОД МЕТАЛЛОКОНСТРУКЦИЙ"</f>
        <v>ЧЕЛЯБИНСКИЙ ЗАВОД МЕТАЛЛОКОНСТРУКЦИЙ</v>
      </c>
      <c r="O120" t="str">
        <f>"454000"</f>
        <v>454000</v>
      </c>
      <c r="P120" t="str">
        <f>"ОБЛ ЧЕЛЯБИНСКАЯ"</f>
        <v>ОБЛ ЧЕЛЯБИНСКАЯ</v>
      </c>
      <c r="Q120" t="str">
        <f>""</f>
        <v/>
      </c>
      <c r="R120" t="str">
        <f>"Г СНЕЖИНСК"</f>
        <v>Г СНЕЖИНСК</v>
      </c>
      <c r="S120" t="str">
        <f>""</f>
        <v/>
      </c>
      <c r="T120" t="str">
        <f>"УЛ ЛОМИНСКОГО"</f>
        <v>УЛ ЛОМИНСКОГО</v>
      </c>
      <c r="U120" s="1" t="str">
        <f>"5"</f>
        <v>5</v>
      </c>
      <c r="V120" s="1" t="str">
        <f>""</f>
        <v/>
      </c>
      <c r="W120" s="1" t="str">
        <f>""</f>
        <v/>
      </c>
      <c r="X120" s="1" t="str">
        <f>""</f>
        <v/>
      </c>
      <c r="Y120" s="1" t="str">
        <f>"71"</f>
        <v>71</v>
      </c>
      <c r="Z120" t="str">
        <f>"3514637064"</f>
        <v>3514637064</v>
      </c>
      <c r="AA120" t="str">
        <f>"3514670737"</f>
        <v>3514670737</v>
      </c>
      <c r="AB120" t="str">
        <f>"9220136007"</f>
        <v>9220136007</v>
      </c>
      <c r="AC120" t="str">
        <f>"3517309093"</f>
        <v>3517309093</v>
      </c>
      <c r="AD120" t="str">
        <f>"9220136007"</f>
        <v>9220136007</v>
      </c>
      <c r="AE120" t="str">
        <f>"9220136007"</f>
        <v>9220136007</v>
      </c>
    </row>
    <row r="121" spans="1:31" x14ac:dyDescent="0.45">
      <c r="A121" t="str">
        <f>"ГУДИН СЕРГЕЙ ЮРЬЕВИЧ"</f>
        <v>ГУДИН СЕРГЕЙ ЮРЬЕВИЧ</v>
      </c>
      <c r="B121" t="str">
        <f>"1983-11-02"</f>
        <v>1983-11-02</v>
      </c>
      <c r="C121" t="str">
        <f>"74 03 453723"</f>
        <v>74 03 453723</v>
      </c>
      <c r="D121" t="str">
        <f>"5484016706410560"</f>
        <v>5484016706410560</v>
      </c>
      <c r="E121" t="str">
        <f>"2021-06-30"</f>
        <v>2021-06-30</v>
      </c>
      <c r="F121" t="str">
        <f>"+"</f>
        <v>+</v>
      </c>
      <c r="G121" t="str">
        <f>"+"</f>
        <v>+</v>
      </c>
      <c r="H121" t="str">
        <f>"40817810416992401811"</f>
        <v>40817810416992401811</v>
      </c>
      <c r="I121" t="str">
        <f>"8369"</f>
        <v>8369</v>
      </c>
      <c r="J121" t="str">
        <f>"7771"</f>
        <v>7771</v>
      </c>
      <c r="K121" t="str">
        <f>"200000.00"</f>
        <v>200000.00</v>
      </c>
      <c r="L121" t="str">
        <f>"629000 ОБЛ ТЮМЕНСКАЯ АО ЯМАЛО-НЕНЕЦКИЙ Г НОЯБРЬСК   УЛ ЛЕНИНА д. 59"</f>
        <v>629000 ОБЛ ТЮМЕНСКАЯ АО ЯМАЛО-НЕНЕЦКИЙ Г НОЯБРЬСК   УЛ ЛЕНИНА д. 59</v>
      </c>
      <c r="M121" t="str">
        <f t="shared" si="11"/>
        <v>2019-08-24</v>
      </c>
      <c r="N121" t="str">
        <f>"АО ГПН-ННГ"</f>
        <v>АО ГПН-ННГ</v>
      </c>
      <c r="O121" t="str">
        <f>"629000"</f>
        <v>629000</v>
      </c>
      <c r="P121" t="str">
        <f>"ОБЛ ТЮМЕНСКАЯ"</f>
        <v>ОБЛ ТЮМЕНСКАЯ</v>
      </c>
      <c r="Q121" t="str">
        <f>"АО ЯМАЛО-НЕНЕЦКИЙ"</f>
        <v>АО ЯМАЛО-НЕНЕЦКИЙ</v>
      </c>
      <c r="R121" t="str">
        <f>"Г НОЯБРЬСК"</f>
        <v>Г НОЯБРЬСК</v>
      </c>
      <c r="S121" t="str">
        <f>""</f>
        <v/>
      </c>
      <c r="T121" t="str">
        <f>"УЛ СОВЕТСКАЯ"</f>
        <v>УЛ СОВЕТСКАЯ</v>
      </c>
      <c r="U121" s="1" t="str">
        <f>"85/82"</f>
        <v>85/82</v>
      </c>
      <c r="V121" s="1" t="str">
        <f>""</f>
        <v/>
      </c>
      <c r="W121" s="1" t="str">
        <f>""</f>
        <v/>
      </c>
      <c r="X121" s="1" t="str">
        <f>""</f>
        <v/>
      </c>
      <c r="Y121" s="1" t="str">
        <f>"69"</f>
        <v>69</v>
      </c>
      <c r="Z121" t="str">
        <f>"3496370416"</f>
        <v>3496370416</v>
      </c>
      <c r="AA121" t="str">
        <f>"9320505000"</f>
        <v>9320505000</v>
      </c>
      <c r="AB121" t="str">
        <f>"9320505000"</f>
        <v>9320505000</v>
      </c>
      <c r="AC121" t="str">
        <f>"9320505000"</f>
        <v>9320505000</v>
      </c>
      <c r="AD121" t="str">
        <f>"9320505000"</f>
        <v>9320505000</v>
      </c>
      <c r="AE121" t="str">
        <f>"3496370416"</f>
        <v>3496370416</v>
      </c>
    </row>
    <row r="122" spans="1:31" x14ac:dyDescent="0.45">
      <c r="A122" t="str">
        <f>"ХАЙРТДИНОВА ЭЛЬЗА ГАБТЕЛЬЗЯНОВНА"</f>
        <v>ХАЙРТДИНОВА ЭЛЬЗА ГАБТЕЛЬЗЯНОВНА</v>
      </c>
      <c r="B122" t="str">
        <f>"1967-05-02"</f>
        <v>1967-05-02</v>
      </c>
      <c r="C122" t="str">
        <f>"74 11 786320"</f>
        <v>74 11 786320</v>
      </c>
      <c r="D122" t="str">
        <f>"5484016708257993"</f>
        <v>5484016708257993</v>
      </c>
      <c r="E122" t="str">
        <f>"2021-06-30"</f>
        <v>2021-06-30</v>
      </c>
      <c r="F122" t="str">
        <f>"Q"</f>
        <v>Q</v>
      </c>
      <c r="G122" t="str">
        <f>"Q"</f>
        <v>Q</v>
      </c>
      <c r="H122" t="str">
        <f>"40817810016992401855"</f>
        <v>40817810016992401855</v>
      </c>
      <c r="I122" t="str">
        <f>"8369"</f>
        <v>8369</v>
      </c>
      <c r="J122" t="str">
        <f>"7771"</f>
        <v>7771</v>
      </c>
      <c r="K122" t="str">
        <f>"0.00"</f>
        <v>0.00</v>
      </c>
      <c r="L122" t="str">
        <f>"629800 АО ЯМАЛО-НЕНЕЦКИЙ   Г НОЯБРЬСК   УЛ 60 ЛЕТ СССР д. 29А"</f>
        <v>629800 АО ЯМАЛО-НЕНЕЦКИЙ   Г НОЯБРЬСК   УЛ 60 ЛЕТ СССР д. 29А</v>
      </c>
      <c r="M122" t="str">
        <f t="shared" si="11"/>
        <v>2019-08-24</v>
      </c>
      <c r="N122" t="str">
        <f>"МАУ ФОКЗ"</f>
        <v>МАУ ФОКЗ</v>
      </c>
      <c r="O122" t="str">
        <f>"629800"</f>
        <v>629800</v>
      </c>
      <c r="P122" t="str">
        <f>"ОБЛ ТЮМЕНСКАЯ"</f>
        <v>ОБЛ ТЮМЕНСКАЯ</v>
      </c>
      <c r="Q122" t="str">
        <f>"АО ЯМАЛО-НЕНЕЦКИЙ"</f>
        <v>АО ЯМАЛО-НЕНЕЦКИЙ</v>
      </c>
      <c r="R122" t="str">
        <f>"Г НОЯБРЬСК"</f>
        <v>Г НОЯБРЬСК</v>
      </c>
      <c r="S122" t="str">
        <f>""</f>
        <v/>
      </c>
      <c r="T122" t="str">
        <f>"ПР-КТ МИРА"</f>
        <v>ПР-КТ МИРА</v>
      </c>
      <c r="U122" s="1" t="str">
        <f>"7"</f>
        <v>7</v>
      </c>
      <c r="V122" s="1" t="str">
        <f>""</f>
        <v/>
      </c>
      <c r="W122" s="1" t="str">
        <f>""</f>
        <v/>
      </c>
      <c r="X122" s="1" t="str">
        <f>""</f>
        <v/>
      </c>
      <c r="Y122" s="1" t="str">
        <f>"6"</f>
        <v>6</v>
      </c>
      <c r="Z122" t="str">
        <f>"3496421652"</f>
        <v>3496421652</v>
      </c>
      <c r="AA122" t="str">
        <f>"9195554470"</f>
        <v>9195554470</v>
      </c>
      <c r="AB122" t="str">
        <f>"9195554470"</f>
        <v>9195554470</v>
      </c>
      <c r="AC122" t="str">
        <f>"9195554470"</f>
        <v>9195554470</v>
      </c>
      <c r="AD122" t="str">
        <f>"9195554470"</f>
        <v>9195554470</v>
      </c>
      <c r="AE122" t="str">
        <f>"3496421652"</f>
        <v>3496421652</v>
      </c>
    </row>
    <row r="123" spans="1:31" x14ac:dyDescent="0.45">
      <c r="A123" t="str">
        <f>"ХИЗБУЛЛИН ИЛЬФАТ САЛАВАТОВИЧ"</f>
        <v>ХИЗБУЛЛИН ИЛЬФАТ САЛАВАТОВИЧ</v>
      </c>
      <c r="B123" t="str">
        <f>"1969-11-19"</f>
        <v>1969-11-19</v>
      </c>
      <c r="C123" t="str">
        <f>"75 13 416284"</f>
        <v>75 13 416284</v>
      </c>
      <c r="D123" t="str">
        <f>"4276011625058363"</f>
        <v>4276011625058363</v>
      </c>
      <c r="E123" t="str">
        <f>"2021-06-30"</f>
        <v>2021-06-30</v>
      </c>
      <c r="F123" t="str">
        <f>"+"</f>
        <v>+</v>
      </c>
      <c r="G123" t="str">
        <f>"+"</f>
        <v>+</v>
      </c>
      <c r="H123" t="str">
        <f>"40817810516991443356"</f>
        <v>40817810516991443356</v>
      </c>
      <c r="I123" t="str">
        <f>"8597"</f>
        <v>8597</v>
      </c>
      <c r="J123" t="str">
        <f>"0424"</f>
        <v>0424</v>
      </c>
      <c r="K123" t="str">
        <f>"20000.00"</f>
        <v>20000.00</v>
      </c>
      <c r="L123" t="str">
        <f>"454000 ОБЛ ЧЕЛЯБИНСКАЯ   Г ВЕРХНИЙУФАЛЕЙ   УЛ 000 д. 0"</f>
        <v>454000 ОБЛ ЧЕЛЯБИНСКАЯ   Г ВЕРХНИЙУФАЛЕЙ   УЛ 000 д. 0</v>
      </c>
      <c r="M123" t="str">
        <f t="shared" si="11"/>
        <v>2019-08-24</v>
      </c>
      <c r="N123" t="str">
        <f>"ООО ГОРКОМХОЗ"</f>
        <v>ООО ГОРКОМХОЗ</v>
      </c>
      <c r="O123" t="str">
        <f>"454000"</f>
        <v>454000</v>
      </c>
      <c r="P123" t="str">
        <f>"ОБЛ ЧЕЛЯБИНСКАЯ"</f>
        <v>ОБЛ ЧЕЛЯБИНСКАЯ</v>
      </c>
      <c r="Q123" t="str">
        <f>""</f>
        <v/>
      </c>
      <c r="R123" t="str">
        <f>"Г ВЕРХНИЙ УФАЛЕЙ"</f>
        <v>Г ВЕРХНИЙ УФАЛЕЙ</v>
      </c>
      <c r="S123" t="str">
        <f>""</f>
        <v/>
      </c>
      <c r="T123" t="str">
        <f>"УЛ МЫЖЕВСКАЯ"</f>
        <v>УЛ МЫЖЕВСКАЯ</v>
      </c>
      <c r="U123" s="1" t="str">
        <f>"34"</f>
        <v>34</v>
      </c>
      <c r="V123" s="1" t="str">
        <f>""</f>
        <v/>
      </c>
      <c r="W123" s="1" t="str">
        <f>""</f>
        <v/>
      </c>
      <c r="X123" s="1" t="str">
        <f>""</f>
        <v/>
      </c>
      <c r="Y123" s="1" t="str">
        <f>""</f>
        <v/>
      </c>
      <c r="Z123" t="str">
        <f>""</f>
        <v/>
      </c>
      <c r="AA123" t="str">
        <f>"9292070981"</f>
        <v>9292070981</v>
      </c>
      <c r="AB123" t="str">
        <f>"9227536376"</f>
        <v>9227536376</v>
      </c>
      <c r="AC123" t="str">
        <f>"9292070981"</f>
        <v>9292070981</v>
      </c>
      <c r="AD123" t="str">
        <f>"9227536376"</f>
        <v>9227536376</v>
      </c>
      <c r="AE123" t="str">
        <f>""</f>
        <v/>
      </c>
    </row>
    <row r="124" spans="1:31" x14ac:dyDescent="0.45">
      <c r="A124" t="str">
        <f>"ХУДЯКОВА ЕЛЕНА АЛЕКСАНДРОВНА"</f>
        <v>ХУДЯКОВА ЕЛЕНА АЛЕКСАНДРОВНА</v>
      </c>
      <c r="B124" t="str">
        <f>"1966-06-25"</f>
        <v>1966-06-25</v>
      </c>
      <c r="C124" t="str">
        <f>"75 13 415929"</f>
        <v>75 13 415929</v>
      </c>
      <c r="D124" t="str">
        <f>"4276011647228523"</f>
        <v>4276011647228523</v>
      </c>
      <c r="E124" t="str">
        <f>"2021-06-30"</f>
        <v>2021-06-30</v>
      </c>
      <c r="F124" t="str">
        <f>"U"</f>
        <v>U</v>
      </c>
      <c r="G124" t="str">
        <f>"W"</f>
        <v>W</v>
      </c>
      <c r="H124" t="str">
        <f>"40817810816991443357"</f>
        <v>40817810816991443357</v>
      </c>
      <c r="I124" t="str">
        <f>"8597"</f>
        <v>8597</v>
      </c>
      <c r="J124" t="str">
        <f>"0424"</f>
        <v>0424</v>
      </c>
      <c r="K124" t="str">
        <f>"12000.00"</f>
        <v>12000.00</v>
      </c>
      <c r="L124" t="str">
        <f>"454000 ОБЛ ЧЕЛЯБИНСКАЯ   Г ВЕРХНИЙ УФАЛЕЙ   УЛ КАСЛИНСКАЯ д. 3"</f>
        <v>454000 ОБЛ ЧЕЛЯБИНСКАЯ   Г ВЕРХНИЙ УФАЛЕЙ   УЛ КАСЛИНСКАЯ д. 3</v>
      </c>
      <c r="M124" t="str">
        <f t="shared" si="11"/>
        <v>2019-08-24</v>
      </c>
      <c r="N124" t="str">
        <f>"ООО ГОРКОМХОЗ"</f>
        <v>ООО ГОРКОМХОЗ</v>
      </c>
      <c r="O124" t="str">
        <f>"454000"</f>
        <v>454000</v>
      </c>
      <c r="P124" t="str">
        <f>"ОБЛ ЧЕЛЯБИНСКАЯ"</f>
        <v>ОБЛ ЧЕЛЯБИНСКАЯ</v>
      </c>
      <c r="Q124" t="str">
        <f>""</f>
        <v/>
      </c>
      <c r="R124" t="str">
        <f>""</f>
        <v/>
      </c>
      <c r="S124" t="str">
        <f>"Г ВЕРХНИЙ УФАЛЕЙ"</f>
        <v>Г ВЕРХНИЙ УФАЛЕЙ</v>
      </c>
      <c r="T124" t="str">
        <f>"УЛ СТРОИТЕЛЕЙ"</f>
        <v>УЛ СТРОИТЕЛЕЙ</v>
      </c>
      <c r="U124" s="1" t="str">
        <f>"19"</f>
        <v>19</v>
      </c>
      <c r="V124" s="1" t="str">
        <f>""</f>
        <v/>
      </c>
      <c r="W124" s="1" t="str">
        <f>""</f>
        <v/>
      </c>
      <c r="X124" s="1" t="str">
        <f>""</f>
        <v/>
      </c>
      <c r="Y124" s="1" t="str">
        <f>"12"</f>
        <v>12</v>
      </c>
      <c r="Z124" t="str">
        <f>"9048003364"</f>
        <v>9048003364</v>
      </c>
      <c r="AA124" t="str">
        <f>"9026031192"</f>
        <v>9026031192</v>
      </c>
      <c r="AB124" t="str">
        <f>"9026031192"</f>
        <v>9026031192</v>
      </c>
      <c r="AC124" t="str">
        <f>"9026031192"</f>
        <v>9026031192</v>
      </c>
      <c r="AD124" t="str">
        <f>"9026031192"</f>
        <v>9026031192</v>
      </c>
      <c r="AE124" t="str">
        <f>""</f>
        <v/>
      </c>
    </row>
    <row r="125" spans="1:31" x14ac:dyDescent="0.45">
      <c r="A125" t="str">
        <f>"СМАГИНА АННА СЕРГЕЕВНА"</f>
        <v>СМАГИНА АННА СЕРГЕЕВНА</v>
      </c>
      <c r="B125" t="str">
        <f>"1988-09-16"</f>
        <v>1988-09-16</v>
      </c>
      <c r="C125" t="str">
        <f>"80 15 052783"</f>
        <v>80 15 052783</v>
      </c>
      <c r="D125" t="str">
        <f>"4279011649163311"</f>
        <v>4279011649163311</v>
      </c>
      <c r="E125" t="str">
        <f t="shared" ref="E125:E152" si="17">"2021-05-31"</f>
        <v>2021-05-31</v>
      </c>
      <c r="F125" t="str">
        <f t="shared" ref="F125:G139" si="18">"+"</f>
        <v>+</v>
      </c>
      <c r="G125" t="str">
        <f t="shared" si="18"/>
        <v>+</v>
      </c>
      <c r="H125" t="str">
        <f>"40817810116991419036"</f>
        <v>40817810116991419036</v>
      </c>
      <c r="I125" t="str">
        <f>"8598"</f>
        <v>8598</v>
      </c>
      <c r="J125" t="str">
        <f>"0180"</f>
        <v>0180</v>
      </c>
      <c r="K125" t="str">
        <f>"100000.00"</f>
        <v>100000.00</v>
      </c>
      <c r="L125" t="str">
        <f>"450000 РЕСП БАШКОРТОСТАН   Г УФА   ПР-КТ САЛАВАТА ЮЛАЕВА д. 26"</f>
        <v>450000 РЕСП БАШКОРТОСТАН   Г УФА   ПР-КТ САЛАВАТА ЮЛАЕВА д. 26</v>
      </c>
      <c r="M125" t="str">
        <f t="shared" si="11"/>
        <v>2019-08-24</v>
      </c>
      <c r="N125" t="str">
        <f>"ТОЙОТА МОТОР ХОЛДИНГ"</f>
        <v>ТОЙОТА МОТОР ХОЛДИНГ</v>
      </c>
      <c r="O125" t="str">
        <f>"450000"</f>
        <v>450000</v>
      </c>
      <c r="P125" t="str">
        <f>"РЕСП БАШКОРТОСТАН"</f>
        <v>РЕСП БАШКОРТОСТАН</v>
      </c>
      <c r="Q125" t="str">
        <f>""</f>
        <v/>
      </c>
      <c r="R125" t="str">
        <f>"Г УФА"</f>
        <v>Г УФА</v>
      </c>
      <c r="S125" t="str">
        <f>""</f>
        <v/>
      </c>
      <c r="T125" t="str">
        <f>"УЛ РАЙОННАЯ"</f>
        <v>УЛ РАЙОННАЯ</v>
      </c>
      <c r="U125" s="1" t="str">
        <f>"140"</f>
        <v>140</v>
      </c>
      <c r="V125" s="1" t="str">
        <f>""</f>
        <v/>
      </c>
      <c r="W125" s="1" t="str">
        <f>"А"</f>
        <v>А</v>
      </c>
      <c r="X125" s="1" t="str">
        <f>""</f>
        <v/>
      </c>
      <c r="Y125" s="1" t="str">
        <f>""</f>
        <v/>
      </c>
      <c r="Z125" t="str">
        <f>""</f>
        <v/>
      </c>
      <c r="AA125" t="str">
        <f>"9177878757"</f>
        <v>9177878757</v>
      </c>
      <c r="AB125" t="str">
        <f>"9177878757"</f>
        <v>9177878757</v>
      </c>
      <c r="AC125" t="str">
        <f>"9177878757"</f>
        <v>9177878757</v>
      </c>
      <c r="AD125" t="str">
        <f>"9177878757"</f>
        <v>9177878757</v>
      </c>
      <c r="AE125" t="str">
        <f>""</f>
        <v/>
      </c>
    </row>
    <row r="126" spans="1:31" x14ac:dyDescent="0.45">
      <c r="A126" t="str">
        <f>"ФАЙЗУЛИНА АНАСТАСИЯ СЕРГЕЕВНА"</f>
        <v>ФАЙЗУЛИНА АНАСТАСИЯ СЕРГЕЕВНА</v>
      </c>
      <c r="B126" t="str">
        <f>"1989-03-28"</f>
        <v>1989-03-28</v>
      </c>
      <c r="C126" t="str">
        <f>"37 17 719208"</f>
        <v>37 17 719208</v>
      </c>
      <c r="D126" t="str">
        <f>"5469011605021997"</f>
        <v>5469011605021997</v>
      </c>
      <c r="E126" t="str">
        <f t="shared" si="17"/>
        <v>2021-05-31</v>
      </c>
      <c r="F126" t="str">
        <f t="shared" si="18"/>
        <v>+</v>
      </c>
      <c r="G126" t="str">
        <f t="shared" si="18"/>
        <v>+</v>
      </c>
      <c r="H126" t="str">
        <f>"40817810016991419039"</f>
        <v>40817810016991419039</v>
      </c>
      <c r="I126" t="str">
        <f>"8599"</f>
        <v>8599</v>
      </c>
      <c r="J126" t="str">
        <f>"0001"</f>
        <v>0001</v>
      </c>
      <c r="K126" t="str">
        <f>"125000.00"</f>
        <v>125000.00</v>
      </c>
      <c r="L126" t="str">
        <f>"640000 ОБЛ КУРГАНСКАЯ   Г КУРГАН   УЛ НЕВЕЖИНА д. 18"</f>
        <v>640000 ОБЛ КУРГАНСКАЯ   Г КУРГАН   УЛ НЕВЕЖИНА д. 18</v>
      </c>
      <c r="M126" t="str">
        <f t="shared" si="11"/>
        <v>2019-08-24</v>
      </c>
      <c r="N126" t="str">
        <f>"КАРАЕВА ТАМАРА НИКОЛАЕВНА"</f>
        <v>КАРАЕВА ТАМАРА НИКОЛАЕВНА</v>
      </c>
      <c r="O126" t="str">
        <f>"640000"</f>
        <v>640000</v>
      </c>
      <c r="P126" t="str">
        <f>"ОБЛ КУРГАНСКАЯ"</f>
        <v>ОБЛ КУРГАНСКАЯ</v>
      </c>
      <c r="Q126" t="str">
        <f>"Р-Н КАРГАПОЛЬСКИЙ"</f>
        <v>Р-Н КАРГАПОЛЬСКИЙ</v>
      </c>
      <c r="R126" t="str">
        <f>""</f>
        <v/>
      </c>
      <c r="S126" t="str">
        <f>"С ДОЛГОВСКОЕ"</f>
        <v>С ДОЛГОВСКОЕ</v>
      </c>
      <c r="T126" t="str">
        <f>"УЛ УЛ МЕЛИОРАТОРОВ"</f>
        <v>УЛ УЛ МЕЛИОРАТОРОВ</v>
      </c>
      <c r="U126" s="1" t="str">
        <f>"13"</f>
        <v>13</v>
      </c>
      <c r="V126" s="1" t="str">
        <f>""</f>
        <v/>
      </c>
      <c r="W126" s="1" t="str">
        <f>""</f>
        <v/>
      </c>
      <c r="X126" s="1" t="str">
        <f>""</f>
        <v/>
      </c>
      <c r="Y126" s="1" t="str">
        <f>""</f>
        <v/>
      </c>
      <c r="Z126" t="str">
        <f>""</f>
        <v/>
      </c>
      <c r="AA126" t="str">
        <f>"9091464999"</f>
        <v>9091464999</v>
      </c>
      <c r="AB126" t="str">
        <f>"9091464999"</f>
        <v>9091464999</v>
      </c>
      <c r="AC126" t="str">
        <f>""</f>
        <v/>
      </c>
      <c r="AD126" t="str">
        <f>"9091464999"</f>
        <v>9091464999</v>
      </c>
      <c r="AE126" t="str">
        <f>""</f>
        <v/>
      </c>
    </row>
    <row r="127" spans="1:31" x14ac:dyDescent="0.45">
      <c r="A127" t="str">
        <f>"СУВОРКОВА НАТАЛЬЯ ВЛАДИМИРОВНА"</f>
        <v>СУВОРКОВА НАТАЛЬЯ ВЛАДИМИРОВНА</v>
      </c>
      <c r="B127" t="str">
        <f>"1975-10-12"</f>
        <v>1975-10-12</v>
      </c>
      <c r="C127" t="str">
        <f>"65 03 054833"</f>
        <v>65 03 054833</v>
      </c>
      <c r="D127" t="str">
        <f>"4279011690553709"</f>
        <v>4279011690553709</v>
      </c>
      <c r="E127" t="str">
        <f t="shared" si="17"/>
        <v>2021-05-31</v>
      </c>
      <c r="F127" t="str">
        <f t="shared" si="18"/>
        <v>+</v>
      </c>
      <c r="G127" t="str">
        <f t="shared" si="18"/>
        <v>+</v>
      </c>
      <c r="H127" t="str">
        <f>"40817810716991419038"</f>
        <v>40817810716991419038</v>
      </c>
      <c r="I127" t="str">
        <f>"7003"</f>
        <v>7003</v>
      </c>
      <c r="J127" t="str">
        <f>"0570"</f>
        <v>0570</v>
      </c>
      <c r="K127" t="str">
        <f>"400000.00"</f>
        <v>400000.00</v>
      </c>
      <c r="L127" t="str">
        <f>"623400 ОБЛ СВЕРДЛОВСКАЯ   Г КАМЕНСК-УРАЛЬСКИЙ   УЛ ТЕВОСЯНА д. 1"</f>
        <v>623400 ОБЛ СВЕРДЛОВСКАЯ   Г КАМЕНСК-УРАЛЬСКИЙ   УЛ ТЕВОСЯНА д. 1</v>
      </c>
      <c r="M127" t="str">
        <f t="shared" si="11"/>
        <v>2019-08-24</v>
      </c>
      <c r="N127" t="str">
        <f>"ФИНАНСОВО-БЮДЖЕТНОЕ УПРАВЛЕНИЕ ГОРОДА КАМЕНСКА-УРАЛЬСКОГО"</f>
        <v>ФИНАНСОВО-БЮДЖЕТНОЕ УПРАВЛЕНИЕ ГОРОДА КАМЕНСКА-УРАЛЬСКОГО</v>
      </c>
      <c r="O127" t="str">
        <f>"623400"</f>
        <v>623400</v>
      </c>
      <c r="P127" t="str">
        <f>"ОБЛ СВЕРДЛОВСКАЯ"</f>
        <v>ОБЛ СВЕРДЛОВСКАЯ</v>
      </c>
      <c r="Q127" t="str">
        <f>""</f>
        <v/>
      </c>
      <c r="R127" t="str">
        <f>"Г КАМЕНСК-УРАЛЬСКИЙ"</f>
        <v>Г КАМЕНСК-УРАЛЬСКИЙ</v>
      </c>
      <c r="S127" t="str">
        <f>""</f>
        <v/>
      </c>
      <c r="T127" t="str">
        <f>"ПР-КТ ПОБЕДЫ"</f>
        <v>ПР-КТ ПОБЕДЫ</v>
      </c>
      <c r="U127" s="1" t="str">
        <f>"53"</f>
        <v>53</v>
      </c>
      <c r="V127" s="1" t="str">
        <f>""</f>
        <v/>
      </c>
      <c r="W127" s="1" t="str">
        <f>""</f>
        <v/>
      </c>
      <c r="X127" s="1" t="str">
        <f>""</f>
        <v/>
      </c>
      <c r="Y127" s="1" t="str">
        <f>"2"</f>
        <v>2</v>
      </c>
      <c r="Z127" t="str">
        <f>"3439 397915"</f>
        <v>3439 397915</v>
      </c>
      <c r="AA127" t="str">
        <f>"3439378421"</f>
        <v>3439378421</v>
      </c>
      <c r="AB127" t="str">
        <f>"9126202423"</f>
        <v>9126202423</v>
      </c>
      <c r="AC127" t="str">
        <f>"9126202423"</f>
        <v>9126202423</v>
      </c>
      <c r="AD127" t="str">
        <f>"9126202423"</f>
        <v>9126202423</v>
      </c>
      <c r="AE127" t="str">
        <f>"3439396910"</f>
        <v>3439396910</v>
      </c>
    </row>
    <row r="128" spans="1:31" x14ac:dyDescent="0.45">
      <c r="A128" t="str">
        <f>"ГРАЧЕВА АНЖЕЛА ГЕННАДЬЕВНА"</f>
        <v>ГРАЧЕВА АНЖЕЛА ГЕННАДЬЕВНА</v>
      </c>
      <c r="B128" t="str">
        <f>"1980-06-17"</f>
        <v>1980-06-17</v>
      </c>
      <c r="C128" t="str">
        <f>"75 02 579563"</f>
        <v>75 02 579563</v>
      </c>
      <c r="D128" t="str">
        <f>"4279011611397202"</f>
        <v>4279011611397202</v>
      </c>
      <c r="E128" t="str">
        <f t="shared" si="17"/>
        <v>2021-05-31</v>
      </c>
      <c r="F128" t="str">
        <f t="shared" si="18"/>
        <v>+</v>
      </c>
      <c r="G128" t="str">
        <f t="shared" si="18"/>
        <v>+</v>
      </c>
      <c r="H128" t="str">
        <f>"40817810816991419048"</f>
        <v>40817810816991419048</v>
      </c>
      <c r="I128" t="str">
        <f>"8597"</f>
        <v>8597</v>
      </c>
      <c r="J128" t="str">
        <f>"0273"</f>
        <v>0273</v>
      </c>
      <c r="K128" t="str">
        <f>"54000.00"</f>
        <v>54000.00</v>
      </c>
      <c r="L128" t="str">
        <f>"454000 ОБЛ ЧЕЛЯБИНСКАЯ   Г ЧЕЛЯБИНСК   УЛ БЛЮХЕРА д. 211"</f>
        <v>454000 ОБЛ ЧЕЛЯБИНСКАЯ   Г ЧЕЛЯБИНСК   УЛ БЛЮХЕРА д. 211</v>
      </c>
      <c r="M128" t="str">
        <f t="shared" si="11"/>
        <v>2019-08-24</v>
      </c>
      <c r="N128" t="str">
        <f>"ООО АРИАНТ"</f>
        <v>ООО АРИАНТ</v>
      </c>
      <c r="O128" t="str">
        <f>"454000"</f>
        <v>454000</v>
      </c>
      <c r="P128" t="str">
        <f>"ОБЛ ЧЕЛЯБИНСКАЯ"</f>
        <v>ОБЛ ЧЕЛЯБИНСКАЯ</v>
      </c>
      <c r="Q128" t="str">
        <f>""</f>
        <v/>
      </c>
      <c r="R128" t="str">
        <f>"Г ЧЕЛЯБИНСК"</f>
        <v>Г ЧЕЛЯБИНСК</v>
      </c>
      <c r="S128" t="str">
        <f>""</f>
        <v/>
      </c>
      <c r="T128" t="str">
        <f>"УЛ БРАТЬЕВ КАШИРИНЫХ"</f>
        <v>УЛ БРАТЬЕВ КАШИРИНЫХ</v>
      </c>
      <c r="U128" s="1" t="str">
        <f>"114"</f>
        <v>114</v>
      </c>
      <c r="V128" s="1" t="str">
        <f>""</f>
        <v/>
      </c>
      <c r="W128" s="1" t="str">
        <f>"А"</f>
        <v>А</v>
      </c>
      <c r="X128" s="1" t="str">
        <f>""</f>
        <v/>
      </c>
      <c r="Y128" s="1" t="str">
        <f>"109"</f>
        <v>109</v>
      </c>
      <c r="Z128" t="str">
        <f>"9080615661"</f>
        <v>9080615661</v>
      </c>
      <c r="AA128" t="str">
        <f>"9080615661"</f>
        <v>9080615661</v>
      </c>
      <c r="AB128" t="str">
        <f>"9080615661"</f>
        <v>9080615661</v>
      </c>
      <c r="AC128" t="str">
        <f>"9080615661"</f>
        <v>9080615661</v>
      </c>
      <c r="AD128" t="str">
        <f>"9080615661"</f>
        <v>9080615661</v>
      </c>
      <c r="AE128" t="str">
        <f>"9080615661"</f>
        <v>9080615661</v>
      </c>
    </row>
    <row r="129" spans="1:31" x14ac:dyDescent="0.45">
      <c r="A129" t="str">
        <f>"ВОЛОЖАНИН ГЛЕБ ВЛАДИСЛАВОВИЧ"</f>
        <v>ВОЛОЖАНИН ГЛЕБ ВЛАДИСЛАВОВИЧ</v>
      </c>
      <c r="B129" t="str">
        <f>"1967-02-12"</f>
        <v>1967-02-12</v>
      </c>
      <c r="C129" t="str">
        <f>"65 11 313521"</f>
        <v>65 11 313521</v>
      </c>
      <c r="D129" t="str">
        <f>"4279011676193488"</f>
        <v>4279011676193488</v>
      </c>
      <c r="E129" t="str">
        <f t="shared" si="17"/>
        <v>2021-05-31</v>
      </c>
      <c r="F129" t="str">
        <f t="shared" si="18"/>
        <v>+</v>
      </c>
      <c r="G129" t="str">
        <f t="shared" si="18"/>
        <v>+</v>
      </c>
      <c r="H129" t="str">
        <f>"40817810416991419040"</f>
        <v>40817810416991419040</v>
      </c>
      <c r="I129" t="str">
        <f>"7003"</f>
        <v>7003</v>
      </c>
      <c r="J129" t="str">
        <f>"0419"</f>
        <v>0419</v>
      </c>
      <c r="K129" t="str">
        <f>"250000.00"</f>
        <v>250000.00</v>
      </c>
      <c r="L129" t="str">
        <f>"620072 ОБЛ СВЕРДЛОВСКАЯ   Г ЕКАТЕРИНБУРГ   УЛ ВЛАДИМИРА ВЫСОЦКОГО д. 36"</f>
        <v>620072 ОБЛ СВЕРДЛОВСКАЯ   Г ЕКАТЕРИНБУРГ   УЛ ВЛАДИМИРА ВЫСОЦКОГО д. 36</v>
      </c>
      <c r="M129" t="str">
        <f t="shared" si="11"/>
        <v>2019-08-24</v>
      </c>
      <c r="N129" t="s">
        <v>34</v>
      </c>
      <c r="O129" t="str">
        <f>"620000"</f>
        <v>620000</v>
      </c>
      <c r="P129" t="str">
        <f>"ОБЛ СВЕРДЛОВСКАЯ"</f>
        <v>ОБЛ СВЕРДЛОВСКАЯ</v>
      </c>
      <c r="Q129" t="str">
        <f>""</f>
        <v/>
      </c>
      <c r="R129" t="str">
        <f>"Г ЕКАТЕРИНБУРГ"</f>
        <v>Г ЕКАТЕРИНБУРГ</v>
      </c>
      <c r="S129" t="str">
        <f>""</f>
        <v/>
      </c>
      <c r="T129" t="str">
        <f>"УЛ БЛЮХЕРА"</f>
        <v>УЛ БЛЮХЕРА</v>
      </c>
      <c r="U129" s="1" t="str">
        <f>"43"</f>
        <v>43</v>
      </c>
      <c r="V129" s="1" t="str">
        <f>""</f>
        <v/>
      </c>
      <c r="W129" s="1" t="str">
        <f>""</f>
        <v/>
      </c>
      <c r="X129" s="1" t="str">
        <f>""</f>
        <v/>
      </c>
      <c r="Y129" s="1" t="str">
        <f>"13"</f>
        <v>13</v>
      </c>
      <c r="Z129" t="str">
        <f>"9827396064"</f>
        <v>9827396064</v>
      </c>
      <c r="AA129" t="str">
        <f>"9827396064"</f>
        <v>9827396064</v>
      </c>
      <c r="AB129" t="str">
        <f>"9827396064"</f>
        <v>9827396064</v>
      </c>
      <c r="AC129" t="str">
        <f>"9827396064"</f>
        <v>9827396064</v>
      </c>
      <c r="AD129" t="str">
        <f>"9827396064"</f>
        <v>9827396064</v>
      </c>
      <c r="AE129" t="str">
        <f>"9827396064"</f>
        <v>9827396064</v>
      </c>
    </row>
    <row r="130" spans="1:31" x14ac:dyDescent="0.45">
      <c r="A130" t="str">
        <f>"КИЯНЕЦ ЮРИЙ ВАЛЕРЬЕВИЧ"</f>
        <v>КИЯНЕЦ ЮРИЙ ВАЛЕРЬЕВИЧ</v>
      </c>
      <c r="B130" t="str">
        <f>"1986-11-04"</f>
        <v>1986-11-04</v>
      </c>
      <c r="C130" t="str">
        <f>"65 06 956055"</f>
        <v>65 06 956055</v>
      </c>
      <c r="D130" t="str">
        <f>"4279011691120391"</f>
        <v>4279011691120391</v>
      </c>
      <c r="E130" t="str">
        <f t="shared" si="17"/>
        <v>2021-05-31</v>
      </c>
      <c r="F130" t="str">
        <f t="shared" si="18"/>
        <v>+</v>
      </c>
      <c r="G130" t="str">
        <f t="shared" si="18"/>
        <v>+</v>
      </c>
      <c r="H130" t="str">
        <f>"40817810016991419042"</f>
        <v>40817810016991419042</v>
      </c>
      <c r="I130" t="str">
        <f>"7003"</f>
        <v>7003</v>
      </c>
      <c r="J130" t="str">
        <f>"0736"</f>
        <v>0736</v>
      </c>
      <c r="K130" t="str">
        <f>"500000.00"</f>
        <v>500000.00</v>
      </c>
      <c r="L130" t="str">
        <f>"620000 ОБЛ СВЕРДЛОВСКАЯ   ВОЛОСТЬ НИЖНИЙ ТАГИЛ   УЛ ЮНОСТИ д. 14 стр. А"</f>
        <v>620000 ОБЛ СВЕРДЛОВСКАЯ   ВОЛОСТЬ НИЖНИЙ ТАГИЛ   УЛ ЮНОСТИ д. 14 стр. А</v>
      </c>
      <c r="M130" t="str">
        <f t="shared" ref="M130:M193" si="19">"2019-08-24"</f>
        <v>2019-08-24</v>
      </c>
      <c r="N130" t="str">
        <f>"АВТО ДОМ ПЛЮС"</f>
        <v>АВТО ДОМ ПЛЮС</v>
      </c>
      <c r="O130" t="str">
        <f>"620000"</f>
        <v>620000</v>
      </c>
      <c r="P130" t="str">
        <f>"ОБЛ СВЕРДЛОВСКАЯ"</f>
        <v>ОБЛ СВЕРДЛОВСКАЯ</v>
      </c>
      <c r="Q130" t="str">
        <f>""</f>
        <v/>
      </c>
      <c r="R130" t="str">
        <f>"Г НИЖНИЙ ТАГИЛ"</f>
        <v>Г НИЖНИЙ ТАГИЛ</v>
      </c>
      <c r="S130" t="str">
        <f>""</f>
        <v/>
      </c>
      <c r="T130" t="str">
        <f>"УЛ СИБИРСКАЯ"</f>
        <v>УЛ СИБИРСКАЯ</v>
      </c>
      <c r="U130" s="1" t="str">
        <f>"112"</f>
        <v>112</v>
      </c>
      <c r="V130" s="1" t="str">
        <f>""</f>
        <v/>
      </c>
      <c r="W130" s="1" t="str">
        <f>""</f>
        <v/>
      </c>
      <c r="X130" s="1" t="str">
        <f>""</f>
        <v/>
      </c>
      <c r="Y130" s="1" t="str">
        <f>""</f>
        <v/>
      </c>
      <c r="Z130" t="str">
        <f>""</f>
        <v/>
      </c>
      <c r="AA130" t="str">
        <f>"9222222235"</f>
        <v>9222222235</v>
      </c>
      <c r="AB130" t="str">
        <f>"9222222235"</f>
        <v>9222222235</v>
      </c>
      <c r="AC130" t="str">
        <f>"9222222235"</f>
        <v>9222222235</v>
      </c>
      <c r="AD130" t="str">
        <f>"9222222235"</f>
        <v>9222222235</v>
      </c>
      <c r="AE130" t="str">
        <f>""</f>
        <v/>
      </c>
    </row>
    <row r="131" spans="1:31" x14ac:dyDescent="0.45">
      <c r="A131" t="str">
        <f>"ОМЕЛЬЯНЕНКО ЮЛИЯ ВИКТОРОВНА"</f>
        <v>ОМЕЛЬЯНЕНКО ЮЛИЯ ВИКТОРОВНА</v>
      </c>
      <c r="B131" t="str">
        <f>"1972-04-06"</f>
        <v>1972-04-06</v>
      </c>
      <c r="C131" t="str">
        <f>"65 17 420392"</f>
        <v>65 17 420392</v>
      </c>
      <c r="D131" t="str">
        <f>"4279011669480801"</f>
        <v>4279011669480801</v>
      </c>
      <c r="E131" t="str">
        <f t="shared" si="17"/>
        <v>2021-05-31</v>
      </c>
      <c r="F131" t="str">
        <f t="shared" si="18"/>
        <v>+</v>
      </c>
      <c r="G131" t="str">
        <f t="shared" si="18"/>
        <v>+</v>
      </c>
      <c r="H131" t="str">
        <f>"40817810916991419045"</f>
        <v>40817810916991419045</v>
      </c>
      <c r="I131" t="str">
        <f>"7003"</f>
        <v>7003</v>
      </c>
      <c r="J131" t="str">
        <f>"0405"</f>
        <v>0405</v>
      </c>
      <c r="K131" t="str">
        <f>"340000.00"</f>
        <v>340000.00</v>
      </c>
      <c r="L131" t="str">
        <f>"620000 ОБЛ СВЕРДЛОВСКАЯ   Г ЕКАТЕРИНБУРГ   УЛ МАШИННАЯ д. 3А офис 3"</f>
        <v>620000 ОБЛ СВЕРДЛОВСКАЯ   Г ЕКАТЕРИНБУРГ   УЛ МАШИННАЯ д. 3А офис 3</v>
      </c>
      <c r="M131" t="str">
        <f t="shared" si="19"/>
        <v>2019-08-24</v>
      </c>
      <c r="N131" t="str">
        <f>"ООО УРАЛОБОРУДОВАНИЕ"</f>
        <v>ООО УРАЛОБОРУДОВАНИЕ</v>
      </c>
      <c r="O131" t="str">
        <f>"620000"</f>
        <v>620000</v>
      </c>
      <c r="P131" t="str">
        <f>"ОБЛ СВЕРДЛОВСКАЯ"</f>
        <v>ОБЛ СВЕРДЛОВСКАЯ</v>
      </c>
      <c r="Q131" t="str">
        <f>""</f>
        <v/>
      </c>
      <c r="R131" t="str">
        <f>"Г ЕКАТЕРИНБУРГ"</f>
        <v>Г ЕКАТЕРИНБУРГ</v>
      </c>
      <c r="S131" t="str">
        <f>""</f>
        <v/>
      </c>
      <c r="T131" t="str">
        <f>"УЛ ВОЕННАЯ"</f>
        <v>УЛ ВОЕННАЯ</v>
      </c>
      <c r="U131" s="1" t="str">
        <f>"10"</f>
        <v>10</v>
      </c>
      <c r="V131" s="1" t="str">
        <f>""</f>
        <v/>
      </c>
      <c r="W131" s="1" t="str">
        <f>""</f>
        <v/>
      </c>
      <c r="X131" s="1" t="str">
        <f>""</f>
        <v/>
      </c>
      <c r="Y131" s="1" t="str">
        <f>"29"</f>
        <v>29</v>
      </c>
      <c r="Z131" t="str">
        <f>""</f>
        <v/>
      </c>
      <c r="AA131" t="str">
        <f>"9089086969"</f>
        <v>9089086969</v>
      </c>
      <c r="AB131" t="str">
        <f>"9089086969"</f>
        <v>9089086969</v>
      </c>
      <c r="AC131" t="str">
        <f>"9089086969"</f>
        <v>9089086969</v>
      </c>
      <c r="AD131" t="str">
        <f>"9089086969"</f>
        <v>9089086969</v>
      </c>
      <c r="AE131" t="str">
        <f>""</f>
        <v/>
      </c>
    </row>
    <row r="132" spans="1:31" x14ac:dyDescent="0.45">
      <c r="A132" t="str">
        <f>"ЗОТОВА ЯНА СЕРГЕЕВНА"</f>
        <v>ЗОТОВА ЯНА СЕРГЕЕВНА</v>
      </c>
      <c r="B132" t="str">
        <f>"1994-06-23"</f>
        <v>1994-06-23</v>
      </c>
      <c r="C132" t="str">
        <f>"80 14 944473"</f>
        <v>80 14 944473</v>
      </c>
      <c r="D132" t="str">
        <f>"4279011693759584"</f>
        <v>4279011693759584</v>
      </c>
      <c r="E132" t="str">
        <f t="shared" si="17"/>
        <v>2021-05-31</v>
      </c>
      <c r="F132" t="str">
        <f t="shared" si="18"/>
        <v>+</v>
      </c>
      <c r="G132" t="str">
        <f t="shared" si="18"/>
        <v>+</v>
      </c>
      <c r="H132" t="str">
        <f>"40817810316991419043"</f>
        <v>40817810316991419043</v>
      </c>
      <c r="I132" t="str">
        <f>"8598"</f>
        <v>8598</v>
      </c>
      <c r="J132" t="str">
        <f>"0228"</f>
        <v>0228</v>
      </c>
      <c r="K132" t="str">
        <f>"50000.00"</f>
        <v>50000.00</v>
      </c>
      <c r="L132" t="str">
        <f>"450000 РЕСП БАШКОРТОСТАН   Г УФА   УЛ СТЕПАНА КУВЫКИНА д. 16 корп. 4"</f>
        <v>450000 РЕСП БАШКОРТОСТАН   Г УФА   УЛ СТЕПАНА КУВЫКИНА д. 16 корп. 4</v>
      </c>
      <c r="M132" t="str">
        <f t="shared" si="19"/>
        <v>2019-08-24</v>
      </c>
      <c r="N132" t="str">
        <f>"ООО ЦЕНТР ЗДОРОВЬЯ И КРАСОТЫ"</f>
        <v>ООО ЦЕНТР ЗДОРОВЬЯ И КРАСОТЫ</v>
      </c>
      <c r="O132" t="str">
        <f>"450000"</f>
        <v>450000</v>
      </c>
      <c r="P132" t="str">
        <f>"РЕСП БАШКОРТОСТАН"</f>
        <v>РЕСП БАШКОРТОСТАН</v>
      </c>
      <c r="Q132" t="str">
        <f>""</f>
        <v/>
      </c>
      <c r="R132" t="str">
        <f>"Г УФА"</f>
        <v>Г УФА</v>
      </c>
      <c r="S132" t="str">
        <f>""</f>
        <v/>
      </c>
      <c r="T132" t="str">
        <f>"УЛ РАБКОРОВ"</f>
        <v>УЛ РАБКОРОВ</v>
      </c>
      <c r="U132" s="1" t="str">
        <f>"4"</f>
        <v>4</v>
      </c>
      <c r="V132" s="1" t="str">
        <f>""</f>
        <v/>
      </c>
      <c r="W132" s="1" t="str">
        <f>"4"</f>
        <v>4</v>
      </c>
      <c r="X132" s="1" t="str">
        <f>""</f>
        <v/>
      </c>
      <c r="Y132" s="1" t="str">
        <f>"149"</f>
        <v>149</v>
      </c>
      <c r="Z132" t="str">
        <f>"3472554463"</f>
        <v>3472554463</v>
      </c>
      <c r="AA132" t="str">
        <f>"9991337577"</f>
        <v>9991337577</v>
      </c>
      <c r="AB132" t="str">
        <f>"9875825695"</f>
        <v>9875825695</v>
      </c>
      <c r="AC132" t="str">
        <f>"9991337577"</f>
        <v>9991337577</v>
      </c>
      <c r="AD132" t="str">
        <f>"9875825695"</f>
        <v>9875825695</v>
      </c>
      <c r="AE132" t="str">
        <f>""</f>
        <v/>
      </c>
    </row>
    <row r="133" spans="1:31" x14ac:dyDescent="0.45">
      <c r="A133" t="str">
        <f>"ЛУТФУЛЛИНА ГУЛЬНАЗ МУСАВИРОВНА"</f>
        <v>ЛУТФУЛЛИНА ГУЛЬНАЗ МУСАВИРОВНА</v>
      </c>
      <c r="B133" t="str">
        <f>"1984-09-09"</f>
        <v>1984-09-09</v>
      </c>
      <c r="C133" t="str">
        <f>"80 08 699565"</f>
        <v>80 08 699565</v>
      </c>
      <c r="D133" t="str">
        <f>"4279011627232385"</f>
        <v>4279011627232385</v>
      </c>
      <c r="E133" t="str">
        <f t="shared" si="17"/>
        <v>2021-05-31</v>
      </c>
      <c r="F133" t="str">
        <f t="shared" si="18"/>
        <v>+</v>
      </c>
      <c r="G133" t="str">
        <f t="shared" si="18"/>
        <v>+</v>
      </c>
      <c r="H133" t="str">
        <f>"40817810616991419044"</f>
        <v>40817810616991419044</v>
      </c>
      <c r="I133" t="str">
        <f>"8598"</f>
        <v>8598</v>
      </c>
      <c r="J133" t="str">
        <f>"0706"</f>
        <v>0706</v>
      </c>
      <c r="K133" t="str">
        <f>"37000.00"</f>
        <v>37000.00</v>
      </c>
      <c r="L133" t="str">
        <f>"450000 РЕСП БАШКОРТОСТАН Р-Н СТЕРЛИБАШЕВСКИЙ   С СТЕРЛИБАШЕВО УЛ 50 ЛЕТ ОКТЯБРЯ д. 15"</f>
        <v>450000 РЕСП БАШКОРТОСТАН Р-Н СТЕРЛИБАШЕВСКИЙ   С СТЕРЛИБАШЕВО УЛ 50 ЛЕТ ОКТЯБРЯ д. 15</v>
      </c>
      <c r="M133" t="str">
        <f t="shared" si="19"/>
        <v>2019-08-24</v>
      </c>
      <c r="N133" t="str">
        <f>"ОХОТ.ХОЗЯЙСТВО БОБЕР"</f>
        <v>ОХОТ.ХОЗЯЙСТВО БОБЕР</v>
      </c>
      <c r="O133" t="str">
        <f>"450000"</f>
        <v>450000</v>
      </c>
      <c r="P133" t="str">
        <f>"РЕСП БАШКОРТОСТАН"</f>
        <v>РЕСП БАШКОРТОСТАН</v>
      </c>
      <c r="Q133" t="str">
        <f>"Р-Н СТЕРЛИБАШЕВСКИЙ"</f>
        <v>Р-Н СТЕРЛИБАШЕВСКИЙ</v>
      </c>
      <c r="R133" t="str">
        <f>""</f>
        <v/>
      </c>
      <c r="S133" t="str">
        <f>"С СТЕРЛИБАШЕВО"</f>
        <v>С СТЕРЛИБАШЕВО</v>
      </c>
      <c r="T133" t="str">
        <f>"УЛ К.МАРСКА"</f>
        <v>УЛ К.МАРСКА</v>
      </c>
      <c r="U133" s="1" t="str">
        <f>"106"</f>
        <v>106</v>
      </c>
      <c r="V133" s="1" t="str">
        <f>""</f>
        <v/>
      </c>
      <c r="W133" s="1" t="str">
        <f>""</f>
        <v/>
      </c>
      <c r="X133" s="1" t="str">
        <f>""</f>
        <v/>
      </c>
      <c r="Y133" s="1" t="str">
        <f>""</f>
        <v/>
      </c>
      <c r="Z133" t="str">
        <f>""</f>
        <v/>
      </c>
      <c r="AA133" t="str">
        <f>"9639095364"</f>
        <v>9639095364</v>
      </c>
      <c r="AB133" t="str">
        <f>"9639095364"</f>
        <v>9639095364</v>
      </c>
      <c r="AC133" t="str">
        <f>"9639095364"</f>
        <v>9639095364</v>
      </c>
      <c r="AD133" t="str">
        <f>"9639095364"</f>
        <v>9639095364</v>
      </c>
      <c r="AE133" t="str">
        <f>""</f>
        <v/>
      </c>
    </row>
    <row r="134" spans="1:31" x14ac:dyDescent="0.45">
      <c r="A134" t="str">
        <f>"СТОРЧЕВОЙ АНДРЕЙ ВАЛЕРЬЕВИЧ"</f>
        <v>СТОРЧЕВОЙ АНДРЕЙ ВАЛЕРЬЕВИЧ</v>
      </c>
      <c r="B134" t="str">
        <f>"1992-01-28"</f>
        <v>1992-01-28</v>
      </c>
      <c r="C134" t="str">
        <f>"65 11 318770"</f>
        <v>65 11 318770</v>
      </c>
      <c r="D134" t="str">
        <f>"4279011629871578"</f>
        <v>4279011629871578</v>
      </c>
      <c r="E134" t="str">
        <f t="shared" si="17"/>
        <v>2021-05-31</v>
      </c>
      <c r="F134" t="str">
        <f t="shared" si="18"/>
        <v>+</v>
      </c>
      <c r="G134" t="str">
        <f t="shared" si="18"/>
        <v>+</v>
      </c>
      <c r="H134" t="str">
        <f>"40817810216991419046"</f>
        <v>40817810216991419046</v>
      </c>
      <c r="I134" t="str">
        <f>"7003"</f>
        <v>7003</v>
      </c>
      <c r="J134" t="str">
        <f>"0714"</f>
        <v>0714</v>
      </c>
      <c r="K134" t="str">
        <f>"235000.00"</f>
        <v>235000.00</v>
      </c>
      <c r="L134" t="str">
        <f>"620000 ОБЛ СВЕРДЛОВСКАЯ   Г ЕКАТЕРИНБУРГ   УЛ 11 КИЛОМЕТР СНРОВСКОГО ТРАКТА д. 1"</f>
        <v>620000 ОБЛ СВЕРДЛОВСКАЯ   Г ЕКАТЕРИНБУРГ   УЛ 11 КИЛОМЕТР СНРОВСКОГО ТРАКТА д. 1</v>
      </c>
      <c r="M134" t="str">
        <f t="shared" si="19"/>
        <v>2019-08-24</v>
      </c>
      <c r="N134" t="str">
        <f>"ООО АБСОЛЮТ"</f>
        <v>ООО АБСОЛЮТ</v>
      </c>
      <c r="O134" t="str">
        <f>"620000"</f>
        <v>620000</v>
      </c>
      <c r="P134" t="str">
        <f>"ОБЛ СВЕРДЛОВСКАЯ"</f>
        <v>ОБЛ СВЕРДЛОВСКАЯ</v>
      </c>
      <c r="Q134" t="str">
        <f>""</f>
        <v/>
      </c>
      <c r="R134" t="str">
        <f>"Г НЕВЬЯНСК"</f>
        <v>Г НЕВЬЯНСК</v>
      </c>
      <c r="S134" t="str">
        <f>""</f>
        <v/>
      </c>
      <c r="T134" t="str">
        <f>"УЛ МАТВЕЕВА"</f>
        <v>УЛ МАТВЕЕВА</v>
      </c>
      <c r="U134" s="1" t="str">
        <f>"4"</f>
        <v>4</v>
      </c>
      <c r="V134" s="1" t="str">
        <f>""</f>
        <v/>
      </c>
      <c r="W134" s="1" t="str">
        <f>""</f>
        <v/>
      </c>
      <c r="X134" s="1" t="str">
        <f>""</f>
        <v/>
      </c>
      <c r="Y134" s="1" t="str">
        <f>""</f>
        <v/>
      </c>
      <c r="Z134" t="str">
        <f>""</f>
        <v/>
      </c>
      <c r="AA134" t="str">
        <f>"9126143569"</f>
        <v>9126143569</v>
      </c>
      <c r="AB134" t="str">
        <f>"9321192178"</f>
        <v>9321192178</v>
      </c>
      <c r="AC134" t="str">
        <f>"9126143569"</f>
        <v>9126143569</v>
      </c>
      <c r="AD134" t="str">
        <f>"9321192178"</f>
        <v>9321192178</v>
      </c>
      <c r="AE134" t="str">
        <f>""</f>
        <v/>
      </c>
    </row>
    <row r="135" spans="1:31" x14ac:dyDescent="0.45">
      <c r="A135" t="str">
        <f>"МАКСИМЕНКО ОЛЬГА НИКОЛАЕВНА"</f>
        <v>МАКСИМЕНКО ОЛЬГА НИКОЛАЕВНА</v>
      </c>
      <c r="B135" t="str">
        <f>"1959-08-11"</f>
        <v>1959-08-11</v>
      </c>
      <c r="C135" t="str">
        <f>"65 05 360329"</f>
        <v>65 05 360329</v>
      </c>
      <c r="D135" t="str">
        <f>"4279011688899577"</f>
        <v>4279011688899577</v>
      </c>
      <c r="E135" t="str">
        <f t="shared" si="17"/>
        <v>2021-05-31</v>
      </c>
      <c r="F135" t="str">
        <f t="shared" si="18"/>
        <v>+</v>
      </c>
      <c r="G135" t="str">
        <f t="shared" si="18"/>
        <v>+</v>
      </c>
      <c r="H135" t="str">
        <f>"40817810516991419047"</f>
        <v>40817810516991419047</v>
      </c>
      <c r="I135" t="str">
        <f>"7003"</f>
        <v>7003</v>
      </c>
      <c r="J135" t="str">
        <f>"0016"</f>
        <v>0016</v>
      </c>
      <c r="K135" t="str">
        <f>"75000.00"</f>
        <v>75000.00</v>
      </c>
      <c r="L135" t="str">
        <f>"620000 ОБЛ СВЕРДЛОВСКАЯ   Г ЕКАТЕРИНБУРГ   УЛ УКРУССКАЯ д. 41 кв. 21"</f>
        <v>620000 ОБЛ СВЕРДЛОВСКАЯ   Г ЕКАТЕРИНБУРГ   УЛ УКРУССКАЯ д. 41 кв. 21</v>
      </c>
      <c r="M135" t="str">
        <f t="shared" si="19"/>
        <v>2019-08-24</v>
      </c>
      <c r="N135" t="str">
        <f>"ПЕНСИОНЕР"</f>
        <v>ПЕНСИОНЕР</v>
      </c>
      <c r="O135" t="str">
        <f>"620000"</f>
        <v>620000</v>
      </c>
      <c r="P135" t="str">
        <f>"ОБЛ СВЕРДЛОВСКАЯ"</f>
        <v>ОБЛ СВЕРДЛОВСКАЯ</v>
      </c>
      <c r="Q135" t="str">
        <f>""</f>
        <v/>
      </c>
      <c r="R135" t="str">
        <f>"Г ЕКАТЕРИНБУРГ"</f>
        <v>Г ЕКАТЕРИНБУРГ</v>
      </c>
      <c r="S135" t="str">
        <f>""</f>
        <v/>
      </c>
      <c r="T135" t="str">
        <f>"УЛ УКТУССКАЯ"</f>
        <v>УЛ УКТУССКАЯ</v>
      </c>
      <c r="U135" s="1" t="str">
        <f>"41"</f>
        <v>41</v>
      </c>
      <c r="V135" s="1" t="str">
        <f>""</f>
        <v/>
      </c>
      <c r="W135" s="1" t="str">
        <f>""</f>
        <v/>
      </c>
      <c r="X135" s="1" t="str">
        <f>""</f>
        <v/>
      </c>
      <c r="Y135" s="1" t="str">
        <f>"21"</f>
        <v>21</v>
      </c>
      <c r="Z135" t="str">
        <f>""</f>
        <v/>
      </c>
      <c r="AA135" t="str">
        <f>"+7 (904) 3870045"</f>
        <v>+7 (904) 3870045</v>
      </c>
      <c r="AB135" t="str">
        <f>"+7 (904) 3870045"</f>
        <v>+7 (904) 3870045</v>
      </c>
      <c r="AC135" t="str">
        <f>"9043870045"</f>
        <v>9043870045</v>
      </c>
      <c r="AD135" t="str">
        <f>"9043870045"</f>
        <v>9043870045</v>
      </c>
      <c r="AE135" t="str">
        <f>""</f>
        <v/>
      </c>
    </row>
    <row r="136" spans="1:31" x14ac:dyDescent="0.45">
      <c r="A136" t="str">
        <f>"МИХАЙЛОВ СЕРГЕЙ ВЛАДИМИРОВИЧ"</f>
        <v>МИХАЙЛОВ СЕРГЕЙ ВЛАДИМИРОВИЧ</v>
      </c>
      <c r="B136" t="str">
        <f>"1963-04-23"</f>
        <v>1963-04-23</v>
      </c>
      <c r="C136" t="str">
        <f>"37 08 252662"</f>
        <v>37 08 252662</v>
      </c>
      <c r="D136" t="str">
        <f>"4279011662714891"</f>
        <v>4279011662714891</v>
      </c>
      <c r="E136" t="str">
        <f t="shared" si="17"/>
        <v>2021-05-31</v>
      </c>
      <c r="F136" t="str">
        <f t="shared" si="18"/>
        <v>+</v>
      </c>
      <c r="G136" t="str">
        <f t="shared" si="18"/>
        <v>+</v>
      </c>
      <c r="H136" t="str">
        <f>"40817810116991419049"</f>
        <v>40817810116991419049</v>
      </c>
      <c r="I136" t="str">
        <f>"8599"</f>
        <v>8599</v>
      </c>
      <c r="J136" t="str">
        <f>"0015"</f>
        <v>0015</v>
      </c>
      <c r="K136" t="str">
        <f>"120000.00"</f>
        <v>120000.00</v>
      </c>
      <c r="L136" t="str">
        <f>"641000 ОБЛ КУРГАНСКАЯ   Г КУРГАН   УЛ ТОМИНА д. 61"</f>
        <v>641000 ОБЛ КУРГАНСКАЯ   Г КУРГАН   УЛ ТОМИНА д. 61</v>
      </c>
      <c r="M136" t="str">
        <f t="shared" si="19"/>
        <v>2019-08-24</v>
      </c>
      <c r="N136" t="str">
        <f>"ПЕНСИОННЫЙ ФОНД РОССИИ"</f>
        <v>ПЕНСИОННЫЙ ФОНД РОССИИ</v>
      </c>
      <c r="O136" t="str">
        <f>"641000"</f>
        <v>641000</v>
      </c>
      <c r="P136" t="str">
        <f>"ОБЛ КУРГАНСКАЯ"</f>
        <v>ОБЛ КУРГАНСКАЯ</v>
      </c>
      <c r="Q136" t="str">
        <f>""</f>
        <v/>
      </c>
      <c r="R136" t="str">
        <f>"Г КУРГАН"</f>
        <v>Г КУРГАН</v>
      </c>
      <c r="S136" t="str">
        <f>"П ТЕПЛЫЙ СТАН"</f>
        <v>П ТЕПЛЫЙ СТАН</v>
      </c>
      <c r="T136" t="str">
        <f>"УЛ БОЛДИНСКАЯ 7-Я"</f>
        <v>УЛ БОЛДИНСКАЯ 7-Я</v>
      </c>
      <c r="U136" s="1" t="str">
        <f>"34"</f>
        <v>34</v>
      </c>
      <c r="V136" s="1" t="str">
        <f>""</f>
        <v/>
      </c>
      <c r="W136" s="1" t="str">
        <f>""</f>
        <v/>
      </c>
      <c r="X136" s="1" t="str">
        <f>""</f>
        <v/>
      </c>
      <c r="Y136" s="1" t="str">
        <f>""</f>
        <v/>
      </c>
      <c r="Z136" t="str">
        <f>""</f>
        <v/>
      </c>
      <c r="AA136" t="str">
        <f>"9658364300"</f>
        <v>9658364300</v>
      </c>
      <c r="AB136" t="str">
        <f>"9658364300"</f>
        <v>9658364300</v>
      </c>
      <c r="AC136" t="str">
        <f>"9658364300"</f>
        <v>9658364300</v>
      </c>
      <c r="AD136" t="str">
        <f>"9658364300"</f>
        <v>9658364300</v>
      </c>
      <c r="AE136" t="str">
        <f>""</f>
        <v/>
      </c>
    </row>
    <row r="137" spans="1:31" x14ac:dyDescent="0.45">
      <c r="A137" t="str">
        <f>"ГУБАЙДУЛЛИН ИЛЬДАР НАИЛЕВИЧ"</f>
        <v>ГУБАЙДУЛЛИН ИЛЬДАР НАИЛЕВИЧ</v>
      </c>
      <c r="B137" t="str">
        <f>"1991-08-23"</f>
        <v>1991-08-23</v>
      </c>
      <c r="C137" t="str">
        <f>"80 16 382517"</f>
        <v>80 16 382517</v>
      </c>
      <c r="D137" t="str">
        <f>"4279011699456367"</f>
        <v>4279011699456367</v>
      </c>
      <c r="E137" t="str">
        <f t="shared" si="17"/>
        <v>2021-05-31</v>
      </c>
      <c r="F137" t="str">
        <f t="shared" si="18"/>
        <v>+</v>
      </c>
      <c r="G137" t="str">
        <f t="shared" si="18"/>
        <v>+</v>
      </c>
      <c r="H137" t="str">
        <f>"40817810516991419050"</f>
        <v>40817810516991419050</v>
      </c>
      <c r="I137" t="str">
        <f>"8598"</f>
        <v>8598</v>
      </c>
      <c r="J137" t="str">
        <f>"0213"</f>
        <v>0213</v>
      </c>
      <c r="K137" t="str">
        <f>"94000.00"</f>
        <v>94000.00</v>
      </c>
      <c r="L137" t="str">
        <f>"450000 РЕСП БАШКОРТОСТАН   Г УФА   УЛ СОВЕТСКАЯ д. 69 стр. 1"</f>
        <v>450000 РЕСП БАШКОРТОСТАН   Г УФА   УЛ СОВЕТСКАЯ д. 69 стр. 1</v>
      </c>
      <c r="M137" t="str">
        <f t="shared" si="19"/>
        <v>2019-08-24</v>
      </c>
      <c r="N137" t="str">
        <f>"ООО РЕГИОН СТРОЙИНВЕСТ"</f>
        <v>ООО РЕГИОН СТРОЙИНВЕСТ</v>
      </c>
      <c r="O137" t="str">
        <f>"450000"</f>
        <v>450000</v>
      </c>
      <c r="P137" t="str">
        <f>"РЕСП БАШКОРТОСТАН"</f>
        <v>РЕСП БАШКОРТОСТАН</v>
      </c>
      <c r="Q137" t="str">
        <f>""</f>
        <v/>
      </c>
      <c r="R137" t="str">
        <f>"Г УФА"</f>
        <v>Г УФА</v>
      </c>
      <c r="S137" t="str">
        <f>""</f>
        <v/>
      </c>
      <c r="T137" t="str">
        <f>"УЛ КИСЛОВОДСКАЯ"</f>
        <v>УЛ КИСЛОВОДСКАЯ</v>
      </c>
      <c r="U137" s="1" t="str">
        <f>"29"</f>
        <v>29</v>
      </c>
      <c r="V137" s="1" t="str">
        <f>""</f>
        <v/>
      </c>
      <c r="W137" s="1" t="str">
        <f>""</f>
        <v/>
      </c>
      <c r="X137" s="1" t="str">
        <f>""</f>
        <v/>
      </c>
      <c r="Y137" s="1" t="str">
        <f>""</f>
        <v/>
      </c>
      <c r="Z137" t="str">
        <f>""</f>
        <v/>
      </c>
      <c r="AA137" t="str">
        <f>"9373120007"</f>
        <v>9373120007</v>
      </c>
      <c r="AB137" t="str">
        <f>"9373120007"</f>
        <v>9373120007</v>
      </c>
      <c r="AC137" t="str">
        <f>"9373120007"</f>
        <v>9373120007</v>
      </c>
      <c r="AD137" t="str">
        <f>"9373120007"</f>
        <v>9373120007</v>
      </c>
      <c r="AE137" t="str">
        <f>""</f>
        <v/>
      </c>
    </row>
    <row r="138" spans="1:31" x14ac:dyDescent="0.45">
      <c r="A138" t="str">
        <f>"ДРУЖИНА СВЕТЛАНА СЕРГЕЕВНА"</f>
        <v>ДРУЖИНА СВЕТЛАНА СЕРГЕЕВНА</v>
      </c>
      <c r="B138" t="str">
        <f>"1987-11-09"</f>
        <v>1987-11-09</v>
      </c>
      <c r="C138" t="str">
        <f>"65 15 161901"</f>
        <v>65 15 161901</v>
      </c>
      <c r="D138" t="str">
        <f>"4279011673901156"</f>
        <v>4279011673901156</v>
      </c>
      <c r="E138" t="str">
        <f t="shared" si="17"/>
        <v>2021-05-31</v>
      </c>
      <c r="F138" t="str">
        <f t="shared" si="18"/>
        <v>+</v>
      </c>
      <c r="G138" t="str">
        <f t="shared" si="18"/>
        <v>+</v>
      </c>
      <c r="H138" t="str">
        <f>"40817810816991419051"</f>
        <v>40817810816991419051</v>
      </c>
      <c r="I138" t="str">
        <f>"7003"</f>
        <v>7003</v>
      </c>
      <c r="J138" t="str">
        <f>"0506"</f>
        <v>0506</v>
      </c>
      <c r="K138" t="str">
        <f>"78000.00"</f>
        <v>78000.00</v>
      </c>
      <c r="L138" t="str">
        <f>"620137 ОБЛ СВЕРДЛОВСКАЯ   Г ЕКАТЕРИНБУРГ   УЛ ШОФЕРОВ д. 32"</f>
        <v>620137 ОБЛ СВЕРДЛОВСКАЯ   Г ЕКАТЕРИНБУРГ   УЛ ШОФЕРОВ д. 32</v>
      </c>
      <c r="M138" t="str">
        <f t="shared" si="19"/>
        <v>2019-08-24</v>
      </c>
      <c r="N138" t="str">
        <f>"ООО ЦЕРТИНА"</f>
        <v>ООО ЦЕРТИНА</v>
      </c>
      <c r="O138" t="str">
        <f>"620137"</f>
        <v>620137</v>
      </c>
      <c r="P138" t="str">
        <f>"ОБЛ СВЕРДЛОВСКАЯ"</f>
        <v>ОБЛ СВЕРДЛОВСКАЯ</v>
      </c>
      <c r="Q138" t="str">
        <f>""</f>
        <v/>
      </c>
      <c r="R138" t="str">
        <f>"Г ЕКАТЕРИНБУРГ"</f>
        <v>Г ЕКАТЕРИНБУРГ</v>
      </c>
      <c r="S138" t="str">
        <f>""</f>
        <v/>
      </c>
      <c r="T138" t="str">
        <f>"УЛ БОРОВАЯ"</f>
        <v>УЛ БОРОВАЯ</v>
      </c>
      <c r="U138" s="1" t="str">
        <f>"25"</f>
        <v>25</v>
      </c>
      <c r="V138" s="1" t="str">
        <f>""</f>
        <v/>
      </c>
      <c r="W138" s="1" t="str">
        <f>""</f>
        <v/>
      </c>
      <c r="X138" s="1" t="str">
        <f>""</f>
        <v/>
      </c>
      <c r="Y138" s="1" t="str">
        <f>"185"</f>
        <v>185</v>
      </c>
      <c r="Z138" t="str">
        <f>"3433694000"</f>
        <v>3433694000</v>
      </c>
      <c r="AA138" t="str">
        <f>"3433680112"</f>
        <v>3433680112</v>
      </c>
      <c r="AB138" t="str">
        <f>"9028722539"</f>
        <v>9028722539</v>
      </c>
      <c r="AC138" t="str">
        <f>"9089267676"</f>
        <v>9089267676</v>
      </c>
      <c r="AD138" t="str">
        <f>"9028722539"</f>
        <v>9028722539</v>
      </c>
      <c r="AE138" t="str">
        <f>"9022672117"</f>
        <v>9022672117</v>
      </c>
    </row>
    <row r="139" spans="1:31" x14ac:dyDescent="0.45">
      <c r="A139" t="str">
        <f>"ПОМАЗКОВА АНАСТАСИЯ БОРИСОВНА"</f>
        <v>ПОМАЗКОВА АНАСТАСИЯ БОРИСОВНА</v>
      </c>
      <c r="B139" t="str">
        <f>"1983-06-12"</f>
        <v>1983-06-12</v>
      </c>
      <c r="C139" t="str">
        <f>"75 10 792264"</f>
        <v>75 10 792264</v>
      </c>
      <c r="D139" t="str">
        <f>"4279011649111195"</f>
        <v>4279011649111195</v>
      </c>
      <c r="E139" t="str">
        <f t="shared" si="17"/>
        <v>2021-05-31</v>
      </c>
      <c r="F139" t="str">
        <f t="shared" si="18"/>
        <v>+</v>
      </c>
      <c r="G139" t="str">
        <f t="shared" si="18"/>
        <v>+</v>
      </c>
      <c r="H139" t="str">
        <f>"40817810016991419068"</f>
        <v>40817810016991419068</v>
      </c>
      <c r="I139" t="str">
        <f>"8597"</f>
        <v>8597</v>
      </c>
      <c r="J139" t="str">
        <f>"0493"</f>
        <v>0493</v>
      </c>
      <c r="K139" t="str">
        <f>"10000.00"</f>
        <v>10000.00</v>
      </c>
      <c r="L139" t="str">
        <f>"454000 ОБЛ ЧЕЛЯБИНСКАЯ   Г ЗЛАТОУСТ   УЛ АВТОДОРОЖНАЯ д. 1А"</f>
        <v>454000 ОБЛ ЧЕЛЯБИНСКАЯ   Г ЗЛАТОУСТ   УЛ АВТОДОРОЖНАЯ д. 1А</v>
      </c>
      <c r="M139" t="str">
        <f t="shared" si="19"/>
        <v>2019-08-24</v>
      </c>
      <c r="N139" t="str">
        <f>"ИП НАЛИМОВА А.В."</f>
        <v>ИП НАЛИМОВА А.В.</v>
      </c>
      <c r="O139" t="str">
        <f>"454000"</f>
        <v>454000</v>
      </c>
      <c r="P139" t="str">
        <f>"ОБЛ ЧЕЛЯБИНСКАЯ"</f>
        <v>ОБЛ ЧЕЛЯБИНСКАЯ</v>
      </c>
      <c r="Q139" t="str">
        <f>""</f>
        <v/>
      </c>
      <c r="R139" t="str">
        <f>"Г ЗЛАТОУСТ"</f>
        <v>Г ЗЛАТОУСТ</v>
      </c>
      <c r="S139" t="str">
        <f>""</f>
        <v/>
      </c>
      <c r="T139" t="str">
        <f>"УЛ 8-ГО МАРТА"</f>
        <v>УЛ 8-ГО МАРТА</v>
      </c>
      <c r="U139" s="1" t="str">
        <f>"40"</f>
        <v>40</v>
      </c>
      <c r="V139" s="1" t="str">
        <f>""</f>
        <v/>
      </c>
      <c r="W139" s="1" t="str">
        <f>""</f>
        <v/>
      </c>
      <c r="X139" s="1" t="str">
        <f>""</f>
        <v/>
      </c>
      <c r="Y139" s="1" t="str">
        <f>""</f>
        <v/>
      </c>
      <c r="Z139" t="str">
        <f>"9068936583"</f>
        <v>9068936583</v>
      </c>
      <c r="AA139" t="str">
        <f>"9068695755"</f>
        <v>9068695755</v>
      </c>
      <c r="AB139" t="str">
        <f>"9068936583"</f>
        <v>9068936583</v>
      </c>
      <c r="AC139" t="str">
        <f>"9068695755"</f>
        <v>9068695755</v>
      </c>
      <c r="AD139" t="str">
        <f>"9068936583"</f>
        <v>9068936583</v>
      </c>
      <c r="AE139" t="str">
        <f>"9068936583"</f>
        <v>9068936583</v>
      </c>
    </row>
    <row r="140" spans="1:31" x14ac:dyDescent="0.45">
      <c r="A140" t="str">
        <f>"СМИРНЯГИН ВИТАЛИЙ ЛЕОНИДОВИЧ"</f>
        <v>СМИРНЯГИН ВИТАЛИЙ ЛЕОНИДОВИЧ</v>
      </c>
      <c r="B140" t="str">
        <f>"1982-03-14"</f>
        <v>1982-03-14</v>
      </c>
      <c r="C140" t="str">
        <f>"57 03 548160"</f>
        <v>57 03 548160</v>
      </c>
      <c r="D140" t="str">
        <f>"4279011691555356"</f>
        <v>4279011691555356</v>
      </c>
      <c r="E140" t="str">
        <f t="shared" si="17"/>
        <v>2021-05-31</v>
      </c>
      <c r="F140" t="str">
        <f>"H"</f>
        <v>H</v>
      </c>
      <c r="G140" t="str">
        <f>"W"</f>
        <v>W</v>
      </c>
      <c r="H140" t="str">
        <f>"40817810316991419072"</f>
        <v>40817810316991419072</v>
      </c>
      <c r="I140" t="str">
        <f>"7003"</f>
        <v>7003</v>
      </c>
      <c r="J140" t="str">
        <f>"0248"</f>
        <v>0248</v>
      </c>
      <c r="K140" t="str">
        <f>"56000.00"</f>
        <v>56000.00</v>
      </c>
      <c r="L140" t="str">
        <f>"620000 ОБЛ СВЕРДЛОВСКАЯ   Г ЕКАТЕРИНБУРГ   УЛ БЕТОНЩИКОВ д. 5"</f>
        <v>620000 ОБЛ СВЕРДЛОВСКАЯ   Г ЕКАТЕРИНБУРГ   УЛ БЕТОНЩИКОВ д. 5</v>
      </c>
      <c r="M140" t="str">
        <f t="shared" si="19"/>
        <v>2019-08-24</v>
      </c>
      <c r="N140" t="str">
        <f>"СПК"</f>
        <v>СПК</v>
      </c>
      <c r="O140" t="str">
        <f>"620000"</f>
        <v>620000</v>
      </c>
      <c r="P140" t="str">
        <f>"ОБЛ СВЕРДЛОВСКАЯ"</f>
        <v>ОБЛ СВЕРДЛОВСКАЯ</v>
      </c>
      <c r="Q140" t="str">
        <f>""</f>
        <v/>
      </c>
      <c r="R140" t="str">
        <f>""</f>
        <v/>
      </c>
      <c r="S140" t="str">
        <f>"Д КУЕДА"</f>
        <v>Д КУЕДА</v>
      </c>
      <c r="T140" t="str">
        <f>"УЛ МЕХАНИЗАТОРОВ"</f>
        <v>УЛ МЕХАНИЗАТОРОВ</v>
      </c>
      <c r="U140" s="1" t="str">
        <f>"5"</f>
        <v>5</v>
      </c>
      <c r="V140" s="1" t="str">
        <f>""</f>
        <v/>
      </c>
      <c r="W140" s="1" t="str">
        <f>""</f>
        <v/>
      </c>
      <c r="X140" s="1" t="str">
        <f>""</f>
        <v/>
      </c>
      <c r="Y140" s="1" t="str">
        <f>"1"</f>
        <v>1</v>
      </c>
      <c r="Z140" t="str">
        <f>"9126899305"</f>
        <v>9126899305</v>
      </c>
      <c r="AA140" t="str">
        <f>"9126899305"</f>
        <v>9126899305</v>
      </c>
      <c r="AB140" t="str">
        <f>"9126899305"</f>
        <v>9126899305</v>
      </c>
      <c r="AC140" t="str">
        <f>"9126899305"</f>
        <v>9126899305</v>
      </c>
      <c r="AD140" t="str">
        <f>"9126899305"</f>
        <v>9126899305</v>
      </c>
      <c r="AE140" t="str">
        <f>"9126899305"</f>
        <v>9126899305</v>
      </c>
    </row>
    <row r="141" spans="1:31" x14ac:dyDescent="0.45">
      <c r="A141" t="str">
        <f>"ГРИШАКОВ АНДРЕЙ АНАТОЛЬЕВИЧ"</f>
        <v>ГРИШАКОВ АНДРЕЙ АНАТОЛЬЕВИЧ</v>
      </c>
      <c r="B141" t="str">
        <f>"1966-04-02"</f>
        <v>1966-04-02</v>
      </c>
      <c r="C141" t="str">
        <f>"75 12 023097"</f>
        <v>75 12 023097</v>
      </c>
      <c r="D141" t="str">
        <f>"4279011679944796"</f>
        <v>4279011679944796</v>
      </c>
      <c r="E141" t="str">
        <f t="shared" si="17"/>
        <v>2021-05-31</v>
      </c>
      <c r="F141" t="str">
        <f t="shared" ref="F141:G152" si="20">"+"</f>
        <v>+</v>
      </c>
      <c r="G141" t="str">
        <f t="shared" si="20"/>
        <v>+</v>
      </c>
      <c r="H141" t="str">
        <f>"40817810316991419069"</f>
        <v>40817810316991419069</v>
      </c>
      <c r="I141" t="str">
        <f>"8597"</f>
        <v>8597</v>
      </c>
      <c r="J141" t="str">
        <f>"0320"</f>
        <v>0320</v>
      </c>
      <c r="K141" t="str">
        <f>"80000.00"</f>
        <v>80000.00</v>
      </c>
      <c r="L141" t="str">
        <f>"454000 ОБЛ ЧЕЛЯБИНСКАЯ   Г ТРЕХГОРНЫЙ   УЛ ЗАРЕЧНАЯ д. 13"</f>
        <v>454000 ОБЛ ЧЕЛЯБИНСКАЯ   Г ТРЕХГОРНЫЙ   УЛ ЗАРЕЧНАЯ д. 13</v>
      </c>
      <c r="M141" t="str">
        <f t="shared" si="19"/>
        <v>2019-08-24</v>
      </c>
      <c r="N141" t="str">
        <f>"ТРЕХГОРНОВСКИЙ КЕРАМИЧЕСКИЙ ЗАВОД"</f>
        <v>ТРЕХГОРНОВСКИЙ КЕРАМИЧЕСКИЙ ЗАВОД</v>
      </c>
      <c r="O141" t="str">
        <f>"454000"</f>
        <v>454000</v>
      </c>
      <c r="P141" t="str">
        <f>"ОБЛ ЧЕЛЯБИНСКАЯ"</f>
        <v>ОБЛ ЧЕЛЯБИНСКАЯ</v>
      </c>
      <c r="Q141" t="str">
        <f>"Р-Н КАТАВ-ИВАНОВСКИЙ"</f>
        <v>Р-Н КАТАВ-ИВАНОВСКИЙ</v>
      </c>
      <c r="R141" t="str">
        <f>"Г ЮРЮЗАНЬ"</f>
        <v>Г ЮРЮЗАНЬ</v>
      </c>
      <c r="S141" t="str">
        <f>""</f>
        <v/>
      </c>
      <c r="T141" t="str">
        <f>"УЛ АЛАТОРЦЕВА"</f>
        <v>УЛ АЛАТОРЦЕВА</v>
      </c>
      <c r="U141" s="1" t="str">
        <f>"9"</f>
        <v>9</v>
      </c>
      <c r="V141" s="1" t="str">
        <f>""</f>
        <v/>
      </c>
      <c r="W141" s="1" t="str">
        <f>""</f>
        <v/>
      </c>
      <c r="X141" s="1" t="str">
        <f>""</f>
        <v/>
      </c>
      <c r="Y141" s="1" t="str">
        <f>""</f>
        <v/>
      </c>
      <c r="Z141" t="str">
        <f>""</f>
        <v/>
      </c>
      <c r="AA141" t="str">
        <f>"9194055881"</f>
        <v>9194055881</v>
      </c>
      <c r="AB141" t="str">
        <f>"9124724341"</f>
        <v>9124724341</v>
      </c>
      <c r="AC141" t="str">
        <f>"9194055881"</f>
        <v>9194055881</v>
      </c>
      <c r="AD141" t="str">
        <f>"9124724341"</f>
        <v>9124724341</v>
      </c>
      <c r="AE141" t="str">
        <f>""</f>
        <v/>
      </c>
    </row>
    <row r="142" spans="1:31" x14ac:dyDescent="0.45">
      <c r="A142" t="str">
        <f>"ВОЗЖАЕВА ОКСАНА ВИКТОРОВНА"</f>
        <v>ВОЗЖАЕВА ОКСАНА ВИКТОРОВНА</v>
      </c>
      <c r="B142" t="str">
        <f>"1982-01-10"</f>
        <v>1982-01-10</v>
      </c>
      <c r="C142" t="str">
        <f>"65 08 625531"</f>
        <v>65 08 625531</v>
      </c>
      <c r="D142" t="str">
        <f>"4279011651898705"</f>
        <v>4279011651898705</v>
      </c>
      <c r="E142" t="str">
        <f t="shared" si="17"/>
        <v>2021-05-31</v>
      </c>
      <c r="F142" t="str">
        <f t="shared" si="20"/>
        <v>+</v>
      </c>
      <c r="G142" t="str">
        <f t="shared" si="20"/>
        <v>+</v>
      </c>
      <c r="H142" t="str">
        <f>"40817810916991419074"</f>
        <v>40817810916991419074</v>
      </c>
      <c r="I142" t="str">
        <f>"7003"</f>
        <v>7003</v>
      </c>
      <c r="J142" t="str">
        <f>"0892"</f>
        <v>0892</v>
      </c>
      <c r="K142" t="str">
        <f>"200000.00"</f>
        <v>200000.00</v>
      </c>
      <c r="L142" t="str">
        <f>"620000 ОБЛ СВЕРДЛОВСКАЯ     Г АСБЕСТ УЛ ОКТЯБРЬСКАЯ д. 25\3"</f>
        <v>620000 ОБЛ СВЕРДЛОВСКАЯ     Г АСБЕСТ УЛ ОКТЯБРЬСКАЯ д. 25\3</v>
      </c>
      <c r="M142" t="str">
        <f t="shared" si="19"/>
        <v>2019-08-24</v>
      </c>
      <c r="N142" t="str">
        <f>"ДОМОХОЗЯЙКА"</f>
        <v>ДОМОХОЗЯЙКА</v>
      </c>
      <c r="O142" t="str">
        <f>"620000"</f>
        <v>620000</v>
      </c>
      <c r="P142" t="str">
        <f>"ОБЛ СВЕРДЛОВСКАЯ"</f>
        <v>ОБЛ СВЕРДЛОВСКАЯ</v>
      </c>
      <c r="Q142" t="str">
        <f>""</f>
        <v/>
      </c>
      <c r="R142" t="str">
        <f>""</f>
        <v/>
      </c>
      <c r="S142" t="str">
        <f>"Г АСБЕСТ"</f>
        <v>Г АСБЕСТ</v>
      </c>
      <c r="T142" t="str">
        <f>"УЛ ОКТЯБРЬСКАЯ"</f>
        <v>УЛ ОКТЯБРЬСКАЯ</v>
      </c>
      <c r="U142" s="1" t="str">
        <f>"25\3"</f>
        <v>25\3</v>
      </c>
      <c r="V142" s="1" t="str">
        <f>""</f>
        <v/>
      </c>
      <c r="W142" s="1" t="str">
        <f>""</f>
        <v/>
      </c>
      <c r="X142" s="1" t="str">
        <f>""</f>
        <v/>
      </c>
      <c r="Y142" s="1" t="str">
        <f>""</f>
        <v/>
      </c>
      <c r="Z142" t="str">
        <f>"9041621944"</f>
        <v>9041621944</v>
      </c>
      <c r="AA142" t="str">
        <f>"9041621944"</f>
        <v>9041621944</v>
      </c>
      <c r="AB142" t="str">
        <f>"9041621944"</f>
        <v>9041621944</v>
      </c>
      <c r="AC142" t="str">
        <f>"9041621944"</f>
        <v>9041621944</v>
      </c>
      <c r="AD142" t="str">
        <f>"9041621944"</f>
        <v>9041621944</v>
      </c>
      <c r="AE142" t="str">
        <f>"9041621944"</f>
        <v>9041621944</v>
      </c>
    </row>
    <row r="143" spans="1:31" x14ac:dyDescent="0.45">
      <c r="A143" t="str">
        <f>"НУЖИНА ТАТЬЯНА МИХАЙЛОВНА"</f>
        <v>НУЖИНА ТАТЬЯНА МИХАЙЛОВНА</v>
      </c>
      <c r="B143" t="str">
        <f>"1987-12-21"</f>
        <v>1987-12-21</v>
      </c>
      <c r="C143" t="str">
        <f>"65 10 955735"</f>
        <v>65 10 955735</v>
      </c>
      <c r="D143" t="str">
        <f>"4279011680093104"</f>
        <v>4279011680093104</v>
      </c>
      <c r="E143" t="str">
        <f t="shared" si="17"/>
        <v>2021-05-31</v>
      </c>
      <c r="F143" t="str">
        <f t="shared" si="20"/>
        <v>+</v>
      </c>
      <c r="G143" t="str">
        <f t="shared" si="20"/>
        <v>+</v>
      </c>
      <c r="H143" t="str">
        <f>"40817810716991419070"</f>
        <v>40817810716991419070</v>
      </c>
      <c r="I143" t="str">
        <f>"7003"</f>
        <v>7003</v>
      </c>
      <c r="J143" t="str">
        <f>"0691"</f>
        <v>0691</v>
      </c>
      <c r="K143" t="str">
        <f>"90000.00"</f>
        <v>90000.00</v>
      </c>
      <c r="L143" t="str">
        <f>"620000 ОБЛ СВЕРДЛОВСКАЯ   Г ПЕРВОУРАЛЬСК   УЛ ИЛЬИЧА д. 1"</f>
        <v>620000 ОБЛ СВЕРДЛОВСКАЯ   Г ПЕРВОУРАЛЬСК   УЛ ИЛЬИЧА д. 1</v>
      </c>
      <c r="M143" t="str">
        <f t="shared" si="19"/>
        <v>2019-08-24</v>
      </c>
      <c r="N143" t="str">
        <f>"ОАО ДИНУР"</f>
        <v>ОАО ДИНУР</v>
      </c>
      <c r="O143" t="str">
        <f>"620000"</f>
        <v>620000</v>
      </c>
      <c r="P143" t="str">
        <f>"ОБЛ СВЕРДЛОВСКАЯ"</f>
        <v>ОБЛ СВЕРДЛОВСКАЯ</v>
      </c>
      <c r="Q143" t="str">
        <f>"Р-Н ШАЛИНСКИЙ"</f>
        <v>Р-Н ШАЛИНСКИЙ</v>
      </c>
      <c r="R143" t="str">
        <f>""</f>
        <v/>
      </c>
      <c r="S143" t="str">
        <f>"П САБИК"</f>
        <v>П САБИК</v>
      </c>
      <c r="T143" t="str">
        <f>"УЛ 8 МАРТА"</f>
        <v>УЛ 8 МАРТА</v>
      </c>
      <c r="U143" s="1" t="str">
        <f>"27"</f>
        <v>27</v>
      </c>
      <c r="V143" s="1" t="str">
        <f>""</f>
        <v/>
      </c>
      <c r="W143" s="1" t="str">
        <f>""</f>
        <v/>
      </c>
      <c r="X143" s="1" t="str">
        <f>""</f>
        <v/>
      </c>
      <c r="Y143" s="1" t="str">
        <f>""</f>
        <v/>
      </c>
      <c r="Z143" t="str">
        <f>""</f>
        <v/>
      </c>
      <c r="AA143" t="str">
        <f>"9126347273"</f>
        <v>9126347273</v>
      </c>
      <c r="AB143" t="str">
        <f>"9126347273"</f>
        <v>9126347273</v>
      </c>
      <c r="AC143" t="str">
        <f>"9126347273"</f>
        <v>9126347273</v>
      </c>
      <c r="AD143" t="str">
        <f>"9126347273"</f>
        <v>9126347273</v>
      </c>
      <c r="AE143" t="str">
        <f>""</f>
        <v/>
      </c>
    </row>
    <row r="144" spans="1:31" x14ac:dyDescent="0.45">
      <c r="A144" t="str">
        <f>"НЕЧАЕВ АЛЕКСАНДР АЛЕКСАНДРОВИЧ"</f>
        <v>НЕЧАЕВ АЛЕКСАНДР АЛЕКСАНДРОВИЧ</v>
      </c>
      <c r="B144" t="str">
        <f>"1988-09-07"</f>
        <v>1988-09-07</v>
      </c>
      <c r="C144" t="str">
        <f>"75 08 367997"</f>
        <v>75 08 367997</v>
      </c>
      <c r="D144" t="str">
        <f>"4279011654389587"</f>
        <v>4279011654389587</v>
      </c>
      <c r="E144" t="str">
        <f t="shared" si="17"/>
        <v>2021-05-31</v>
      </c>
      <c r="F144" t="str">
        <f t="shared" si="20"/>
        <v>+</v>
      </c>
      <c r="G144" t="str">
        <f t="shared" si="20"/>
        <v>+</v>
      </c>
      <c r="H144" t="str">
        <f>"40817810016991419071"</f>
        <v>40817810016991419071</v>
      </c>
      <c r="I144" t="str">
        <f>"8597"</f>
        <v>8597</v>
      </c>
      <c r="J144" t="str">
        <f>"0346"</f>
        <v>0346</v>
      </c>
      <c r="K144" t="str">
        <f>"100000.00"</f>
        <v>100000.00</v>
      </c>
      <c r="L144" t="str">
        <f>"455038 ОБЛ ЧЕЛЯБИНСКАЯ   Г МАГНИТОГОРСК   УЛ СТАЛЕВАРОВ д. 17 офис 3"</f>
        <v>455038 ОБЛ ЧЕЛЯБИНСКАЯ   Г МАГНИТОГОРСК   УЛ СТАЛЕВАРОВ д. 17 офис 3</v>
      </c>
      <c r="M144" t="str">
        <f t="shared" si="19"/>
        <v>2019-08-24</v>
      </c>
      <c r="N144" t="str">
        <f>"ООО МЕТАЛЛУРГ-УРАЛ"</f>
        <v>ООО МЕТАЛЛУРГ-УРАЛ</v>
      </c>
      <c r="O144" t="str">
        <f>"455038"</f>
        <v>455038</v>
      </c>
      <c r="P144" t="str">
        <f>"ОБЛ ЧЕЛЯБИНСКАЯ"</f>
        <v>ОБЛ ЧЕЛЯБИНСКАЯ</v>
      </c>
      <c r="Q144" t="str">
        <f>""</f>
        <v/>
      </c>
      <c r="R144" t="str">
        <f>"Г МАГНИТОГОРСК"</f>
        <v>Г МАГНИТОГОРСК</v>
      </c>
      <c r="S144" t="str">
        <f>""</f>
        <v/>
      </c>
      <c r="T144" t="str">
        <f>"УЛ СТАЛЕВАРОВ"</f>
        <v>УЛ СТАЛЕВАРОВ</v>
      </c>
      <c r="U144" s="1" t="str">
        <f>"30"</f>
        <v>30</v>
      </c>
      <c r="V144" s="1" t="str">
        <f>""</f>
        <v/>
      </c>
      <c r="W144" s="1" t="str">
        <f>""</f>
        <v/>
      </c>
      <c r="X144" s="1" t="str">
        <f>""</f>
        <v/>
      </c>
      <c r="Y144" s="1" t="str">
        <f>"7"</f>
        <v>7</v>
      </c>
      <c r="Z144" t="str">
        <f>""</f>
        <v/>
      </c>
      <c r="AA144" t="str">
        <f>"9227590029"</f>
        <v>9227590029</v>
      </c>
      <c r="AB144" t="str">
        <f>"9227590029"</f>
        <v>9227590029</v>
      </c>
      <c r="AC144" t="str">
        <f>"3519340132"</f>
        <v>3519340132</v>
      </c>
      <c r="AD144" t="str">
        <f>"9227590029"</f>
        <v>9227590029</v>
      </c>
      <c r="AE144" t="str">
        <f>""</f>
        <v/>
      </c>
    </row>
    <row r="145" spans="1:31" x14ac:dyDescent="0.45">
      <c r="A145" t="str">
        <f>"ХУДЯКОВА ЕКАТЕРИНА АНДРЕЕВНА"</f>
        <v>ХУДЯКОВА ЕКАТЕРИНА АНДРЕЕВНА</v>
      </c>
      <c r="B145" t="str">
        <f>"1988-05-24"</f>
        <v>1988-05-24</v>
      </c>
      <c r="C145" t="str">
        <f>"65 08 449334"</f>
        <v>65 08 449334</v>
      </c>
      <c r="D145" t="str">
        <f>"4279011639121105"</f>
        <v>4279011639121105</v>
      </c>
      <c r="E145" t="str">
        <f t="shared" si="17"/>
        <v>2021-05-31</v>
      </c>
      <c r="F145" t="str">
        <f t="shared" si="20"/>
        <v>+</v>
      </c>
      <c r="G145" t="str">
        <f t="shared" si="20"/>
        <v>+</v>
      </c>
      <c r="H145" t="str">
        <f>"40817810616991419073"</f>
        <v>40817810616991419073</v>
      </c>
      <c r="I145" t="str">
        <f>"7003"</f>
        <v>7003</v>
      </c>
      <c r="J145" t="str">
        <f>"0359"</f>
        <v>0359</v>
      </c>
      <c r="K145" t="str">
        <f>"55000.00"</f>
        <v>55000.00</v>
      </c>
      <c r="L145" t="str">
        <f>"620000 ОБЛ СВЕРДЛОВСКАЯ   Г ЕКАТЕРИНБУРГ   УЛ ТАГАНСКАЯ д. 48 кв. 215"</f>
        <v>620000 ОБЛ СВЕРДЛОВСКАЯ   Г ЕКАТЕРИНБУРГ   УЛ ТАГАНСКАЯ д. 48 кв. 215</v>
      </c>
      <c r="M145" t="str">
        <f t="shared" si="19"/>
        <v>2019-08-24</v>
      </c>
      <c r="N145" t="str">
        <f>"ИП ХУДЯКОВА Е А"</f>
        <v>ИП ХУДЯКОВА Е А</v>
      </c>
      <c r="O145" t="str">
        <f>"620000"</f>
        <v>620000</v>
      </c>
      <c r="P145" t="str">
        <f>"ОБЛ СВЕРДЛОВСКАЯ"</f>
        <v>ОБЛ СВЕРДЛОВСКАЯ</v>
      </c>
      <c r="Q145" t="str">
        <f>""</f>
        <v/>
      </c>
      <c r="R145" t="str">
        <f>"Г ЕКАТЕРИНБУРГ"</f>
        <v>Г ЕКАТЕРИНБУРГ</v>
      </c>
      <c r="S145" t="str">
        <f>""</f>
        <v/>
      </c>
      <c r="T145" t="str">
        <f>"УЛ ТАГАНСКАЯ"</f>
        <v>УЛ ТАГАНСКАЯ</v>
      </c>
      <c r="U145" s="1" t="str">
        <f>"48"</f>
        <v>48</v>
      </c>
      <c r="V145" s="1" t="str">
        <f>""</f>
        <v/>
      </c>
      <c r="W145" s="1" t="str">
        <f>""</f>
        <v/>
      </c>
      <c r="X145" s="1" t="str">
        <f>""</f>
        <v/>
      </c>
      <c r="Y145" s="1" t="str">
        <f>"215"</f>
        <v>215</v>
      </c>
      <c r="Z145" t="str">
        <f>"9126490831"</f>
        <v>9126490831</v>
      </c>
      <c r="AA145" t="str">
        <f>"9126490831"</f>
        <v>9126490831</v>
      </c>
      <c r="AB145" t="str">
        <f>"9126490831"</f>
        <v>9126490831</v>
      </c>
      <c r="AC145" t="str">
        <f>"9126490831"</f>
        <v>9126490831</v>
      </c>
      <c r="AD145" t="str">
        <f>"9126490831"</f>
        <v>9126490831</v>
      </c>
      <c r="AE145" t="str">
        <f>"9126490831"</f>
        <v>9126490831</v>
      </c>
    </row>
    <row r="146" spans="1:31" x14ac:dyDescent="0.45">
      <c r="A146" t="str">
        <f>"АГЕЕВ ОЛЕГ ВЛАДИМИРОВИЧ"</f>
        <v>АГЕЕВ ОЛЕГ ВЛАДИМИРОВИЧ</v>
      </c>
      <c r="B146" t="str">
        <f>"1974-03-12"</f>
        <v>1974-03-12</v>
      </c>
      <c r="C146" t="str">
        <f>"37 18 778084"</f>
        <v>37 18 778084</v>
      </c>
      <c r="D146" t="str">
        <f>"4279011681149699"</f>
        <v>4279011681149699</v>
      </c>
      <c r="E146" t="str">
        <f t="shared" si="17"/>
        <v>2021-05-31</v>
      </c>
      <c r="F146" t="str">
        <f t="shared" si="20"/>
        <v>+</v>
      </c>
      <c r="G146" t="str">
        <f t="shared" si="20"/>
        <v>+</v>
      </c>
      <c r="H146" t="str">
        <f>"40817810216991419075"</f>
        <v>40817810216991419075</v>
      </c>
      <c r="I146" t="str">
        <f>"8599"</f>
        <v>8599</v>
      </c>
      <c r="J146" t="str">
        <f>"0078"</f>
        <v>0078</v>
      </c>
      <c r="K146" t="str">
        <f>"100000.00"</f>
        <v>100000.00</v>
      </c>
      <c r="L146" t="str">
        <f>"641000 ОБЛ КУРГАНСКАЯ Р-Н КЕТОВСКИЙ   П СВЕТЛАЯ ПОЛЯНА МКР 1 д. 13"</f>
        <v>641000 ОБЛ КУРГАНСКАЯ Р-Н КЕТОВСКИЙ   П СВЕТЛАЯ ПОЛЯНА МКР 1 д. 13</v>
      </c>
      <c r="M146" t="str">
        <f t="shared" si="19"/>
        <v>2019-08-24</v>
      </c>
      <c r="N146" t="str">
        <f>"ООО КУРГАНСКОЕ"</f>
        <v>ООО КУРГАНСКОЕ</v>
      </c>
      <c r="O146" t="str">
        <f>"641000"</f>
        <v>641000</v>
      </c>
      <c r="P146" t="str">
        <f>"ОБЛ КУРГАНСКАЯ"</f>
        <v>ОБЛ КУРГАНСКАЯ</v>
      </c>
      <c r="Q146" t="str">
        <f>"Р-Н КЕТОВСКИЙ"</f>
        <v>Р-Н КЕТОВСКИЙ</v>
      </c>
      <c r="R146" t="str">
        <f>""</f>
        <v/>
      </c>
      <c r="S146" t="str">
        <f>"С КАШИРИНО"</f>
        <v>С КАШИРИНО</v>
      </c>
      <c r="T146" t="str">
        <f>"УЛ ПОБЕДЫ"</f>
        <v>УЛ ПОБЕДЫ</v>
      </c>
      <c r="U146" s="1" t="str">
        <f>"10"</f>
        <v>10</v>
      </c>
      <c r="V146" s="1" t="str">
        <f>""</f>
        <v/>
      </c>
      <c r="W146" s="1" t="str">
        <f>""</f>
        <v/>
      </c>
      <c r="X146" s="1" t="str">
        <f>""</f>
        <v/>
      </c>
      <c r="Y146" s="1" t="str">
        <f>"8"</f>
        <v>8</v>
      </c>
      <c r="Z146" t="str">
        <f>""</f>
        <v/>
      </c>
      <c r="AA146" t="str">
        <f>"+7 (909) 1498735"</f>
        <v>+7 (909) 1498735</v>
      </c>
      <c r="AB146" t="str">
        <f>"+7 (909) 1498735"</f>
        <v>+7 (909) 1498735</v>
      </c>
      <c r="AC146" t="str">
        <f>"9638686732"</f>
        <v>9638686732</v>
      </c>
      <c r="AD146" t="str">
        <f>"9638686732"</f>
        <v>9638686732</v>
      </c>
      <c r="AE146" t="str">
        <f>""</f>
        <v/>
      </c>
    </row>
    <row r="147" spans="1:31" x14ac:dyDescent="0.45">
      <c r="A147" t="str">
        <f>"ШАФИЕВА МИНИСАРА МИНИБАЕВНА"</f>
        <v>ШАФИЕВА МИНИСАРА МИНИБАЕВНА</v>
      </c>
      <c r="B147" t="str">
        <f>"1963-12-06"</f>
        <v>1963-12-06</v>
      </c>
      <c r="C147" t="str">
        <f>"80 09 872484"</f>
        <v>80 09 872484</v>
      </c>
      <c r="D147" t="str">
        <f>"4279011613984270"</f>
        <v>4279011613984270</v>
      </c>
      <c r="E147" t="str">
        <f t="shared" si="17"/>
        <v>2021-05-31</v>
      </c>
      <c r="F147" t="str">
        <f t="shared" si="20"/>
        <v>+</v>
      </c>
      <c r="G147" t="str">
        <f t="shared" si="20"/>
        <v>+</v>
      </c>
      <c r="H147" t="str">
        <f>"40817810116991419078"</f>
        <v>40817810116991419078</v>
      </c>
      <c r="I147" t="str">
        <f>"8598"</f>
        <v>8598</v>
      </c>
      <c r="J147" t="str">
        <f>"0349"</f>
        <v>0349</v>
      </c>
      <c r="K147" t="str">
        <f>"120000.00"</f>
        <v>120000.00</v>
      </c>
      <c r="L147" t="str">
        <f>"450000 ОБЛ МОСКОВСКАЯ   Г МОСКВА   ПЕР КАДАШЕВСКИЙ д. 6"</f>
        <v>450000 ОБЛ МОСКОВСКАЯ   Г МОСКВА   ПЕР КАДАШЕВСКИЙ д. 6</v>
      </c>
      <c r="M147" t="str">
        <f t="shared" si="19"/>
        <v>2019-08-24</v>
      </c>
      <c r="N147" t="str">
        <f>"АО КХМ"</f>
        <v>АО КХМ</v>
      </c>
      <c r="O147" t="str">
        <f>"450000"</f>
        <v>450000</v>
      </c>
      <c r="P147" t="str">
        <f>"РЕСП БАШКОРТОСТАН"</f>
        <v>РЕСП БАШКОРТОСТАН</v>
      </c>
      <c r="Q147" t="str">
        <f>""</f>
        <v/>
      </c>
      <c r="R147" t="str">
        <f>"Г СТЕРЛИТАМАК"</f>
        <v>Г СТЕРЛИТАМАК</v>
      </c>
      <c r="S147" t="str">
        <f>""</f>
        <v/>
      </c>
      <c r="T147" t="str">
        <f>"УЛ АРТЕМА"</f>
        <v>УЛ АРТЕМА</v>
      </c>
      <c r="U147" s="1" t="str">
        <f>"145"</f>
        <v>145</v>
      </c>
      <c r="V147" s="1" t="str">
        <f>""</f>
        <v/>
      </c>
      <c r="W147" s="1" t="str">
        <f>""</f>
        <v/>
      </c>
      <c r="X147" s="1" t="str">
        <f>""</f>
        <v/>
      </c>
      <c r="Y147" s="1" t="str">
        <f>"33"</f>
        <v>33</v>
      </c>
      <c r="Z147" t="str">
        <f>""</f>
        <v/>
      </c>
      <c r="AA147" t="str">
        <f>"3473226902"</f>
        <v>3473226902</v>
      </c>
      <c r="AB147" t="str">
        <f>"9177939562"</f>
        <v>9177939562</v>
      </c>
      <c r="AC147" t="str">
        <f>"9177939562"</f>
        <v>9177939562</v>
      </c>
      <c r="AD147" t="str">
        <f>"9177939562"</f>
        <v>9177939562</v>
      </c>
      <c r="AE147" t="str">
        <f>""</f>
        <v/>
      </c>
    </row>
    <row r="148" spans="1:31" x14ac:dyDescent="0.45">
      <c r="A148" t="str">
        <f>"ЛОБАНОВА ЛУИЗА РИФОВНА"</f>
        <v>ЛОБАНОВА ЛУИЗА РИФОВНА</v>
      </c>
      <c r="B148" t="str">
        <f>"1984-03-26"</f>
        <v>1984-03-26</v>
      </c>
      <c r="C148" t="str">
        <f>"80 05 399667"</f>
        <v>80 05 399667</v>
      </c>
      <c r="D148" t="str">
        <f>"4279011675651478"</f>
        <v>4279011675651478</v>
      </c>
      <c r="E148" t="str">
        <f t="shared" si="17"/>
        <v>2021-05-31</v>
      </c>
      <c r="F148" t="str">
        <f t="shared" si="20"/>
        <v>+</v>
      </c>
      <c r="G148" t="str">
        <f t="shared" si="20"/>
        <v>+</v>
      </c>
      <c r="H148" t="str">
        <f>"40817810416991419079"</f>
        <v>40817810416991419079</v>
      </c>
      <c r="I148" t="str">
        <f>"8598"</f>
        <v>8598</v>
      </c>
      <c r="J148" t="str">
        <f>"0728"</f>
        <v>0728</v>
      </c>
      <c r="K148" t="str">
        <f>"115000.00"</f>
        <v>115000.00</v>
      </c>
      <c r="L148" t="str">
        <f>"453600 РЕСП БАШКОРТОСТАН Р-Н АБЗЕЛИЛОВСКИЙ   Д ВЕРХНЕЕ АБДРЯШЕВО УЛ САЛАВАТА ЮЛАЕВА д. 1"</f>
        <v>453600 РЕСП БАШКОРТОСТАН Р-Н АБЗЕЛИЛОВСКИЙ   Д ВЕРХНЕЕ АБДРЯШЕВО УЛ САЛАВАТА ЮЛАЕВА д. 1</v>
      </c>
      <c r="M148" t="str">
        <f t="shared" si="19"/>
        <v>2019-08-24</v>
      </c>
      <c r="N148" t="str">
        <f>"ИП ЮЛДЫБАЕВ"</f>
        <v>ИП ЮЛДЫБАЕВ</v>
      </c>
      <c r="O148" t="str">
        <f>"450000"</f>
        <v>450000</v>
      </c>
      <c r="P148" t="str">
        <f>"РЕСП БАШКОРТОСТАН"</f>
        <v>РЕСП БАШКОРТОСТАН</v>
      </c>
      <c r="Q148" t="str">
        <f>"Р-Н АБЗЕЛИЛОВСКИЙ"</f>
        <v>Р-Н АБЗЕЛИЛОВСКИЙ</v>
      </c>
      <c r="R148" t="str">
        <f>""</f>
        <v/>
      </c>
      <c r="S148" t="str">
        <f>"С АСКАРОВО"</f>
        <v>С АСКАРОВО</v>
      </c>
      <c r="T148" t="str">
        <f>"УЛ МАТРОСОВА"</f>
        <v>УЛ МАТРОСОВА</v>
      </c>
      <c r="U148" s="1" t="str">
        <f>"3"</f>
        <v>3</v>
      </c>
      <c r="V148" s="1" t="str">
        <f>""</f>
        <v/>
      </c>
      <c r="W148" s="1" t="str">
        <f>""</f>
        <v/>
      </c>
      <c r="X148" s="1" t="str">
        <f>""</f>
        <v/>
      </c>
      <c r="Y148" s="1" t="str">
        <f>"19"</f>
        <v>19</v>
      </c>
      <c r="Z148" t="str">
        <f>""</f>
        <v/>
      </c>
      <c r="AA148" t="str">
        <f>"+7 (964) 9620477"</f>
        <v>+7 (964) 9620477</v>
      </c>
      <c r="AB148" t="str">
        <f>"9649620477"</f>
        <v>9649620477</v>
      </c>
      <c r="AC148" t="str">
        <f>"9649620477"</f>
        <v>9649620477</v>
      </c>
      <c r="AD148" t="str">
        <f>"9649620477"</f>
        <v>9649620477</v>
      </c>
      <c r="AE148" t="str">
        <f>""</f>
        <v/>
      </c>
    </row>
    <row r="149" spans="1:31" x14ac:dyDescent="0.45">
      <c r="A149" t="str">
        <f>"КОНЬКОВА ТАТЬЯНА АЛЕКСАНДРОВНА"</f>
        <v>КОНЬКОВА ТАТЬЯНА АЛЕКСАНДРОВНА</v>
      </c>
      <c r="B149" t="str">
        <f>"1978-02-21"</f>
        <v>1978-02-21</v>
      </c>
      <c r="C149" t="str">
        <f>"65 02 261126"</f>
        <v>65 02 261126</v>
      </c>
      <c r="D149" t="str">
        <f>"4279011696346660"</f>
        <v>4279011696346660</v>
      </c>
      <c r="E149" t="str">
        <f t="shared" si="17"/>
        <v>2021-05-31</v>
      </c>
      <c r="F149" t="str">
        <f t="shared" si="20"/>
        <v>+</v>
      </c>
      <c r="G149" t="str">
        <f t="shared" si="20"/>
        <v>+</v>
      </c>
      <c r="H149" t="str">
        <f>"40817810116991419081"</f>
        <v>40817810116991419081</v>
      </c>
      <c r="I149" t="str">
        <f>"7003"</f>
        <v>7003</v>
      </c>
      <c r="J149" t="str">
        <f>"0682"</f>
        <v>0682</v>
      </c>
      <c r="K149" t="str">
        <f>"40000.00"</f>
        <v>40000.00</v>
      </c>
      <c r="L149" t="str">
        <f>"620000 ОБЛ СВЕРДЛОВСКАЯ   Г ПЕРВОУРАЛЬСК   УЛ ДОБРОЛЮБОВА д. 42А"</f>
        <v>620000 ОБЛ СВЕРДЛОВСКАЯ   Г ПЕРВОУРАЛЬСК   УЛ ДОБРОЛЮБОВА д. 42А</v>
      </c>
      <c r="M149" t="str">
        <f t="shared" si="19"/>
        <v>2019-08-24</v>
      </c>
      <c r="N149" t="str">
        <f>"ООО РСУ-ЦЕНТР"</f>
        <v>ООО РСУ-ЦЕНТР</v>
      </c>
      <c r="O149" t="str">
        <f>"620000"</f>
        <v>620000</v>
      </c>
      <c r="P149" t="str">
        <f>"ОБЛ СВЕРДЛОВСКАЯ"</f>
        <v>ОБЛ СВЕРДЛОВСКАЯ</v>
      </c>
      <c r="Q149" t="str">
        <f>""</f>
        <v/>
      </c>
      <c r="R149" t="str">
        <f>"Г ПЕРВОУРАЛЬСК"</f>
        <v>Г ПЕРВОУРАЛЬСК</v>
      </c>
      <c r="S149" t="str">
        <f>""</f>
        <v/>
      </c>
      <c r="T149" t="str">
        <f>"УЛ БЕРЕГОВАЯ"</f>
        <v>УЛ БЕРЕГОВАЯ</v>
      </c>
      <c r="U149" s="1" t="str">
        <f>"76"</f>
        <v>76</v>
      </c>
      <c r="V149" s="1" t="str">
        <f>""</f>
        <v/>
      </c>
      <c r="W149" s="1" t="str">
        <f>"В"</f>
        <v>В</v>
      </c>
      <c r="X149" s="1" t="str">
        <f>""</f>
        <v/>
      </c>
      <c r="Y149" s="1" t="str">
        <f>"16"</f>
        <v>16</v>
      </c>
      <c r="Z149" t="str">
        <f>"9222278948"</f>
        <v>9222278948</v>
      </c>
      <c r="AA149" t="str">
        <f>"9222278948"</f>
        <v>9222278948</v>
      </c>
      <c r="AB149" t="str">
        <f>"9222278948"</f>
        <v>9222278948</v>
      </c>
      <c r="AC149" t="str">
        <f>"9222278948"</f>
        <v>9222278948</v>
      </c>
      <c r="AD149" t="str">
        <f>"9222278948"</f>
        <v>9222278948</v>
      </c>
      <c r="AE149" t="str">
        <f>"9222278948"</f>
        <v>9222278948</v>
      </c>
    </row>
    <row r="150" spans="1:31" x14ac:dyDescent="0.45">
      <c r="A150" t="str">
        <f>"ТИМЕРБАЕВ МАРАТ САМАТОВИЧ"</f>
        <v>ТИМЕРБАЕВ МАРАТ САМАТОВИЧ</v>
      </c>
      <c r="B150" t="str">
        <f>"1982-06-01"</f>
        <v>1982-06-01</v>
      </c>
      <c r="C150" t="str">
        <f>"80 04 295931"</f>
        <v>80 04 295931</v>
      </c>
      <c r="D150" t="str">
        <f>"4279011611763452"</f>
        <v>4279011611763452</v>
      </c>
      <c r="E150" t="str">
        <f t="shared" si="17"/>
        <v>2021-05-31</v>
      </c>
      <c r="F150" t="str">
        <f t="shared" si="20"/>
        <v>+</v>
      </c>
      <c r="G150" t="str">
        <f t="shared" si="20"/>
        <v>+</v>
      </c>
      <c r="H150" t="str">
        <f>"40817810416991419082"</f>
        <v>40817810416991419082</v>
      </c>
      <c r="I150" t="str">
        <f>"8598"</f>
        <v>8598</v>
      </c>
      <c r="J150" t="str">
        <f>"0214"</f>
        <v>0214</v>
      </c>
      <c r="K150" t="str">
        <f>"120000.00"</f>
        <v>120000.00</v>
      </c>
      <c r="L150" t="str">
        <f>"450000 РЕСП БАШКОРТОСТАН   Г УФА   ПР-КТ ОКТЯБРЯ д. 73 корп. 1"</f>
        <v>450000 РЕСП БАШКОРТОСТАН   Г УФА   ПР-КТ ОКТЯБРЯ д. 73 корп. 1</v>
      </c>
      <c r="M150" t="str">
        <f t="shared" si="19"/>
        <v>2019-08-24</v>
      </c>
      <c r="N150" t="str">
        <f>"РКВД МЗ"</f>
        <v>РКВД МЗ</v>
      </c>
      <c r="O150" t="str">
        <f>"450105"</f>
        <v>450105</v>
      </c>
      <c r="P150" t="str">
        <f>"РЕСП БАШКОРТОСТАН"</f>
        <v>РЕСП БАШКОРТОСТАН</v>
      </c>
      <c r="Q150" t="str">
        <f>""</f>
        <v/>
      </c>
      <c r="R150" t="str">
        <f>"Г УФА"</f>
        <v>Г УФА</v>
      </c>
      <c r="S150" t="str">
        <f>""</f>
        <v/>
      </c>
      <c r="T150" t="str">
        <f>"УЛ АКАДЕМИКА КОРОЛЕВА"</f>
        <v>УЛ АКАДЕМИКА КОРОЛЕВА</v>
      </c>
      <c r="U150" s="1" t="str">
        <f>"27"</f>
        <v>27</v>
      </c>
      <c r="V150" s="1" t="str">
        <f>""</f>
        <v/>
      </c>
      <c r="W150" s="1" t="str">
        <f>""</f>
        <v/>
      </c>
      <c r="X150" s="1" t="str">
        <f>""</f>
        <v/>
      </c>
      <c r="Y150" s="1" t="str">
        <f>"171"</f>
        <v>171</v>
      </c>
      <c r="Z150" t="str">
        <f>"3472372949"</f>
        <v>3472372949</v>
      </c>
      <c r="AA150" t="str">
        <f>"3472301420"</f>
        <v>3472301420</v>
      </c>
      <c r="AB150" t="str">
        <f>"9371522290"</f>
        <v>9371522290</v>
      </c>
      <c r="AC150" t="str">
        <f>"3472301420"</f>
        <v>3472301420</v>
      </c>
      <c r="AD150" t="str">
        <f>"9371522290"</f>
        <v>9371522290</v>
      </c>
      <c r="AE150" t="str">
        <f>"3472372949"</f>
        <v>3472372949</v>
      </c>
    </row>
    <row r="151" spans="1:31" x14ac:dyDescent="0.45">
      <c r="A151" t="str">
        <f>"АВЕРКОВ АЛЕКСАНДР АЛЕКСАНДРОВИЧ"</f>
        <v>АВЕРКОВ АЛЕКСАНДР АЛЕКСАНДРОВИЧ</v>
      </c>
      <c r="B151" t="str">
        <f>"1984-11-06"</f>
        <v>1984-11-06</v>
      </c>
      <c r="C151" t="str">
        <f>"75 04 506006"</f>
        <v>75 04 506006</v>
      </c>
      <c r="D151" t="str">
        <f>"4817810044423728"</f>
        <v>4817810044423728</v>
      </c>
      <c r="E151" t="str">
        <f t="shared" si="17"/>
        <v>2021-05-31</v>
      </c>
      <c r="F151" t="str">
        <f t="shared" si="20"/>
        <v>+</v>
      </c>
      <c r="G151" t="str">
        <f t="shared" si="20"/>
        <v>+</v>
      </c>
      <c r="H151" t="str">
        <f>"40817810316991419085"</f>
        <v>40817810316991419085</v>
      </c>
      <c r="I151" t="str">
        <f>"8597"</f>
        <v>8597</v>
      </c>
      <c r="J151" t="str">
        <f>"0392"</f>
        <v>0392</v>
      </c>
      <c r="K151" t="str">
        <f>"750000.00"</f>
        <v>750000.00</v>
      </c>
      <c r="L151" t="str">
        <f>"454000 ОБЛ ЧЕЛЯБИНСКАЯ Р-Н БРЕДИНСКИЙ   П БРЕДЫ УЛ ФРУНЗЕ д. 1"</f>
        <v>454000 ОБЛ ЧЕЛЯБИНСКАЯ Р-Н БРЕДИНСКИЙ   П БРЕДЫ УЛ ФРУНЗЕ д. 1</v>
      </c>
      <c r="M151" t="str">
        <f t="shared" si="19"/>
        <v>2019-08-24</v>
      </c>
      <c r="N151" t="str">
        <f>"ИП АВЕРКОВ АА"</f>
        <v>ИП АВЕРКОВ АА</v>
      </c>
      <c r="O151" t="str">
        <f>"454000"</f>
        <v>454000</v>
      </c>
      <c r="P151" t="str">
        <f>"ОБЛ ЧЕЛЯБИНСКАЯ"</f>
        <v>ОБЛ ЧЕЛЯБИНСКАЯ</v>
      </c>
      <c r="Q151" t="str">
        <f>"Р-Н БРЕДИНСКИЙ"</f>
        <v>Р-Н БРЕДИНСКИЙ</v>
      </c>
      <c r="R151" t="str">
        <f>""</f>
        <v/>
      </c>
      <c r="S151" t="str">
        <f>"П БРЕДЫ"</f>
        <v>П БРЕДЫ</v>
      </c>
      <c r="T151" t="str">
        <f>"УЛ РОЗЫ ЛЮКСЕМБУРГ"</f>
        <v>УЛ РОЗЫ ЛЮКСЕМБУРГ</v>
      </c>
      <c r="U151" s="1" t="str">
        <f>"60"</f>
        <v>60</v>
      </c>
      <c r="V151" s="1" t="str">
        <f>""</f>
        <v/>
      </c>
      <c r="W151" s="1" t="str">
        <f>""</f>
        <v/>
      </c>
      <c r="X151" s="1" t="str">
        <f>""</f>
        <v/>
      </c>
      <c r="Y151" s="1" t="str">
        <f>"2"</f>
        <v>2</v>
      </c>
      <c r="Z151" t="str">
        <f>"9049446999"</f>
        <v>9049446999</v>
      </c>
      <c r="AA151" t="str">
        <f>"9049446999"</f>
        <v>9049446999</v>
      </c>
      <c r="AB151" t="str">
        <f>"9049446999"</f>
        <v>9049446999</v>
      </c>
      <c r="AC151" t="str">
        <f>"9049446999"</f>
        <v>9049446999</v>
      </c>
      <c r="AD151" t="str">
        <f>"9049446999"</f>
        <v>9049446999</v>
      </c>
      <c r="AE151" t="str">
        <f>"9049446999"</f>
        <v>9049446999</v>
      </c>
    </row>
    <row r="152" spans="1:31" x14ac:dyDescent="0.45">
      <c r="A152" t="str">
        <f>"ФРОЛОВА МАРИНА ВИКТОРОВНА"</f>
        <v>ФРОЛОВА МАРИНА ВИКТОРОВНА</v>
      </c>
      <c r="B152" t="str">
        <f>"1973-03-08"</f>
        <v>1973-03-08</v>
      </c>
      <c r="C152" t="str">
        <f>"75 18 100368"</f>
        <v>75 18 100368</v>
      </c>
      <c r="D152" t="str">
        <f>"4279011632458652"</f>
        <v>4279011632458652</v>
      </c>
      <c r="E152" t="str">
        <f t="shared" si="17"/>
        <v>2021-05-31</v>
      </c>
      <c r="F152" t="str">
        <f t="shared" si="20"/>
        <v>+</v>
      </c>
      <c r="G152" t="str">
        <f t="shared" si="20"/>
        <v>+</v>
      </c>
      <c r="H152" t="str">
        <f>"40817810716991419083"</f>
        <v>40817810716991419083</v>
      </c>
      <c r="I152" t="str">
        <f>"8597"</f>
        <v>8597</v>
      </c>
      <c r="J152" t="str">
        <f>"0378"</f>
        <v>0378</v>
      </c>
      <c r="K152" t="str">
        <f>"185000.00"</f>
        <v>185000.00</v>
      </c>
      <c r="L152" t="str">
        <f>"454000 ОБЛ ЧЕЛЯБИНСКАЯ   Г МАГНИТОГОРСК   УЛ ОБРУЧЕВА д. 7"</f>
        <v>454000 ОБЛ ЧЕЛЯБИНСКАЯ   Г МАГНИТОГОРСК   УЛ ОБРУЧЕВА д. 7</v>
      </c>
      <c r="M152" t="str">
        <f t="shared" si="19"/>
        <v>2019-08-24</v>
      </c>
      <c r="N152" t="str">
        <f>"АО РВС"</f>
        <v>АО РВС</v>
      </c>
      <c r="O152" t="str">
        <f>"454000"</f>
        <v>454000</v>
      </c>
      <c r="P152" t="str">
        <f>"ОБЛ ЧЕЛЯБИНСКАЯ"</f>
        <v>ОБЛ ЧЕЛЯБИНСКАЯ</v>
      </c>
      <c r="Q152" t="str">
        <f>""</f>
        <v/>
      </c>
      <c r="R152" t="str">
        <f>"Г МАГНИТОГОРСК"</f>
        <v>Г МАГНИТОГОРСК</v>
      </c>
      <c r="S152" t="str">
        <f>""</f>
        <v/>
      </c>
      <c r="T152" t="str">
        <f>"ПР-КТ КАРЛА МАРКСА"</f>
        <v>ПР-КТ КАРЛА МАРКСА</v>
      </c>
      <c r="U152" s="1" t="str">
        <f>"196"</f>
        <v>196</v>
      </c>
      <c r="V152" s="1" t="str">
        <f>""</f>
        <v/>
      </c>
      <c r="W152" s="1" t="str">
        <f>""</f>
        <v/>
      </c>
      <c r="X152" s="1" t="str">
        <f>""</f>
        <v/>
      </c>
      <c r="Y152" s="1" t="str">
        <f>"11"</f>
        <v>11</v>
      </c>
      <c r="Z152" t="str">
        <f>""</f>
        <v/>
      </c>
      <c r="AA152" t="str">
        <f>"9028681656"</f>
        <v>9028681656</v>
      </c>
      <c r="AB152" t="str">
        <f>"9028681656"</f>
        <v>9028681656</v>
      </c>
      <c r="AC152" t="str">
        <f>"9028681656"</f>
        <v>9028681656</v>
      </c>
      <c r="AD152" t="str">
        <f>"9028681656"</f>
        <v>9028681656</v>
      </c>
      <c r="AE152" t="str">
        <f>""</f>
        <v/>
      </c>
    </row>
    <row r="153" spans="1:31" x14ac:dyDescent="0.45">
      <c r="A153" t="str">
        <f>"АЛИМАНОВА ЕЛЕНА НИКОЛАЕВНА"</f>
        <v>АЛИМАНОВА ЕЛЕНА НИКОЛАЕВНА</v>
      </c>
      <c r="B153" t="str">
        <f>"1985-08-24"</f>
        <v>1985-08-24</v>
      </c>
      <c r="C153" t="str">
        <f>"80 05 423144"</f>
        <v>80 05 423144</v>
      </c>
      <c r="D153" t="str">
        <f>"4854630409133736"</f>
        <v>4854630409133736</v>
      </c>
      <c r="E153" t="str">
        <f>"2021-04-30"</f>
        <v>2021-04-30</v>
      </c>
      <c r="F153" t="str">
        <f>"K"</f>
        <v>K</v>
      </c>
      <c r="G153" t="str">
        <f>"+"</f>
        <v>+</v>
      </c>
      <c r="H153" t="str">
        <f>"40817810016991418975"</f>
        <v>40817810016991418975</v>
      </c>
      <c r="I153" t="str">
        <f>"8598"</f>
        <v>8598</v>
      </c>
      <c r="J153" t="str">
        <f>"0434"</f>
        <v>0434</v>
      </c>
      <c r="K153" t="str">
        <f>"100000.00"</f>
        <v>100000.00</v>
      </c>
      <c r="L153" t="str">
        <f>"453400 РЕСП БАШКОРТОСТАН   Г ДАВЛЕКАНОВО   УЛ КРАСНОГВАРДЕЙСКАЯ д. 3Б"</f>
        <v>453400 РЕСП БАШКОРТОСТАН   Г ДАВЛЕКАНОВО   УЛ КРАСНОГВАРДЕЙСКАЯ д. 3Б</v>
      </c>
      <c r="M153" t="str">
        <f t="shared" si="19"/>
        <v>2019-08-24</v>
      </c>
      <c r="N153" t="str">
        <f>"МБУ ЕДДС"</f>
        <v>МБУ ЕДДС</v>
      </c>
      <c r="O153" t="str">
        <f>"453400"</f>
        <v>453400</v>
      </c>
      <c r="P153" t="str">
        <f>"РЕСП БАШКОРТОСТАН"</f>
        <v>РЕСП БАШКОРТОСТАН</v>
      </c>
      <c r="Q153" t="str">
        <f>""</f>
        <v/>
      </c>
      <c r="R153" t="str">
        <f>"Г ДАВЛЕКАНОВО"</f>
        <v>Г ДАВЛЕКАНОВО</v>
      </c>
      <c r="S153" t="str">
        <f>""</f>
        <v/>
      </c>
      <c r="T153" t="str">
        <f>"УЛ КОСМОНАВТОВ"</f>
        <v>УЛ КОСМОНАВТОВ</v>
      </c>
      <c r="U153" s="1" t="str">
        <f>"42"</f>
        <v>42</v>
      </c>
      <c r="V153" s="1" t="str">
        <f>""</f>
        <v/>
      </c>
      <c r="W153" s="1" t="str">
        <f>""</f>
        <v/>
      </c>
      <c r="X153" s="1" t="str">
        <f>""</f>
        <v/>
      </c>
      <c r="Y153" s="1" t="str">
        <f>""</f>
        <v/>
      </c>
      <c r="Z153" t="str">
        <f>"9177751318"</f>
        <v>9177751318</v>
      </c>
      <c r="AA153" t="str">
        <f>"9177751318"</f>
        <v>9177751318</v>
      </c>
      <c r="AB153" t="str">
        <f>"9177751318"</f>
        <v>9177751318</v>
      </c>
      <c r="AC153" t="str">
        <f>"9177751318"</f>
        <v>9177751318</v>
      </c>
      <c r="AD153" t="str">
        <f>"9177751318"</f>
        <v>9177751318</v>
      </c>
      <c r="AE153" t="str">
        <f>"9177751318"</f>
        <v>9177751318</v>
      </c>
    </row>
    <row r="154" spans="1:31" x14ac:dyDescent="0.45">
      <c r="A154" t="str">
        <f>"МОСКОВЧЕНКО АРТЕМ АЛЕКСАНДРОВИЧ"</f>
        <v>МОСКОВЧЕНКО АРТЕМ АЛЕКСАНДРОВИЧ</v>
      </c>
      <c r="B154" t="str">
        <f>"1989-04-02"</f>
        <v>1989-04-02</v>
      </c>
      <c r="C154" t="str">
        <f>"75 09 545928"</f>
        <v>75 09 545928</v>
      </c>
      <c r="D154" t="str">
        <f>"4279011632929157"</f>
        <v>4279011632929157</v>
      </c>
      <c r="E154" t="str">
        <f t="shared" ref="E154:E182" si="21">"2021-05-31"</f>
        <v>2021-05-31</v>
      </c>
      <c r="F154" t="str">
        <f t="shared" ref="F154:G168" si="22">"+"</f>
        <v>+</v>
      </c>
      <c r="G154" t="str">
        <f>"+"</f>
        <v>+</v>
      </c>
      <c r="H154" t="str">
        <f>"40817810116991419052"</f>
        <v>40817810116991419052</v>
      </c>
      <c r="I154" t="str">
        <f>"8597"</f>
        <v>8597</v>
      </c>
      <c r="J154" t="str">
        <f>"0508"</f>
        <v>0508</v>
      </c>
      <c r="K154" t="str">
        <f>"150000.00"</f>
        <v>150000.00</v>
      </c>
      <c r="L154" t="str">
        <f>"456910 ОБЛ ЧЕЛЯБИНСКАЯ   Г САТКА   УЛ СОЛНЕЧНАЯ д. 34"</f>
        <v>456910 ОБЛ ЧЕЛЯБИНСКАЯ   Г САТКА   УЛ СОЛНЕЧНАЯ д. 34</v>
      </c>
      <c r="M154" t="str">
        <f t="shared" si="19"/>
        <v>2019-08-24</v>
      </c>
      <c r="N154" t="str">
        <f>"МАГНЕЗИТ"</f>
        <v>МАГНЕЗИТ</v>
      </c>
      <c r="O154" t="str">
        <f>"454000"</f>
        <v>454000</v>
      </c>
      <c r="P154" t="str">
        <f>"ОБЛ ЧЕЛЯБИНСКАЯ"</f>
        <v>ОБЛ ЧЕЛЯБИНСКАЯ</v>
      </c>
      <c r="Q154" t="str">
        <f>"Р-Н САТКИНСКИЙ"</f>
        <v>Р-Н САТКИНСКИЙ</v>
      </c>
      <c r="R154" t="str">
        <f>""</f>
        <v/>
      </c>
      <c r="S154" t="str">
        <f>"Г САТКА"</f>
        <v>Г САТКА</v>
      </c>
      <c r="T154" t="str">
        <f>"УЛ 50 ЛЕТ ВЛКСМ"</f>
        <v>УЛ 50 ЛЕТ ВЛКСМ</v>
      </c>
      <c r="U154" s="1" t="str">
        <f>"14"</f>
        <v>14</v>
      </c>
      <c r="V154" s="1" t="str">
        <f>""</f>
        <v/>
      </c>
      <c r="W154" s="1" t="str">
        <f>""</f>
        <v/>
      </c>
      <c r="X154" s="1" t="str">
        <f>""</f>
        <v/>
      </c>
      <c r="Y154" s="1" t="str">
        <f>"20"</f>
        <v>20</v>
      </c>
      <c r="Z154" t="str">
        <f>"9517898713"</f>
        <v>9517898713</v>
      </c>
      <c r="AA154" t="str">
        <f>"9822996234"</f>
        <v>9822996234</v>
      </c>
      <c r="AB154" t="str">
        <f>"9822996234"</f>
        <v>9822996234</v>
      </c>
      <c r="AC154" t="str">
        <f>"9822996234"</f>
        <v>9822996234</v>
      </c>
      <c r="AD154" t="str">
        <f>"9822996234"</f>
        <v>9822996234</v>
      </c>
      <c r="AE154" t="str">
        <f>""</f>
        <v/>
      </c>
    </row>
    <row r="155" spans="1:31" x14ac:dyDescent="0.45">
      <c r="A155" t="str">
        <f>"БОРОВИКОВ СЕРГЕЙ НИКОЛАЕВИЧ"</f>
        <v>БОРОВИКОВ СЕРГЕЙ НИКОЛАЕВИЧ</v>
      </c>
      <c r="B155" t="str">
        <f>"1967-10-02"</f>
        <v>1967-10-02</v>
      </c>
      <c r="C155" t="str">
        <f>"80 12 605725"</f>
        <v>80 12 605725</v>
      </c>
      <c r="D155" t="str">
        <f>"4279011635568341"</f>
        <v>4279011635568341</v>
      </c>
      <c r="E155" t="str">
        <f t="shared" si="21"/>
        <v>2021-05-31</v>
      </c>
      <c r="F155" t="str">
        <f t="shared" si="22"/>
        <v>+</v>
      </c>
      <c r="G155" t="str">
        <f>"+"</f>
        <v>+</v>
      </c>
      <c r="H155" t="str">
        <f>"40817810416991419053"</f>
        <v>40817810416991419053</v>
      </c>
      <c r="I155" t="str">
        <f>"8598"</f>
        <v>8598</v>
      </c>
      <c r="J155" t="str">
        <f>"0153"</f>
        <v>0153</v>
      </c>
      <c r="K155" t="str">
        <f>"80000.00"</f>
        <v>80000.00</v>
      </c>
      <c r="L155" t="str">
        <f>"450000 РЕСП БАШКОРТОСТАН   Г УФА   УЛ ЛЕНИНА д. 31 корп. 33"</f>
        <v>450000 РЕСП БАШКОРТОСТАН   Г УФА   УЛ ЛЕНИНА д. 31 корп. 33</v>
      </c>
      <c r="M155" t="str">
        <f t="shared" si="19"/>
        <v>2019-08-24</v>
      </c>
      <c r="N155" t="str">
        <f>"ООО МОНОЛИТСТРОЙ"</f>
        <v>ООО МОНОЛИТСТРОЙ</v>
      </c>
      <c r="O155" t="str">
        <f>"450000"</f>
        <v>450000</v>
      </c>
      <c r="P155" t="str">
        <f>"РЕСП БАШКОРТОСТАН"</f>
        <v>РЕСП БАШКОРТОСТАН</v>
      </c>
      <c r="Q155" t="str">
        <f>"Р-Н УФИМСКИЙ"</f>
        <v>Р-Н УФИМСКИЙ</v>
      </c>
      <c r="R155" t="str">
        <f>""</f>
        <v/>
      </c>
      <c r="S155" t="str">
        <f>"С БУЛГАКОВО"</f>
        <v>С БУЛГАКОВО</v>
      </c>
      <c r="T155" t="str">
        <f>"УЛ ШКОЛЬНАЯ"</f>
        <v>УЛ ШКОЛЬНАЯ</v>
      </c>
      <c r="U155" s="1" t="str">
        <f>"11"</f>
        <v>11</v>
      </c>
      <c r="V155" s="1" t="str">
        <f>""</f>
        <v/>
      </c>
      <c r="W155" s="1" t="str">
        <f>"1"</f>
        <v>1</v>
      </c>
      <c r="X155" s="1" t="str">
        <f>""</f>
        <v/>
      </c>
      <c r="Y155" s="1" t="str">
        <f>"1"</f>
        <v>1</v>
      </c>
      <c r="Z155" t="str">
        <f>""</f>
        <v/>
      </c>
      <c r="AA155" t="str">
        <f>"9014418859"</f>
        <v>9014418859</v>
      </c>
      <c r="AB155" t="str">
        <f>"9014418859"</f>
        <v>9014418859</v>
      </c>
      <c r="AC155" t="str">
        <f>"9014418859"</f>
        <v>9014418859</v>
      </c>
      <c r="AD155" t="str">
        <f>"9014418859"</f>
        <v>9014418859</v>
      </c>
      <c r="AE155" t="str">
        <f>""</f>
        <v/>
      </c>
    </row>
    <row r="156" spans="1:31" x14ac:dyDescent="0.45">
      <c r="A156" t="str">
        <f>"ДЕРКАЧ ОЛЕГ ВЯЧИСЛАВОВИЧ"</f>
        <v>ДЕРКАЧ ОЛЕГ ВЯЧИСЛАВОВИЧ</v>
      </c>
      <c r="B156" t="str">
        <f>"1969-03-29"</f>
        <v>1969-03-29</v>
      </c>
      <c r="C156" t="str">
        <f>"65 13 652845"</f>
        <v>65 13 652845</v>
      </c>
      <c r="D156" t="str">
        <f>"4279011688828063"</f>
        <v>4279011688828063</v>
      </c>
      <c r="E156" t="str">
        <f t="shared" si="21"/>
        <v>2021-05-31</v>
      </c>
      <c r="F156" t="str">
        <f t="shared" si="22"/>
        <v>+</v>
      </c>
      <c r="G156" t="str">
        <f>"+"</f>
        <v>+</v>
      </c>
      <c r="H156" t="str">
        <f>"40817810716991419054"</f>
        <v>40817810716991419054</v>
      </c>
      <c r="I156" t="str">
        <f>"7003"</f>
        <v>7003</v>
      </c>
      <c r="J156" t="str">
        <f>"0858"</f>
        <v>0858</v>
      </c>
      <c r="K156" t="str">
        <f>"200000.00"</f>
        <v>200000.00</v>
      </c>
      <c r="L156" t="str">
        <f>"620000 ОБЛ СВЕРДЛОВСКАЯ   Г ЛЕСНОЙ   УЛ КИРОВА д. 50"</f>
        <v>620000 ОБЛ СВЕРДЛОВСКАЯ   Г ЛЕСНОЙ   УЛ КИРОВА д. 50</v>
      </c>
      <c r="M156" t="str">
        <f t="shared" si="19"/>
        <v>2019-08-24</v>
      </c>
      <c r="N156" t="str">
        <f>"ООО ЛЮКС"</f>
        <v>ООО ЛЮКС</v>
      </c>
      <c r="O156" t="str">
        <f>"620000"</f>
        <v>620000</v>
      </c>
      <c r="P156" t="str">
        <f>"ОБЛ СВЕРДЛОВСКАЯ"</f>
        <v>ОБЛ СВЕРДЛОВСКАЯ</v>
      </c>
      <c r="Q156" t="str">
        <f>""</f>
        <v/>
      </c>
      <c r="R156" t="str">
        <f>"Г ЛЕСНОЙ"</f>
        <v>Г ЛЕСНОЙ</v>
      </c>
      <c r="S156" t="str">
        <f>""</f>
        <v/>
      </c>
      <c r="T156" t="str">
        <f>"УЛ БЕРЕЗОВАЯ"</f>
        <v>УЛ БЕРЕЗОВАЯ</v>
      </c>
      <c r="U156" s="1" t="str">
        <f>"1"</f>
        <v>1</v>
      </c>
      <c r="V156" s="1" t="str">
        <f>""</f>
        <v/>
      </c>
      <c r="W156" s="1" t="str">
        <f>""</f>
        <v/>
      </c>
      <c r="X156" s="1" t="str">
        <f>""</f>
        <v/>
      </c>
      <c r="Y156" s="1" t="str">
        <f>""</f>
        <v/>
      </c>
      <c r="Z156" t="str">
        <f>""</f>
        <v/>
      </c>
      <c r="AA156" t="str">
        <f>"9222007430"</f>
        <v>9222007430</v>
      </c>
      <c r="AB156" t="str">
        <f>"9222007430"</f>
        <v>9222007430</v>
      </c>
      <c r="AC156" t="str">
        <f>"9222007430"</f>
        <v>9222007430</v>
      </c>
      <c r="AD156" t="str">
        <f>"9222007430"</f>
        <v>9222007430</v>
      </c>
      <c r="AE156" t="str">
        <f>""</f>
        <v/>
      </c>
    </row>
    <row r="157" spans="1:31" x14ac:dyDescent="0.45">
      <c r="A157" t="str">
        <f>"БАШКИРЕВ СЕРГЕЙ АНАТОЛЬЕВИЧ"</f>
        <v>БАШКИРЕВ СЕРГЕЙ АНАТОЛЬЕВИЧ</v>
      </c>
      <c r="B157" t="str">
        <f>"1974-03-01"</f>
        <v>1974-03-01</v>
      </c>
      <c r="C157" t="str">
        <f>"65 16 316523"</f>
        <v>65 16 316523</v>
      </c>
      <c r="D157" t="str">
        <f>"4279011643485934"</f>
        <v>4279011643485934</v>
      </c>
      <c r="E157" t="str">
        <f t="shared" si="21"/>
        <v>2021-05-31</v>
      </c>
      <c r="F157" t="str">
        <f t="shared" si="22"/>
        <v>+</v>
      </c>
      <c r="G157" t="str">
        <f>"W"</f>
        <v>W</v>
      </c>
      <c r="H157" t="str">
        <f>"40817810016991419055"</f>
        <v>40817810016991419055</v>
      </c>
      <c r="I157" t="str">
        <f>"7003"</f>
        <v>7003</v>
      </c>
      <c r="J157" t="str">
        <f>"0828"</f>
        <v>0828</v>
      </c>
      <c r="K157" t="str">
        <f>"20000.00"</f>
        <v>20000.00</v>
      </c>
      <c r="L157" t="str">
        <f>"620000 ОБЛ СВЕРДЛОВСКАЯ   Г НОВОУРАЛЬСК   УЛ КРУПСКОЙ д. 6"</f>
        <v>620000 ОБЛ СВЕРДЛОВСКАЯ   Г НОВОУРАЛЬСК   УЛ КРУПСКОЙ д. 6</v>
      </c>
      <c r="M157" t="str">
        <f t="shared" si="19"/>
        <v>2019-08-24</v>
      </c>
      <c r="N157" t="str">
        <f>"УПФР"</f>
        <v>УПФР</v>
      </c>
      <c r="O157" t="str">
        <f>"620000"</f>
        <v>620000</v>
      </c>
      <c r="P157" t="str">
        <f>"ОБЛ СВЕРДЛОВСКАЯ"</f>
        <v>ОБЛ СВЕРДЛОВСКАЯ</v>
      </c>
      <c r="Q157" t="str">
        <f>""</f>
        <v/>
      </c>
      <c r="R157" t="str">
        <f>"Г НОВОУРАЛЬСК"</f>
        <v>Г НОВОУРАЛЬСК</v>
      </c>
      <c r="S157" t="str">
        <f>""</f>
        <v/>
      </c>
      <c r="T157" t="str">
        <f>"УЛ КОМСОМОЛЬСКАЯ"</f>
        <v>УЛ КОМСОМОЛЬСКАЯ</v>
      </c>
      <c r="U157" s="1" t="str">
        <f>"17А"</f>
        <v>17А</v>
      </c>
      <c r="V157" s="1" t="str">
        <f>""</f>
        <v/>
      </c>
      <c r="W157" s="1" t="str">
        <f>""</f>
        <v/>
      </c>
      <c r="X157" s="1" t="str">
        <f>""</f>
        <v/>
      </c>
      <c r="Y157" s="1" t="str">
        <f>"18"</f>
        <v>18</v>
      </c>
      <c r="Z157" t="str">
        <f>""</f>
        <v/>
      </c>
      <c r="AA157" t="str">
        <f>"9521349426"</f>
        <v>9521349426</v>
      </c>
      <c r="AB157" t="str">
        <f>"9521349426"</f>
        <v>9521349426</v>
      </c>
      <c r="AC157" t="str">
        <f>"9521349426"</f>
        <v>9521349426</v>
      </c>
      <c r="AD157" t="str">
        <f>"9521349426"</f>
        <v>9521349426</v>
      </c>
      <c r="AE157" t="str">
        <f>""</f>
        <v/>
      </c>
    </row>
    <row r="158" spans="1:31" x14ac:dyDescent="0.45">
      <c r="A158" t="str">
        <f>"НОСКОВ МАКСИМ ВИКТОРОВИЧ"</f>
        <v>НОСКОВ МАКСИМ ВИКТОРОВИЧ</v>
      </c>
      <c r="B158" t="str">
        <f>"1981-11-28"</f>
        <v>1981-11-28</v>
      </c>
      <c r="C158" t="str">
        <f>"65 03 733882"</f>
        <v>65 03 733882</v>
      </c>
      <c r="D158" t="str">
        <f>"4279011696745648"</f>
        <v>4279011696745648</v>
      </c>
      <c r="E158" t="str">
        <f t="shared" si="21"/>
        <v>2021-05-31</v>
      </c>
      <c r="F158" t="str">
        <f t="shared" si="22"/>
        <v>+</v>
      </c>
      <c r="G158" t="str">
        <f>"+"</f>
        <v>+</v>
      </c>
      <c r="H158" t="str">
        <f>"40817810316991419056"</f>
        <v>40817810316991419056</v>
      </c>
      <c r="I158" t="str">
        <f>"7003"</f>
        <v>7003</v>
      </c>
      <c r="J158" t="str">
        <f>"0858"</f>
        <v>0858</v>
      </c>
      <c r="K158" t="str">
        <f>"50000.00"</f>
        <v>50000.00</v>
      </c>
      <c r="L158" t="str">
        <f>"624200 ОБЛ СВЕРДЛОВСКАЯ   Г ЛЕСНОЙ   УЛ ПРОМЫШЛЕННЫЙ ПРОЕЗД д. 3"</f>
        <v>624200 ОБЛ СВЕРДЛОВСКАЯ   Г ЛЕСНОЙ   УЛ ПРОМЫШЛЕННЫЙ ПРОЕЗД д. 3</v>
      </c>
      <c r="M158" t="str">
        <f t="shared" si="19"/>
        <v>2019-08-24</v>
      </c>
      <c r="N158" t="s">
        <v>35</v>
      </c>
      <c r="O158" t="str">
        <f>"624200"</f>
        <v>624200</v>
      </c>
      <c r="P158" t="str">
        <f>"ОБЛ СВЕРДЛОВСКАЯ"</f>
        <v>ОБЛ СВЕРДЛОВСКАЯ</v>
      </c>
      <c r="Q158" t="str">
        <f>""</f>
        <v/>
      </c>
      <c r="R158" t="str">
        <f>"Г ЛЕСНОЙ"</f>
        <v>Г ЛЕСНОЙ</v>
      </c>
      <c r="S158" t="str">
        <f>""</f>
        <v/>
      </c>
      <c r="T158" t="str">
        <f>"УЛ ЭНГЕЛЬСА"</f>
        <v>УЛ ЭНГЕЛЬСА</v>
      </c>
      <c r="U158" s="1" t="str">
        <f>"28"</f>
        <v>28</v>
      </c>
      <c r="V158" s="1" t="str">
        <f>""</f>
        <v/>
      </c>
      <c r="W158" s="1" t="str">
        <f>""</f>
        <v/>
      </c>
      <c r="X158" s="1" t="str">
        <f>""</f>
        <v/>
      </c>
      <c r="Y158" s="1" t="str">
        <f>"27"</f>
        <v>27</v>
      </c>
      <c r="Z158" t="str">
        <f>"9045482556"</f>
        <v>9045482556</v>
      </c>
      <c r="AA158" t="str">
        <f>"9045482556"</f>
        <v>9045482556</v>
      </c>
      <c r="AB158" t="str">
        <f>"9045482556"</f>
        <v>9045482556</v>
      </c>
      <c r="AC158" t="str">
        <f>"9045482556"</f>
        <v>9045482556</v>
      </c>
      <c r="AD158" t="str">
        <f>"9045482556"</f>
        <v>9045482556</v>
      </c>
      <c r="AE158" t="str">
        <f>"9045482556"</f>
        <v>9045482556</v>
      </c>
    </row>
    <row r="159" spans="1:31" x14ac:dyDescent="0.45">
      <c r="A159" t="str">
        <f>"ШУЛЬМЕЙСТЕР САНДРА АНАТОЛЬЕВНА"</f>
        <v>ШУЛЬМЕЙСТЕР САНДРА АНАТОЛЬЕВНА</v>
      </c>
      <c r="B159" t="str">
        <f>"1984-04-05"</f>
        <v>1984-04-05</v>
      </c>
      <c r="C159" t="str">
        <f>"65 17 468370"</f>
        <v>65 17 468370</v>
      </c>
      <c r="D159" t="str">
        <f>"4279011686607246"</f>
        <v>4279011686607246</v>
      </c>
      <c r="E159" t="str">
        <f t="shared" si="21"/>
        <v>2021-05-31</v>
      </c>
      <c r="F159" t="str">
        <f t="shared" si="22"/>
        <v>+</v>
      </c>
      <c r="G159" t="str">
        <f>"+"</f>
        <v>+</v>
      </c>
      <c r="H159" t="str">
        <f>"40817810616991419057"</f>
        <v>40817810616991419057</v>
      </c>
      <c r="I159" t="str">
        <f>"7003"</f>
        <v>7003</v>
      </c>
      <c r="J159" t="str">
        <f>"0469"</f>
        <v>0469</v>
      </c>
      <c r="K159" t="str">
        <f>"300000.00"</f>
        <v>300000.00</v>
      </c>
      <c r="L159" t="str">
        <f>"620000 ОБЛ СВЕРДЛОВСКАЯ   Г ВЕРХНЯЯ ПЫШМА   УЛ УРАЛЬСКИХ РАБОЧИХ д. 60"</f>
        <v>620000 ОБЛ СВЕРДЛОВСКАЯ   Г ВЕРХНЯЯ ПЫШМА   УЛ УРАЛЬСКИХ РАБОЧИХ д. 60</v>
      </c>
      <c r="M159" t="str">
        <f t="shared" si="19"/>
        <v>2019-08-24</v>
      </c>
      <c r="N159" t="str">
        <f>"ЛВМАТР"</f>
        <v>ЛВМАТР</v>
      </c>
      <c r="O159" t="str">
        <f>"620000"</f>
        <v>620000</v>
      </c>
      <c r="P159" t="str">
        <f>"ОБЛ СВЕРДЛОВСКАЯ"</f>
        <v>ОБЛ СВЕРДЛОВСКАЯ</v>
      </c>
      <c r="Q159" t="str">
        <f>""</f>
        <v/>
      </c>
      <c r="R159" t="str">
        <f>"Г СРЕДНЕУРАЛЬСК"</f>
        <v>Г СРЕДНЕУРАЛЬСК</v>
      </c>
      <c r="S159" t="str">
        <f>"Д КОПТЯКИ"</f>
        <v>Д КОПТЯКИ</v>
      </c>
      <c r="T159" t="str">
        <f>"УЛ УРАЛЬСКАЯ"</f>
        <v>УЛ УРАЛЬСКАЯ</v>
      </c>
      <c r="U159" s="1" t="str">
        <f>"3"</f>
        <v>3</v>
      </c>
      <c r="V159" s="1" t="str">
        <f>""</f>
        <v/>
      </c>
      <c r="W159" s="1" t="str">
        <f>""</f>
        <v/>
      </c>
      <c r="X159" s="1" t="str">
        <f>""</f>
        <v/>
      </c>
      <c r="Y159" s="1" t="str">
        <f>""</f>
        <v/>
      </c>
      <c r="Z159" t="str">
        <f>""</f>
        <v/>
      </c>
      <c r="AA159" t="str">
        <f>"9122467093"</f>
        <v>9122467093</v>
      </c>
      <c r="AB159" t="str">
        <f>"9122653630"</f>
        <v>9122653630</v>
      </c>
      <c r="AC159" t="str">
        <f>"9122467093"</f>
        <v>9122467093</v>
      </c>
      <c r="AD159" t="str">
        <f>"9122653630"</f>
        <v>9122653630</v>
      </c>
      <c r="AE159" t="str">
        <f>""</f>
        <v/>
      </c>
    </row>
    <row r="160" spans="1:31" x14ac:dyDescent="0.45">
      <c r="A160" t="str">
        <f>"ГАРАЕВА ЛАРИСА ВИКТОРОВНА"</f>
        <v>ГАРАЕВА ЛАРИСА ВИКТОРОВНА</v>
      </c>
      <c r="B160" t="str">
        <f>"1985-06-26"</f>
        <v>1985-06-26</v>
      </c>
      <c r="C160" t="str">
        <f>"65 06 899281"</f>
        <v>65 06 899281</v>
      </c>
      <c r="D160" t="str">
        <f>"4279011648274432"</f>
        <v>4279011648274432</v>
      </c>
      <c r="E160" t="str">
        <f t="shared" si="21"/>
        <v>2021-05-31</v>
      </c>
      <c r="F160" t="str">
        <f t="shared" si="22"/>
        <v>+</v>
      </c>
      <c r="G160" t="str">
        <f>"W"</f>
        <v>W</v>
      </c>
      <c r="H160" t="str">
        <f>"40817810916991419058"</f>
        <v>40817810916991419058</v>
      </c>
      <c r="I160" t="str">
        <f>"7003"</f>
        <v>7003</v>
      </c>
      <c r="J160" t="str">
        <f>"0195"</f>
        <v>0195</v>
      </c>
      <c r="K160" t="str">
        <f>"20000.00"</f>
        <v>20000.00</v>
      </c>
      <c r="L160" t="str">
        <f>"620000 ОБЛ СВЕРДЛОВСКАЯ   Г ЕКАТЕРИНБУРГ   УЛ ГЛАВНА д. 18"</f>
        <v>620000 ОБЛ СВЕРДЛОВСКАЯ   Г ЕКАТЕРИНБУРГ   УЛ ГЛАВНА д. 18</v>
      </c>
      <c r="M160" t="str">
        <f t="shared" si="19"/>
        <v>2019-08-24</v>
      </c>
      <c r="N160" t="str">
        <f>"ИП АЙБАТЫРОВ"</f>
        <v>ИП АЙБАТЫРОВ</v>
      </c>
      <c r="O160" t="str">
        <f>"620000"</f>
        <v>620000</v>
      </c>
      <c r="P160" t="str">
        <f>"ОБЛ СВЕРДЛОВСКАЯ"</f>
        <v>ОБЛ СВЕРДЛОВСКАЯ</v>
      </c>
      <c r="Q160" t="str">
        <f>""</f>
        <v/>
      </c>
      <c r="R160" t="str">
        <f>"Г ЕКАТЕРИНБУРГ"</f>
        <v>Г ЕКАТЕРИНБУРГ</v>
      </c>
      <c r="S160" t="str">
        <f>""</f>
        <v/>
      </c>
      <c r="T160" t="str">
        <f>"УЛ ОВОЩНАЯ"</f>
        <v>УЛ ОВОЩНАЯ</v>
      </c>
      <c r="U160" s="1" t="str">
        <f>"1"</f>
        <v>1</v>
      </c>
      <c r="V160" s="1" t="str">
        <f>""</f>
        <v/>
      </c>
      <c r="W160" s="1" t="str">
        <f>""</f>
        <v/>
      </c>
      <c r="X160" s="1" t="str">
        <f>""</f>
        <v/>
      </c>
      <c r="Y160" s="1" t="str">
        <f>"4"</f>
        <v>4</v>
      </c>
      <c r="Z160" t="str">
        <f>""</f>
        <v/>
      </c>
      <c r="AA160" t="str">
        <f>"9536094209"</f>
        <v>9536094209</v>
      </c>
      <c r="AB160" t="str">
        <f>"9536094209"</f>
        <v>9536094209</v>
      </c>
      <c r="AC160" t="str">
        <f>"9536094209"</f>
        <v>9536094209</v>
      </c>
      <c r="AD160" t="str">
        <f>"9536094209"</f>
        <v>9536094209</v>
      </c>
      <c r="AE160" t="str">
        <f>""</f>
        <v/>
      </c>
    </row>
    <row r="161" spans="1:31" x14ac:dyDescent="0.45">
      <c r="A161" t="str">
        <f>"ДОКУЧАЕВА ЕЛЕНА ЕВГЕНЬЕВНА"</f>
        <v>ДОКУЧАЕВА ЕЛЕНА ЕВГЕНЬЕВНА</v>
      </c>
      <c r="B161" t="str">
        <f>"1988-05-05"</f>
        <v>1988-05-05</v>
      </c>
      <c r="C161" t="str">
        <f>"80 08 561551"</f>
        <v>80 08 561551</v>
      </c>
      <c r="D161" t="str">
        <f>"4279011620080039"</f>
        <v>4279011620080039</v>
      </c>
      <c r="E161" t="str">
        <f t="shared" si="21"/>
        <v>2021-05-31</v>
      </c>
      <c r="F161" t="str">
        <f t="shared" si="22"/>
        <v>+</v>
      </c>
      <c r="G161" t="str">
        <f t="shared" si="22"/>
        <v>+</v>
      </c>
      <c r="H161" t="str">
        <f>"40817810216991419059"</f>
        <v>40817810216991419059</v>
      </c>
      <c r="I161" t="str">
        <f>"8598"</f>
        <v>8598</v>
      </c>
      <c r="J161" t="str">
        <f>"0182"</f>
        <v>0182</v>
      </c>
      <c r="K161" t="str">
        <f>"300000.00"</f>
        <v>300000.00</v>
      </c>
      <c r="L161" t="str">
        <f>"450037 РЕСП БАШКОРТОСТАН   Г УФА   УЛ ПАРХОМЕНКО д. 156"</f>
        <v>450037 РЕСП БАШКОРТОСТАН   Г УФА   УЛ ПАРХОМЕНКО д. 156</v>
      </c>
      <c r="M161" t="str">
        <f t="shared" si="19"/>
        <v>2019-08-24</v>
      </c>
      <c r="N161" t="str">
        <f>"ООО РН УЧЕТ"</f>
        <v>ООО РН УЧЕТ</v>
      </c>
      <c r="O161" t="str">
        <f>"450000"</f>
        <v>450000</v>
      </c>
      <c r="P161" t="str">
        <f>"РЕСП БАШКОРТОСТАН"</f>
        <v>РЕСП БАШКОРТОСТАН</v>
      </c>
      <c r="Q161" t="str">
        <f>""</f>
        <v/>
      </c>
      <c r="R161" t="str">
        <f>"Г УФА"</f>
        <v>Г УФА</v>
      </c>
      <c r="S161" t="str">
        <f>""</f>
        <v/>
      </c>
      <c r="T161" t="str">
        <f>"УЛ КОМАРОВА"</f>
        <v>УЛ КОМАРОВА</v>
      </c>
      <c r="U161" s="1" t="str">
        <f>"14"</f>
        <v>14</v>
      </c>
      <c r="V161" s="1" t="str">
        <f>""</f>
        <v/>
      </c>
      <c r="W161" s="1" t="str">
        <f>""</f>
        <v/>
      </c>
      <c r="X161" s="1" t="str">
        <f>""</f>
        <v/>
      </c>
      <c r="Y161" s="1" t="str">
        <f>"19"</f>
        <v>19</v>
      </c>
      <c r="Z161" t="str">
        <f>""</f>
        <v/>
      </c>
      <c r="AA161" t="str">
        <f>"9053556753"</f>
        <v>9053556753</v>
      </c>
      <c r="AB161" t="str">
        <f>"9053556753"</f>
        <v>9053556753</v>
      </c>
      <c r="AC161" t="str">
        <f>"9053556753"</f>
        <v>9053556753</v>
      </c>
      <c r="AD161" t="str">
        <f>"9053556753"</f>
        <v>9053556753</v>
      </c>
      <c r="AE161" t="str">
        <f>""</f>
        <v/>
      </c>
    </row>
    <row r="162" spans="1:31" x14ac:dyDescent="0.45">
      <c r="A162" t="str">
        <f>"МИНЕБАЕВ РОБЕРТ ШАМИЛОВИЧ"</f>
        <v>МИНЕБАЕВ РОБЕРТ ШАМИЛОВИЧ</v>
      </c>
      <c r="B162" t="str">
        <f>"1990-03-14"</f>
        <v>1990-03-14</v>
      </c>
      <c r="C162" t="str">
        <f>"80 08 748580"</f>
        <v>80 08 748580</v>
      </c>
      <c r="D162" t="str">
        <f>"4279011607302430"</f>
        <v>4279011607302430</v>
      </c>
      <c r="E162" t="str">
        <f t="shared" si="21"/>
        <v>2021-05-31</v>
      </c>
      <c r="F162" t="str">
        <f t="shared" si="22"/>
        <v>+</v>
      </c>
      <c r="G162" t="str">
        <f t="shared" si="22"/>
        <v>+</v>
      </c>
      <c r="H162" t="str">
        <f>"40817810616991419060"</f>
        <v>40817810616991419060</v>
      </c>
      <c r="I162" t="str">
        <f>"8598"</f>
        <v>8598</v>
      </c>
      <c r="J162" t="str">
        <f>"0695"</f>
        <v>0695</v>
      </c>
      <c r="K162" t="str">
        <f>"200000.00"</f>
        <v>200000.00</v>
      </c>
      <c r="L162" t="str">
        <f>"450000 ОБЛ ТЮМЕНСКАЯ   Г КОГАЛЫМ   УЛ СМОЛЕНСКАЯ д. 1"</f>
        <v>450000 ОБЛ ТЮМЕНСКАЯ   Г КОГАЛЫМ   УЛ СМОЛЕНСКАЯ д. 1</v>
      </c>
      <c r="M162" t="str">
        <f t="shared" si="19"/>
        <v>2019-08-24</v>
      </c>
      <c r="N162" t="str">
        <f>"ОО СПЕЦТРАНССЕРВИС"</f>
        <v>ОО СПЕЦТРАНССЕРВИС</v>
      </c>
      <c r="O162" t="str">
        <f>"450000"</f>
        <v>450000</v>
      </c>
      <c r="P162" t="str">
        <f>"РЕСП БАШКОРТОСТАН"</f>
        <v>РЕСП БАШКОРТОСТАН</v>
      </c>
      <c r="Q162" t="str">
        <f>"Р-Н КУЮРГАЗИНСКИЙ"</f>
        <v>Р-Н КУЮРГАЗИНСКИЙ</v>
      </c>
      <c r="R162" t="str">
        <f>""</f>
        <v/>
      </c>
      <c r="S162" t="str">
        <f>"Д КЫЗЫЛ МАЯК"</f>
        <v>Д КЫЗЫЛ МАЯК</v>
      </c>
      <c r="T162" t="str">
        <f>"УЛ ЮЖНАЯ"</f>
        <v>УЛ ЮЖНАЯ</v>
      </c>
      <c r="U162" s="1" t="str">
        <f>"10"</f>
        <v>10</v>
      </c>
      <c r="V162" s="1" t="str">
        <f>""</f>
        <v/>
      </c>
      <c r="W162" s="1" t="str">
        <f>""</f>
        <v/>
      </c>
      <c r="X162" s="1" t="str">
        <f>""</f>
        <v/>
      </c>
      <c r="Y162" s="1" t="str">
        <f>""</f>
        <v/>
      </c>
      <c r="Z162" t="str">
        <f>""</f>
        <v/>
      </c>
      <c r="AA162" t="str">
        <f>"9173675938"</f>
        <v>9173675938</v>
      </c>
      <c r="AB162" t="str">
        <f>"9610500938"</f>
        <v>9610500938</v>
      </c>
      <c r="AC162" t="str">
        <f>"9173675938"</f>
        <v>9173675938</v>
      </c>
      <c r="AD162" t="str">
        <f>"9610500938"</f>
        <v>9610500938</v>
      </c>
      <c r="AE162" t="str">
        <f>""</f>
        <v/>
      </c>
    </row>
    <row r="163" spans="1:31" x14ac:dyDescent="0.45">
      <c r="A163" t="str">
        <f>"ТРИФОНОВА ИРИНА ВИКТОРОВНА"</f>
        <v>ТРИФОНОВА ИРИНА ВИКТОРОВНА</v>
      </c>
      <c r="B163" t="str">
        <f>"1981-08-21"</f>
        <v>1981-08-21</v>
      </c>
      <c r="C163" t="str">
        <f>"75 03 881227"</f>
        <v>75 03 881227</v>
      </c>
      <c r="D163" t="str">
        <f>"4279011699803220"</f>
        <v>4279011699803220</v>
      </c>
      <c r="E163" t="str">
        <f t="shared" si="21"/>
        <v>2021-05-31</v>
      </c>
      <c r="F163" t="str">
        <f t="shared" si="22"/>
        <v>+</v>
      </c>
      <c r="G163" t="str">
        <f t="shared" si="22"/>
        <v>+</v>
      </c>
      <c r="H163" t="str">
        <f>"40817810516991419063"</f>
        <v>40817810516991419063</v>
      </c>
      <c r="I163" t="str">
        <f>"8597"</f>
        <v>8597</v>
      </c>
      <c r="J163" t="str">
        <f>"0561"</f>
        <v>0561</v>
      </c>
      <c r="K163" t="str">
        <f>"115000.00"</f>
        <v>115000.00</v>
      </c>
      <c r="L163" t="str">
        <f>"454000 ОБЛ ЧЕЛЯБИНСКАЯ   Г ЧЕЛЯБИНСК   ПР-КТ КОМСОМОЛЬСКИЙ ПРОСПЕКТ д. 83"</f>
        <v>454000 ОБЛ ЧЕЛЯБИНСКАЯ   Г ЧЕЛЯБИНСК   ПР-КТ КОМСОМОЛЬСКИЙ ПРОСПЕКТ д. 83</v>
      </c>
      <c r="M163" t="str">
        <f t="shared" si="19"/>
        <v>2019-08-24</v>
      </c>
      <c r="N163" t="str">
        <f>"ООО АИР"</f>
        <v>ООО АИР</v>
      </c>
      <c r="O163" t="str">
        <f>"454000"</f>
        <v>454000</v>
      </c>
      <c r="P163" t="str">
        <f>"ОБЛ ЧЕЛЯБИНСКАЯ"</f>
        <v>ОБЛ ЧЕЛЯБИНСКАЯ</v>
      </c>
      <c r="Q163" t="str">
        <f>""</f>
        <v/>
      </c>
      <c r="R163" t="str">
        <f>"Г ЧЕЛЯБИНСК"</f>
        <v>Г ЧЕЛЯБИНСК</v>
      </c>
      <c r="S163" t="str">
        <f>""</f>
        <v/>
      </c>
      <c r="T163" t="str">
        <f>"ПР-КТ КРАСНОПОЛЬСКИЙ"</f>
        <v>ПР-КТ КРАСНОПОЛЬСКИЙ</v>
      </c>
      <c r="U163" s="1" t="str">
        <f>"1"</f>
        <v>1</v>
      </c>
      <c r="V163" s="1" t="str">
        <f>"Г"</f>
        <v>Г</v>
      </c>
      <c r="W163" s="1" t="str">
        <f>""</f>
        <v/>
      </c>
      <c r="X163" s="1" t="str">
        <f>""</f>
        <v/>
      </c>
      <c r="Y163" s="1" t="str">
        <f>"126"</f>
        <v>126</v>
      </c>
      <c r="Z163" t="str">
        <f>""</f>
        <v/>
      </c>
      <c r="AA163" t="str">
        <f>""</f>
        <v/>
      </c>
      <c r="AB163" t="str">
        <f>"+7 (951) 1116615"</f>
        <v>+7 (951) 1116615</v>
      </c>
      <c r="AC163" t="str">
        <f>"9191189135"</f>
        <v>9191189135</v>
      </c>
      <c r="AD163" t="str">
        <f>"9511116615"</f>
        <v>9511116615</v>
      </c>
      <c r="AE163" t="str">
        <f>"3512179666"</f>
        <v>3512179666</v>
      </c>
    </row>
    <row r="164" spans="1:31" x14ac:dyDescent="0.45">
      <c r="A164" t="str">
        <f>"ОВЧИННИКОВА ВЕРОНИКА ПАВЛОВНА"</f>
        <v>ОВЧИННИКОВА ВЕРОНИКА ПАВЛОВНА</v>
      </c>
      <c r="B164" t="str">
        <f>"1992-02-13"</f>
        <v>1992-02-13</v>
      </c>
      <c r="C164" t="str">
        <f>"37 11 470275"</f>
        <v>37 11 470275</v>
      </c>
      <c r="D164" t="str">
        <f>"4279011615220020"</f>
        <v>4279011615220020</v>
      </c>
      <c r="E164" t="str">
        <f t="shared" si="21"/>
        <v>2021-05-31</v>
      </c>
      <c r="F164" t="str">
        <f t="shared" si="22"/>
        <v>+</v>
      </c>
      <c r="G164" t="str">
        <f t="shared" si="22"/>
        <v>+</v>
      </c>
      <c r="H164" t="str">
        <f>"40817810916991419061"</f>
        <v>40817810916991419061</v>
      </c>
      <c r="I164" t="str">
        <f>"8599"</f>
        <v>8599</v>
      </c>
      <c r="J164" t="str">
        <f>"0292"</f>
        <v>0292</v>
      </c>
      <c r="K164" t="str">
        <f>"100000.00"</f>
        <v>100000.00</v>
      </c>
      <c r="L164" t="str">
        <f>"641000 ОБЛ КУРГАНСКАЯ   Г ШАДРИНСК   УЛ КАРЛА ЛИБКНЕХТА д. 3"</f>
        <v>641000 ОБЛ КУРГАНСКАЯ   Г ШАДРИНСК   УЛ КАРЛА ЛИБКНЕХТА д. 3</v>
      </c>
      <c r="M164" t="str">
        <f t="shared" si="19"/>
        <v>2019-08-24</v>
      </c>
      <c r="N164" t="str">
        <f>"ФГБОУ ШГПУ"</f>
        <v>ФГБОУ ШГПУ</v>
      </c>
      <c r="O164" t="str">
        <f>"641875"</f>
        <v>641875</v>
      </c>
      <c r="P164" t="str">
        <f>"ОБЛ КУРГАНСКАЯ"</f>
        <v>ОБЛ КУРГАНСКАЯ</v>
      </c>
      <c r="Q164" t="str">
        <f>""</f>
        <v/>
      </c>
      <c r="R164" t="str">
        <f>"Г ШАДРИНСК"</f>
        <v>Г ШАДРИНСК</v>
      </c>
      <c r="S164" t="str">
        <f>""</f>
        <v/>
      </c>
      <c r="T164" t="str">
        <f>"УЛ ПРОЕКТНАЯ"</f>
        <v>УЛ ПРОЕКТНАЯ</v>
      </c>
      <c r="U164" s="1" t="str">
        <f>"2"</f>
        <v>2</v>
      </c>
      <c r="V164" s="1" t="str">
        <f>""</f>
        <v/>
      </c>
      <c r="W164" s="1" t="str">
        <f>"1"</f>
        <v>1</v>
      </c>
      <c r="X164" s="1" t="str">
        <f>""</f>
        <v/>
      </c>
      <c r="Y164" s="1" t="str">
        <f>"83"</f>
        <v>83</v>
      </c>
      <c r="Z164" t="str">
        <f>""</f>
        <v/>
      </c>
      <c r="AA164" t="str">
        <f>"9828016271"</f>
        <v>9828016271</v>
      </c>
      <c r="AB164" t="str">
        <f>"9129761491"</f>
        <v>9129761491</v>
      </c>
      <c r="AC164" t="str">
        <f>"9828016271"</f>
        <v>9828016271</v>
      </c>
      <c r="AD164" t="str">
        <f>"9129761491"</f>
        <v>9129761491</v>
      </c>
      <c r="AE164" t="str">
        <f>""</f>
        <v/>
      </c>
    </row>
    <row r="165" spans="1:31" x14ac:dyDescent="0.45">
      <c r="A165" t="str">
        <f>"ЕВСЕЕНКО СТАНИСЛАВ БОРИСОВИЧ"</f>
        <v>ЕВСЕЕНКО СТАНИСЛАВ БОРИСОВИЧ</v>
      </c>
      <c r="B165" t="str">
        <f>"1978-05-04"</f>
        <v>1978-05-04</v>
      </c>
      <c r="C165" t="str">
        <f>"80 04 909001"</f>
        <v>80 04 909001</v>
      </c>
      <c r="D165" t="str">
        <f>"4279011661470412"</f>
        <v>4279011661470412</v>
      </c>
      <c r="E165" t="str">
        <f t="shared" si="21"/>
        <v>2021-05-31</v>
      </c>
      <c r="F165" t="str">
        <f t="shared" si="22"/>
        <v>+</v>
      </c>
      <c r="G165" t="str">
        <f t="shared" si="22"/>
        <v>+</v>
      </c>
      <c r="H165" t="str">
        <f>"40817810816991419064"</f>
        <v>40817810816991419064</v>
      </c>
      <c r="I165" t="str">
        <f>"8598"</f>
        <v>8598</v>
      </c>
      <c r="J165" t="str">
        <f>"0308"</f>
        <v>0308</v>
      </c>
      <c r="K165" t="str">
        <f>"13000.00"</f>
        <v>13000.00</v>
      </c>
      <c r="L165" t="str">
        <f>"450000 РЕСП БАШКОРТОСТАН Р-Н БЕЛОРЕЦКИЙ Г БЕЛОРЕЦК   УЛ ОВЧАРЕНКО д. 21"</f>
        <v>450000 РЕСП БАШКОРТОСТАН Р-Н БЕЛОРЕЦКИЙ Г БЕЛОРЕЦК   УЛ ОВЧАРЕНКО д. 21</v>
      </c>
      <c r="M165" t="str">
        <f t="shared" si="19"/>
        <v>2019-08-24</v>
      </c>
      <c r="N165" t="str">
        <f>"НЕ РАБОТАЕТ"</f>
        <v>НЕ РАБОТАЕТ</v>
      </c>
      <c r="O165" t="str">
        <f>"450000"</f>
        <v>450000</v>
      </c>
      <c r="P165" t="str">
        <f>"РЕСП БАШКОРТОСТАН"</f>
        <v>РЕСП БАШКОРТОСТАН</v>
      </c>
      <c r="Q165" t="str">
        <f>"Р-Н БЕЛОРЕЦКИЙ"</f>
        <v>Р-Н БЕЛОРЕЦКИЙ</v>
      </c>
      <c r="R165" t="str">
        <f>"Г БЕЛОРЕЦК"</f>
        <v>Г БЕЛОРЕЦК</v>
      </c>
      <c r="S165" t="str">
        <f>""</f>
        <v/>
      </c>
      <c r="T165" t="str">
        <f>"УЛ ОВЧАРЕНКО"</f>
        <v>УЛ ОВЧАРЕНКО</v>
      </c>
      <c r="U165" s="1" t="str">
        <f>"21"</f>
        <v>21</v>
      </c>
      <c r="V165" s="1" t="str">
        <f>""</f>
        <v/>
      </c>
      <c r="W165" s="1" t="str">
        <f>""</f>
        <v/>
      </c>
      <c r="X165" s="1" t="str">
        <f>""</f>
        <v/>
      </c>
      <c r="Y165" s="1" t="str">
        <f>""</f>
        <v/>
      </c>
      <c r="Z165" t="str">
        <f>""</f>
        <v/>
      </c>
      <c r="AA165" t="str">
        <f>"9653488528"</f>
        <v>9653488528</v>
      </c>
      <c r="AB165" t="str">
        <f>"9653488525"</f>
        <v>9653488525</v>
      </c>
      <c r="AC165" t="str">
        <f>"9653488528"</f>
        <v>9653488528</v>
      </c>
      <c r="AD165" t="str">
        <f>"9653488525"</f>
        <v>9653488525</v>
      </c>
      <c r="AE165" t="str">
        <f>""</f>
        <v/>
      </c>
    </row>
    <row r="166" spans="1:31" x14ac:dyDescent="0.45">
      <c r="A166" t="str">
        <f>"ПЕЧЕНКИНА НАТАЛЬЯ МИХАЙЛОВНА"</f>
        <v>ПЕЧЕНКИНА НАТАЛЬЯ МИХАЙЛОВНА</v>
      </c>
      <c r="B166" t="str">
        <f>"1956-05-10"</f>
        <v>1956-05-10</v>
      </c>
      <c r="C166" t="str">
        <f>"75 00 513675"</f>
        <v>75 00 513675</v>
      </c>
      <c r="D166" t="str">
        <f>"4279011676887212"</f>
        <v>4279011676887212</v>
      </c>
      <c r="E166" t="str">
        <f t="shared" si="21"/>
        <v>2021-05-31</v>
      </c>
      <c r="F166" t="str">
        <f t="shared" si="22"/>
        <v>+</v>
      </c>
      <c r="G166" t="str">
        <f t="shared" si="22"/>
        <v>+</v>
      </c>
      <c r="H166" t="str">
        <f>"40817810216991419062"</f>
        <v>40817810216991419062</v>
      </c>
      <c r="I166" t="str">
        <f>"8597"</f>
        <v>8597</v>
      </c>
      <c r="J166" t="str">
        <f>"0282"</f>
        <v>0282</v>
      </c>
      <c r="K166" t="str">
        <f>"340000.00"</f>
        <v>340000.00</v>
      </c>
      <c r="L166" t="str">
        <f>"454084 ОБЛ ЧЕЛЯБИНСКАЯ   Г ЧЕЛЯБИНСК   УЛ КИРОВА д. 10"</f>
        <v>454084 ОБЛ ЧЕЛЯБИНСКАЯ   Г ЧЕЛЯБИНСК   УЛ КИРОВА д. 10</v>
      </c>
      <c r="M166" t="str">
        <f t="shared" si="19"/>
        <v>2019-08-24</v>
      </c>
      <c r="N166" t="str">
        <f>"АДМИНИСТРАЦИЯ КАЛИНИНСКОГО Р-Н"</f>
        <v>АДМИНИСТРАЦИЯ КАЛИНИНСКОГО Р-Н</v>
      </c>
      <c r="O166" t="str">
        <f>"454000"</f>
        <v>454000</v>
      </c>
      <c r="P166" t="str">
        <f>"ОБЛ ЧЕЛЯБИНСКАЯ"</f>
        <v>ОБЛ ЧЕЛЯБИНСКАЯ</v>
      </c>
      <c r="Q166" t="str">
        <f>""</f>
        <v/>
      </c>
      <c r="R166" t="str">
        <f>"Г ЧЕЛЯБИНСК"</f>
        <v>Г ЧЕЛЯБИНСК</v>
      </c>
      <c r="S166" t="str">
        <f>"Г ЧЕЛЯБИНСК"</f>
        <v>Г ЧЕЛЯБИНСК</v>
      </c>
      <c r="T166" t="str">
        <f>"УЛ ГОРЬКОГО"</f>
        <v>УЛ ГОРЬКОГО</v>
      </c>
      <c r="U166" s="1" t="str">
        <f>"65"</f>
        <v>65</v>
      </c>
      <c r="V166" s="1" t="str">
        <f>""</f>
        <v/>
      </c>
      <c r="W166" s="1" t="str">
        <f>"А"</f>
        <v>А</v>
      </c>
      <c r="X166" s="1" t="str">
        <f>""</f>
        <v/>
      </c>
      <c r="Y166" s="1" t="str">
        <f>"40"</f>
        <v>40</v>
      </c>
      <c r="Z166" t="str">
        <f>"3517912413"</f>
        <v>3517912413</v>
      </c>
      <c r="AA166" t="str">
        <f>"3517712278"</f>
        <v>3517712278</v>
      </c>
      <c r="AB166" t="str">
        <f>"9026119654"</f>
        <v>9026119654</v>
      </c>
      <c r="AC166" t="str">
        <f>"3517712278"</f>
        <v>3517712278</v>
      </c>
      <c r="AD166" t="str">
        <f>"9026119654"</f>
        <v>9026119654</v>
      </c>
      <c r="AE166" t="str">
        <f>"3517911310"</f>
        <v>3517911310</v>
      </c>
    </row>
    <row r="167" spans="1:31" x14ac:dyDescent="0.45">
      <c r="A167" t="str">
        <f>"АНИСИМОВ АНДРЕЙ ЕВГЕНЬЕВИЧ"</f>
        <v>АНИСИМОВ АНДРЕЙ ЕВГЕНЬЕВИЧ</v>
      </c>
      <c r="B167" t="str">
        <f>"1973-04-04"</f>
        <v>1973-04-04</v>
      </c>
      <c r="C167" t="str">
        <f>"75 18 137124"</f>
        <v>75 18 137124</v>
      </c>
      <c r="D167" t="str">
        <f>"4279011681544147"</f>
        <v>4279011681544147</v>
      </c>
      <c r="E167" t="str">
        <f t="shared" si="21"/>
        <v>2021-05-31</v>
      </c>
      <c r="F167" t="str">
        <f t="shared" si="22"/>
        <v>+</v>
      </c>
      <c r="G167" t="str">
        <f t="shared" si="22"/>
        <v>+</v>
      </c>
      <c r="H167" t="str">
        <f>"40817810116991419065"</f>
        <v>40817810116991419065</v>
      </c>
      <c r="I167" t="str">
        <f>"8597"</f>
        <v>8597</v>
      </c>
      <c r="J167" t="str">
        <f>"0331"</f>
        <v>0331</v>
      </c>
      <c r="K167" t="str">
        <f>"50000.00"</f>
        <v>50000.00</v>
      </c>
      <c r="L167" t="str">
        <f>"454000 ОБЛ ЧЕЛЯБИНСКАЯ   Г МАГНИТОГОРСК   ПР-КТ КАРЛА МАРКСА д. 143 кв. 135"</f>
        <v>454000 ОБЛ ЧЕЛЯБИНСКАЯ   Г МАГНИТОГОРСК   ПР-КТ КАРЛА МАРКСА д. 143 кв. 135</v>
      </c>
      <c r="M167" t="str">
        <f t="shared" si="19"/>
        <v>2019-08-24</v>
      </c>
      <c r="N167" t="str">
        <f>"ИП АНИСИМОВ АЕ"</f>
        <v>ИП АНИСИМОВ АЕ</v>
      </c>
      <c r="O167" t="str">
        <f>"454000"</f>
        <v>454000</v>
      </c>
      <c r="P167" t="str">
        <f>"ОБЛ ЧЕЛЯБИНСКАЯ"</f>
        <v>ОБЛ ЧЕЛЯБИНСКАЯ</v>
      </c>
      <c r="Q167" t="str">
        <f>""</f>
        <v/>
      </c>
      <c r="R167" t="str">
        <f>"Г МАГНИТОГОРСК"</f>
        <v>Г МАГНИТОГОРСК</v>
      </c>
      <c r="S167" t="str">
        <f>""</f>
        <v/>
      </c>
      <c r="T167" t="str">
        <f>"ПР-КТ КАРЛА МАРКСА"</f>
        <v>ПР-КТ КАРЛА МАРКСА</v>
      </c>
      <c r="U167" s="1" t="str">
        <f>"143"</f>
        <v>143</v>
      </c>
      <c r="V167" s="1" t="str">
        <f>""</f>
        <v/>
      </c>
      <c r="W167" s="1" t="str">
        <f>""</f>
        <v/>
      </c>
      <c r="X167" s="1" t="str">
        <f>""</f>
        <v/>
      </c>
      <c r="Y167" s="1" t="str">
        <f>"135"</f>
        <v>135</v>
      </c>
      <c r="Z167" t="str">
        <f>"9048040063"</f>
        <v>9048040063</v>
      </c>
      <c r="AA167" t="str">
        <f>"9191249320"</f>
        <v>9191249320</v>
      </c>
      <c r="AB167" t="str">
        <f>"9191249320"</f>
        <v>9191249320</v>
      </c>
      <c r="AC167" t="str">
        <f>"9191249320"</f>
        <v>9191249320</v>
      </c>
      <c r="AD167" t="str">
        <f>"9191249320"</f>
        <v>9191249320</v>
      </c>
      <c r="AE167" t="str">
        <f>"9048040063"</f>
        <v>9048040063</v>
      </c>
    </row>
    <row r="168" spans="1:31" x14ac:dyDescent="0.45">
      <c r="A168" t="str">
        <f>"ЮРАСОВ ВЛАДИМИР ИВАНОВИЧ"</f>
        <v>ЮРАСОВ ВЛАДИМИР ИВАНОВИЧ</v>
      </c>
      <c r="B168" t="str">
        <f>"1987-02-22"</f>
        <v>1987-02-22</v>
      </c>
      <c r="C168" t="str">
        <f>"75 16 863140"</f>
        <v>75 16 863140</v>
      </c>
      <c r="D168" t="str">
        <f>"4279011663292244"</f>
        <v>4279011663292244</v>
      </c>
      <c r="E168" t="str">
        <f t="shared" si="21"/>
        <v>2021-05-31</v>
      </c>
      <c r="F168" t="str">
        <f t="shared" si="22"/>
        <v>+</v>
      </c>
      <c r="G168" t="str">
        <f t="shared" si="22"/>
        <v>+</v>
      </c>
      <c r="H168" t="str">
        <f>"40817810616991419086"</f>
        <v>40817810616991419086</v>
      </c>
      <c r="I168" t="str">
        <f>"8597"</f>
        <v>8597</v>
      </c>
      <c r="J168" t="str">
        <f>"0455"</f>
        <v>0455</v>
      </c>
      <c r="K168" t="str">
        <f>"20000.00"</f>
        <v>20000.00</v>
      </c>
      <c r="L168" t="str">
        <f>"454000 ОБЛ ЧЕЛЯБИНСКАЯ Р-Н ПЛАСТОВСКИЙ   П СВЕТЛЫЙ УЛ ЛЕСНАЯ д. 1"</f>
        <v>454000 ОБЛ ЧЕЛЯБИНСКАЯ Р-Н ПЛАСТОВСКИЙ   П СВЕТЛЫЙ УЛ ЛЕСНАЯ д. 1</v>
      </c>
      <c r="M168" t="str">
        <f t="shared" si="19"/>
        <v>2019-08-24</v>
      </c>
      <c r="N168" t="str">
        <f>"АО ЮГК"</f>
        <v>АО ЮГК</v>
      </c>
      <c r="O168" t="str">
        <f>"457000"</f>
        <v>457000</v>
      </c>
      <c r="P168" t="str">
        <f>"ОБЛ ЧЕЛЯБИНСКАЯ"</f>
        <v>ОБЛ ЧЕЛЯБИНСКАЯ</v>
      </c>
      <c r="Q168" t="str">
        <f>"Р-Н УВЕЛЬСКИЙ"</f>
        <v>Р-Н УВЕЛЬСКИЙ</v>
      </c>
      <c r="R168" t="str">
        <f>""</f>
        <v/>
      </c>
      <c r="S168" t="str">
        <f>"П УВЕЛЬСКИЙ"</f>
        <v>П УВЕЛЬСКИЙ</v>
      </c>
      <c r="T168" t="str">
        <f>"УЛ 40 ЛЕТ ПОБЕДЫ"</f>
        <v>УЛ 40 ЛЕТ ПОБЕДЫ</v>
      </c>
      <c r="U168" s="1" t="str">
        <f>"24"</f>
        <v>24</v>
      </c>
      <c r="V168" s="1" t="str">
        <f>""</f>
        <v/>
      </c>
      <c r="W168" s="1" t="str">
        <f>""</f>
        <v/>
      </c>
      <c r="X168" s="1" t="str">
        <f>""</f>
        <v/>
      </c>
      <c r="Y168" s="1" t="str">
        <f>"1"</f>
        <v>1</v>
      </c>
      <c r="Z168" t="str">
        <f>""</f>
        <v/>
      </c>
      <c r="AA168" t="str">
        <f>"9085855587"</f>
        <v>9085855587</v>
      </c>
      <c r="AB168" t="str">
        <f>"9085855587"</f>
        <v>9085855587</v>
      </c>
      <c r="AC168" t="str">
        <f>"9517815190"</f>
        <v>9517815190</v>
      </c>
      <c r="AD168" t="str">
        <f>"9085855587"</f>
        <v>9085855587</v>
      </c>
      <c r="AE168" t="str">
        <f>""</f>
        <v/>
      </c>
    </row>
    <row r="169" spans="1:31" x14ac:dyDescent="0.45">
      <c r="A169" t="str">
        <f>"КОЛОКОЛЬЦЕВА ЛЮДМИЛА КОНСТАНТИНОВНА"</f>
        <v>КОЛОКОЛЬЦЕВА ЛЮДМИЛА КОНСТАНТИНОВНА</v>
      </c>
      <c r="B169" t="str">
        <f>"1986-09-16"</f>
        <v>1986-09-16</v>
      </c>
      <c r="C169" t="str">
        <f>"65 07 148673"</f>
        <v>65 07 148673</v>
      </c>
      <c r="D169" t="str">
        <f>"4279011667974045"</f>
        <v>4279011667974045</v>
      </c>
      <c r="E169" t="str">
        <f t="shared" si="21"/>
        <v>2021-05-31</v>
      </c>
      <c r="F169" t="str">
        <f>"Y"</f>
        <v>Y</v>
      </c>
      <c r="G169" t="str">
        <f>"Q"</f>
        <v>Q</v>
      </c>
      <c r="H169" t="str">
        <f>"40817810916991419087"</f>
        <v>40817810916991419087</v>
      </c>
      <c r="I169" t="str">
        <f>"7003"</f>
        <v>7003</v>
      </c>
      <c r="J169" t="str">
        <f>"0469"</f>
        <v>0469</v>
      </c>
      <c r="K169" t="str">
        <f>"0.00"</f>
        <v>0.00</v>
      </c>
      <c r="L169" t="str">
        <f>"620000 ОБЛ СВЕРДЛОВСКАЯ   Г СРЕДНЕУРАЛЬСК   УЛ ЛЕНИНА д. 1"</f>
        <v>620000 ОБЛ СВЕРДЛОВСКАЯ   Г СРЕДНЕУРАЛЬСК   УЛ ЛЕНИНА д. 1</v>
      </c>
      <c r="M169" t="str">
        <f t="shared" si="19"/>
        <v>2019-08-24</v>
      </c>
      <c r="N169" t="str">
        <f>"ЗАО СУЗМК ЭНЕРГО"</f>
        <v>ЗАО СУЗМК ЭНЕРГО</v>
      </c>
      <c r="O169" t="str">
        <f>"620000"</f>
        <v>620000</v>
      </c>
      <c r="P169" t="str">
        <f>"ОБЛ СВЕРДЛОВСКАЯ"</f>
        <v>ОБЛ СВЕРДЛОВСКАЯ</v>
      </c>
      <c r="Q169" t="str">
        <f>""</f>
        <v/>
      </c>
      <c r="R169" t="str">
        <f>"Г ВЕРХНЯЯ ПЫШМА"</f>
        <v>Г ВЕРХНЯЯ ПЫШМА</v>
      </c>
      <c r="S169" t="str">
        <f>""</f>
        <v/>
      </c>
      <c r="T169" t="str">
        <f>"УЛ МАШИНОСТРОИТЕЛЕЙ"</f>
        <v>УЛ МАШИНОСТРОИТЕЛЕЙ</v>
      </c>
      <c r="U169" s="1" t="str">
        <f>"6"</f>
        <v>6</v>
      </c>
      <c r="V169" s="1" t="str">
        <f>""</f>
        <v/>
      </c>
      <c r="W169" s="1" t="str">
        <f>"Б"</f>
        <v>Б</v>
      </c>
      <c r="X169" s="1" t="str">
        <f>""</f>
        <v/>
      </c>
      <c r="Y169" s="1" t="str">
        <f>"106"</f>
        <v>106</v>
      </c>
      <c r="Z169" t="str">
        <f>"3433794115"</f>
        <v>3433794115</v>
      </c>
      <c r="AA169" t="str">
        <f>"9655140575"</f>
        <v>9655140575</v>
      </c>
      <c r="AB169" t="str">
        <f>"9655140575"</f>
        <v>9655140575</v>
      </c>
      <c r="AC169" t="str">
        <f>"9655140575"</f>
        <v>9655140575</v>
      </c>
      <c r="AD169" t="str">
        <f>"9655140575"</f>
        <v>9655140575</v>
      </c>
      <c r="AE169" t="str">
        <f>""</f>
        <v/>
      </c>
    </row>
    <row r="170" spans="1:31" x14ac:dyDescent="0.45">
      <c r="A170" t="str">
        <f>"СМИРНОВА ЕЛЕНА ПРОКОПЬЕВНА"</f>
        <v>СМИРНОВА ЕЛЕНА ПРОКОПЬЕВНА</v>
      </c>
      <c r="B170" t="str">
        <f>"1956-10-13"</f>
        <v>1956-10-13</v>
      </c>
      <c r="C170" t="str">
        <f>"75 04 387755"</f>
        <v>75 04 387755</v>
      </c>
      <c r="D170" t="str">
        <f>"4279011640524552"</f>
        <v>4279011640524552</v>
      </c>
      <c r="E170" t="str">
        <f t="shared" si="21"/>
        <v>2021-05-31</v>
      </c>
      <c r="F170" t="str">
        <f>"+"</f>
        <v>+</v>
      </c>
      <c r="G170" t="str">
        <f>"+"</f>
        <v>+</v>
      </c>
      <c r="H170" t="str">
        <f>"40817810216991419088"</f>
        <v>40817810216991419088</v>
      </c>
      <c r="I170" t="str">
        <f>"8597"</f>
        <v>8597</v>
      </c>
      <c r="J170" t="str">
        <f>"0273"</f>
        <v>0273</v>
      </c>
      <c r="K170" t="str">
        <f>"50000.00"</f>
        <v>50000.00</v>
      </c>
      <c r="L170" t="str">
        <f>"454000 ОБЛ ЧЕЛЯБИНСКАЯ   Г ЧЕЛЯБИНСК   ПР-КТ КОМСОМОЛЬСКИЙ д. 88А кв. 27"</f>
        <v>454000 ОБЛ ЧЕЛЯБИНСКАЯ   Г ЧЕЛЯБИНСК   ПР-КТ КОМСОМОЛЬСКИЙ д. 88А кв. 27</v>
      </c>
      <c r="M170" t="str">
        <f t="shared" si="19"/>
        <v>2019-08-24</v>
      </c>
      <c r="N170" t="str">
        <f>"ПЕНСИОНЕР"</f>
        <v>ПЕНСИОНЕР</v>
      </c>
      <c r="O170" t="str">
        <f>"454000"</f>
        <v>454000</v>
      </c>
      <c r="P170" t="str">
        <f>"ОБЛ ЧЕЛЯБИНСКАЯ"</f>
        <v>ОБЛ ЧЕЛЯБИНСКАЯ</v>
      </c>
      <c r="Q170" t="str">
        <f>""</f>
        <v/>
      </c>
      <c r="R170" t="str">
        <f>"Г ЧЕЛЯБИНСК"</f>
        <v>Г ЧЕЛЯБИНСК</v>
      </c>
      <c r="S170" t="str">
        <f>""</f>
        <v/>
      </c>
      <c r="T170" t="str">
        <f>"ПР-КТ КОМСОМОЛЬСКИЙ"</f>
        <v>ПР-КТ КОМСОМОЛЬСКИЙ</v>
      </c>
      <c r="U170" s="1" t="str">
        <f>"88А"</f>
        <v>88А</v>
      </c>
      <c r="V170" s="1" t="str">
        <f>""</f>
        <v/>
      </c>
      <c r="W170" s="1" t="str">
        <f>""</f>
        <v/>
      </c>
      <c r="X170" s="1" t="str">
        <f>""</f>
        <v/>
      </c>
      <c r="Y170" s="1" t="str">
        <f>"27"</f>
        <v>27</v>
      </c>
      <c r="Z170" t="str">
        <f>""</f>
        <v/>
      </c>
      <c r="AA170" t="str">
        <f>"+7 (912) 7976769"</f>
        <v>+7 (912) 7976769</v>
      </c>
      <c r="AB170" t="str">
        <f>"+7 (912) 7976769"</f>
        <v>+7 (912) 7976769</v>
      </c>
      <c r="AC170" t="str">
        <f>"9127976769"</f>
        <v>9127976769</v>
      </c>
      <c r="AD170" t="str">
        <f>"9127976769"</f>
        <v>9127976769</v>
      </c>
      <c r="AE170" t="str">
        <f>""</f>
        <v/>
      </c>
    </row>
    <row r="171" spans="1:31" x14ac:dyDescent="0.45">
      <c r="A171" t="str">
        <f>"ЧЕГОДАЕВ ВЛАДИМИР СЕРГЕЕВИЧ"</f>
        <v>ЧЕГОДАЕВ ВЛАДИМИР СЕРГЕЕВИЧ</v>
      </c>
      <c r="B171" t="str">
        <f>"1962-11-22"</f>
        <v>1962-11-22</v>
      </c>
      <c r="C171" t="str">
        <f>"80 12 700298"</f>
        <v>80 12 700298</v>
      </c>
      <c r="D171" t="str">
        <f>"4279011612330152"</f>
        <v>4279011612330152</v>
      </c>
      <c r="E171" t="str">
        <f t="shared" si="21"/>
        <v>2021-05-31</v>
      </c>
      <c r="F171" t="str">
        <f>"Q"</f>
        <v>Q</v>
      </c>
      <c r="G171" t="str">
        <f>"Q"</f>
        <v>Q</v>
      </c>
      <c r="H171" t="str">
        <f>"40817810516991419089"</f>
        <v>40817810516991419089</v>
      </c>
      <c r="I171" t="str">
        <f>"8598"</f>
        <v>8598</v>
      </c>
      <c r="J171" t="str">
        <f>"0687"</f>
        <v>0687</v>
      </c>
      <c r="K171" t="str">
        <f>"0.00"</f>
        <v>0.00</v>
      </c>
      <c r="L171" t="str">
        <f>"450000 РЕСП БАШКОРТОСТАН   Г КУМЕРТАУ   УЛ ЛЕСНАЯ д. 21 кв. 8"</f>
        <v>450000 РЕСП БАШКОРТОСТАН   Г КУМЕРТАУ   УЛ ЛЕСНАЯ д. 21 кв. 8</v>
      </c>
      <c r="M171" t="str">
        <f t="shared" si="19"/>
        <v>2019-08-24</v>
      </c>
      <c r="N171" t="str">
        <f>"ПЕНСИОННЫЙ ФОНД"</f>
        <v>ПЕНСИОННЫЙ ФОНД</v>
      </c>
      <c r="O171" t="str">
        <f>"450000"</f>
        <v>450000</v>
      </c>
      <c r="P171" t="str">
        <f>"РЕСП БАШКОРТОСТАН"</f>
        <v>РЕСП БАШКОРТОСТАН</v>
      </c>
      <c r="Q171" t="str">
        <f>""</f>
        <v/>
      </c>
      <c r="R171" t="str">
        <f>"Г КУМЕРТАУ"</f>
        <v>Г КУМЕРТАУ</v>
      </c>
      <c r="S171" t="str">
        <f>""</f>
        <v/>
      </c>
      <c r="T171" t="str">
        <f>"УЛ ЛЕСНАЯ"</f>
        <v>УЛ ЛЕСНАЯ</v>
      </c>
      <c r="U171" s="1" t="str">
        <f>"21"</f>
        <v>21</v>
      </c>
      <c r="V171" s="1" t="str">
        <f>""</f>
        <v/>
      </c>
      <c r="W171" s="1" t="str">
        <f>""</f>
        <v/>
      </c>
      <c r="X171" s="1" t="str">
        <f>""</f>
        <v/>
      </c>
      <c r="Y171" s="1" t="str">
        <f>"8"</f>
        <v>8</v>
      </c>
      <c r="Z171" t="str">
        <f>""</f>
        <v/>
      </c>
      <c r="AA171" t="str">
        <f>"+7 (34761) 47128"</f>
        <v>+7 (34761) 47128</v>
      </c>
      <c r="AB171" t="str">
        <f>"+7 (965) 6557642"</f>
        <v>+7 (965) 6557642</v>
      </c>
      <c r="AC171" t="str">
        <f>"9656454592"</f>
        <v>9656454592</v>
      </c>
      <c r="AD171" t="str">
        <f>"9656454592"</f>
        <v>9656454592</v>
      </c>
      <c r="AE171" t="str">
        <f>""</f>
        <v/>
      </c>
    </row>
    <row r="172" spans="1:31" x14ac:dyDescent="0.45">
      <c r="A172" t="str">
        <f>"НОЗДРЯКОВА ГАЛИНА МИХАЙЛОВНА"</f>
        <v>НОЗДРЯКОВА ГАЛИНА МИХАЙЛОВНА</v>
      </c>
      <c r="B172" t="str">
        <f>"1968-01-18"</f>
        <v>1968-01-18</v>
      </c>
      <c r="C172" t="str">
        <f>"75 12 224828"</f>
        <v>75 12 224828</v>
      </c>
      <c r="D172" t="str">
        <f>"4279011643163747"</f>
        <v>4279011643163747</v>
      </c>
      <c r="E172" t="str">
        <f t="shared" si="21"/>
        <v>2021-05-31</v>
      </c>
      <c r="F172" t="str">
        <f>"K"</f>
        <v>K</v>
      </c>
      <c r="G172" t="str">
        <f t="shared" ref="G172:G191" si="23">"+"</f>
        <v>+</v>
      </c>
      <c r="H172" t="str">
        <f>"40817810216991419091"</f>
        <v>40817810216991419091</v>
      </c>
      <c r="I172" t="str">
        <f>"8597"</f>
        <v>8597</v>
      </c>
      <c r="J172" t="str">
        <f>"0169"</f>
        <v>0169</v>
      </c>
      <c r="K172" t="str">
        <f>"270000.00"</f>
        <v>270000.00</v>
      </c>
      <c r="L172" t="str">
        <f>"454008 ОБЛ ЧЕЛЯБИНСКАЯ   Г ЧЕЛЯБИНСК   УЛ ЦИНКОВАЯ д. 1 офис 300"</f>
        <v>454008 ОБЛ ЧЕЛЯБИНСКАЯ   Г ЧЕЛЯБИНСК   УЛ ЦИНКОВАЯ д. 1 офис 300</v>
      </c>
      <c r="M172" t="str">
        <f t="shared" si="19"/>
        <v>2019-08-24</v>
      </c>
      <c r="N172" t="s">
        <v>36</v>
      </c>
      <c r="O172" t="str">
        <f>"454081"</f>
        <v>454081</v>
      </c>
      <c r="P172" t="str">
        <f>"ОБЛ ЧЕЛЯБИНСКАЯ"</f>
        <v>ОБЛ ЧЕЛЯБИНСКАЯ</v>
      </c>
      <c r="Q172" t="str">
        <f>""</f>
        <v/>
      </c>
      <c r="R172" t="str">
        <f>"Г ЧЕЛЯБИНСК"</f>
        <v>Г ЧЕЛЯБИНСК</v>
      </c>
      <c r="S172" t="str">
        <f>""</f>
        <v/>
      </c>
      <c r="T172" t="str">
        <f>"УЛ ЛЕРМОНТОВА"</f>
        <v>УЛ ЛЕРМОНТОВА</v>
      </c>
      <c r="U172" s="1" t="str">
        <f>"4"</f>
        <v>4</v>
      </c>
      <c r="V172" s="1" t="str">
        <f>""</f>
        <v/>
      </c>
      <c r="W172" s="1" t="str">
        <f>""</f>
        <v/>
      </c>
      <c r="X172" s="1" t="str">
        <f>""</f>
        <v/>
      </c>
      <c r="Y172" s="1" t="str">
        <f>"124"</f>
        <v>124</v>
      </c>
      <c r="Z172" t="str">
        <f>"3517307231"</f>
        <v>3517307231</v>
      </c>
      <c r="AA172" t="str">
        <f>"3517794544"</f>
        <v>3517794544</v>
      </c>
      <c r="AB172" t="str">
        <f>"9085842942"</f>
        <v>9085842942</v>
      </c>
      <c r="AC172" t="str">
        <f>"9822829805"</f>
        <v>9822829805</v>
      </c>
      <c r="AD172" t="str">
        <f>"9085842942"</f>
        <v>9085842942</v>
      </c>
      <c r="AE172" t="str">
        <f>""</f>
        <v/>
      </c>
    </row>
    <row r="173" spans="1:31" x14ac:dyDescent="0.45">
      <c r="A173" t="str">
        <f>"АСКАРОВ АЛЕКСЕЙ ФАНУСОВИЧ"</f>
        <v>АСКАРОВ АЛЕКСЕЙ ФАНУСОВИЧ</v>
      </c>
      <c r="B173" t="str">
        <f>"1987-06-07"</f>
        <v>1987-06-07</v>
      </c>
      <c r="C173" t="str">
        <f>"65 12 552068"</f>
        <v>65 12 552068</v>
      </c>
      <c r="D173" t="str">
        <f>"4279011614969346"</f>
        <v>4279011614969346</v>
      </c>
      <c r="E173" t="str">
        <f t="shared" si="21"/>
        <v>2021-05-31</v>
      </c>
      <c r="F173" t="str">
        <f t="shared" ref="F173:F191" si="24">"+"</f>
        <v>+</v>
      </c>
      <c r="G173" t="str">
        <f t="shared" si="23"/>
        <v>+</v>
      </c>
      <c r="H173" t="str">
        <f>"40817810916991419090"</f>
        <v>40817810916991419090</v>
      </c>
      <c r="I173" t="str">
        <f>"7003"</f>
        <v>7003</v>
      </c>
      <c r="J173" t="str">
        <f>"0288"</f>
        <v>0288</v>
      </c>
      <c r="K173" t="str">
        <f>"11000.00"</f>
        <v>11000.00</v>
      </c>
      <c r="L173" t="str">
        <f>"620000 ОБЛ СВЕРДЛОВСКАЯ   Г ЕКАТЕРИНБУРГ   УЛ 8 МАРТА д. 32 корп. А"</f>
        <v>620000 ОБЛ СВЕРДЛОВСКАЯ   Г ЕКАТЕРИНБУРГ   УЛ 8 МАРТА д. 32 корп. А</v>
      </c>
      <c r="M173" t="str">
        <f t="shared" si="19"/>
        <v>2019-08-24</v>
      </c>
      <c r="N173" t="str">
        <f>"ВИЛЛА 66"</f>
        <v>ВИЛЛА 66</v>
      </c>
      <c r="O173" t="str">
        <f>"620000"</f>
        <v>620000</v>
      </c>
      <c r="P173" t="str">
        <f>"ОБЛ СВЕРДЛОВСКАЯ"</f>
        <v>ОБЛ СВЕРДЛОВСКАЯ</v>
      </c>
      <c r="Q173" t="str">
        <f>""</f>
        <v/>
      </c>
      <c r="R173" t="str">
        <f>"Г ЕКАТЕРИНБУРГ"</f>
        <v>Г ЕКАТЕРИНБУРГ</v>
      </c>
      <c r="S173" t="str">
        <f>""</f>
        <v/>
      </c>
      <c r="T173" t="str">
        <f>"УЛ ДОНБАССКАЯ"</f>
        <v>УЛ ДОНБАССКАЯ</v>
      </c>
      <c r="U173" s="1" t="str">
        <f>"41"</f>
        <v>41</v>
      </c>
      <c r="V173" s="1" t="str">
        <f>""</f>
        <v/>
      </c>
      <c r="W173" s="1" t="str">
        <f>""</f>
        <v/>
      </c>
      <c r="X173" s="1" t="str">
        <f>""</f>
        <v/>
      </c>
      <c r="Y173" s="1" t="str">
        <f>"225"</f>
        <v>225</v>
      </c>
      <c r="Z173" t="str">
        <f>""</f>
        <v/>
      </c>
      <c r="AA173" t="str">
        <f>"9122378577"</f>
        <v>9122378577</v>
      </c>
      <c r="AB173" t="str">
        <f>"9122378577"</f>
        <v>9122378577</v>
      </c>
      <c r="AC173" t="str">
        <f>"9122378577"</f>
        <v>9122378577</v>
      </c>
      <c r="AD173" t="str">
        <f>"9122378577"</f>
        <v>9122378577</v>
      </c>
      <c r="AE173" t="str">
        <f>""</f>
        <v/>
      </c>
    </row>
    <row r="174" spans="1:31" x14ac:dyDescent="0.45">
      <c r="A174" t="str">
        <f>"МИХАЙЛОВА ЛЮДМИЛА АЛЕКСАНДРОВНА"</f>
        <v>МИХАЙЛОВА ЛЮДМИЛА АЛЕКСАНДРОВНА</v>
      </c>
      <c r="B174" t="str">
        <f>"1968-03-28"</f>
        <v>1968-03-28</v>
      </c>
      <c r="C174" t="str">
        <f>"75 13 272247"</f>
        <v>75 13 272247</v>
      </c>
      <c r="D174" t="str">
        <f>"4279011651081336"</f>
        <v>4279011651081336</v>
      </c>
      <c r="E174" t="str">
        <f t="shared" si="21"/>
        <v>2021-05-31</v>
      </c>
      <c r="F174" t="str">
        <f t="shared" si="24"/>
        <v>+</v>
      </c>
      <c r="G174" t="str">
        <f t="shared" si="23"/>
        <v>+</v>
      </c>
      <c r="H174" t="str">
        <f>"40817810816991419093"</f>
        <v>40817810816991419093</v>
      </c>
      <c r="I174" t="str">
        <f>"8597"</f>
        <v>8597</v>
      </c>
      <c r="J174" t="str">
        <f>"0502"</f>
        <v>0502</v>
      </c>
      <c r="K174" t="str">
        <f>"75000.00"</f>
        <v>75000.00</v>
      </c>
      <c r="L174" t="str">
        <f>"454000 ОБЛ ЧЕЛЯБИНСКАЯ   Г ЗЛАТОУСТ   ПРОЕЗД ПАРКОВЫЙ д. 1"</f>
        <v>454000 ОБЛ ЧЕЛЯБИНСКАЯ   Г ЗЛАТОУСТ   ПРОЕЗД ПАРКОВЫЙ д. 1</v>
      </c>
      <c r="M174" t="str">
        <f t="shared" si="19"/>
        <v>2019-08-24</v>
      </c>
      <c r="N174" t="str">
        <f>"ОАО ЗЛАТМАШ"</f>
        <v>ОАО ЗЛАТМАШ</v>
      </c>
      <c r="O174" t="str">
        <f>"454000"</f>
        <v>454000</v>
      </c>
      <c r="P174" t="str">
        <f>"ОБЛ ЧЕЛЯБИНСКАЯ"</f>
        <v>ОБЛ ЧЕЛЯБИНСКАЯ</v>
      </c>
      <c r="Q174" t="str">
        <f>""</f>
        <v/>
      </c>
      <c r="R174" t="str">
        <f>"Г ЗЛАТОУСТ"</f>
        <v>Г ЗЛАТОУСТ</v>
      </c>
      <c r="S174" t="str">
        <f>""</f>
        <v/>
      </c>
      <c r="T174" t="str">
        <f>"УЛ УРИЦКОГО"</f>
        <v>УЛ УРИЦКОГО</v>
      </c>
      <c r="U174" s="1" t="str">
        <f>"32"</f>
        <v>32</v>
      </c>
      <c r="V174" s="1" t="str">
        <f>""</f>
        <v/>
      </c>
      <c r="W174" s="1" t="str">
        <f>""</f>
        <v/>
      </c>
      <c r="X174" s="1" t="str">
        <f>""</f>
        <v/>
      </c>
      <c r="Y174" s="1" t="str">
        <f>"77"</f>
        <v>77</v>
      </c>
      <c r="Z174" t="str">
        <f>"3513669880"</f>
        <v>3513669880</v>
      </c>
      <c r="AA174" t="str">
        <f>"3513663977"</f>
        <v>3513663977</v>
      </c>
      <c r="AB174" t="str">
        <f>"9026053030"</f>
        <v>9026053030</v>
      </c>
      <c r="AC174" t="str">
        <f>"9026053030"</f>
        <v>9026053030</v>
      </c>
      <c r="AD174" t="str">
        <f>"9026053030"</f>
        <v>9026053030</v>
      </c>
      <c r="AE174" t="str">
        <f>"9220168411"</f>
        <v>9220168411</v>
      </c>
    </row>
    <row r="175" spans="1:31" x14ac:dyDescent="0.45">
      <c r="A175" t="str">
        <f>"ЗАЙДУЛЛИН ИЛЬДУС МИДХАТОВИЧ"</f>
        <v>ЗАЙДУЛЛИН ИЛЬДУС МИДХАТОВИЧ</v>
      </c>
      <c r="B175" t="str">
        <f>"1969-01-01"</f>
        <v>1969-01-01</v>
      </c>
      <c r="C175" t="str">
        <f>"80 13 904729"</f>
        <v>80 13 904729</v>
      </c>
      <c r="D175" t="str">
        <f>"4279011694814198"</f>
        <v>4279011694814198</v>
      </c>
      <c r="E175" t="str">
        <f t="shared" si="21"/>
        <v>2021-05-31</v>
      </c>
      <c r="F175" t="str">
        <f t="shared" si="24"/>
        <v>+</v>
      </c>
      <c r="G175" t="str">
        <f t="shared" si="23"/>
        <v>+</v>
      </c>
      <c r="H175" t="str">
        <f>"40817810516991419092"</f>
        <v>40817810516991419092</v>
      </c>
      <c r="I175" t="str">
        <f>"8598"</f>
        <v>8598</v>
      </c>
      <c r="J175" t="str">
        <f>"0395"</f>
        <v>0395</v>
      </c>
      <c r="K175" t="str">
        <f>"195000.00"</f>
        <v>195000.00</v>
      </c>
      <c r="L175" t="str">
        <f>"453050 РЕСП БАШКОРТОСТАН Р-Н АУРГАЗИНСКИЙ   С ТОЛБАЗЫ УЛ М. ГАФУРИ д. 26"</f>
        <v>453050 РЕСП БАШКОРТОСТАН Р-Н АУРГАЗИНСКИЙ   С ТОЛБАЗЫ УЛ М. ГАФУРИ д. 26</v>
      </c>
      <c r="M175" t="str">
        <f t="shared" si="19"/>
        <v>2019-08-24</v>
      </c>
      <c r="N175" t="str">
        <f>"АУРГАЗИНСКАЯ ВЕТЕРИНАРНАЯ СТАНЦИЯ"</f>
        <v>АУРГАЗИНСКАЯ ВЕТЕРИНАРНАЯ СТАНЦИЯ</v>
      </c>
      <c r="O175" t="str">
        <f>"450000"</f>
        <v>450000</v>
      </c>
      <c r="P175" t="str">
        <f>"РЕСП БАШКОРТОСТАН"</f>
        <v>РЕСП БАШКОРТОСТАН</v>
      </c>
      <c r="Q175" t="str">
        <f>"Р-Н ГАФУРИЙСКИЙ"</f>
        <v>Р-Н ГАФУРИЙСКИЙ</v>
      </c>
      <c r="R175" t="str">
        <f>""</f>
        <v/>
      </c>
      <c r="S175" t="str">
        <f>"Д ДАРЬИНО"</f>
        <v>Д ДАРЬИНО</v>
      </c>
      <c r="T175" t="str">
        <f>"УЛ ЛЕНИНА"</f>
        <v>УЛ ЛЕНИНА</v>
      </c>
      <c r="U175" s="1" t="str">
        <f>"74"</f>
        <v>74</v>
      </c>
      <c r="V175" s="1" t="str">
        <f>""</f>
        <v/>
      </c>
      <c r="W175" s="1" t="str">
        <f>""</f>
        <v/>
      </c>
      <c r="X175" s="1" t="str">
        <f>""</f>
        <v/>
      </c>
      <c r="Y175" s="1" t="str">
        <f>""</f>
        <v/>
      </c>
      <c r="Z175" t="str">
        <f>"3474020000"</f>
        <v>3474020000</v>
      </c>
      <c r="AA175" t="str">
        <f>"9373659178"</f>
        <v>9373659178</v>
      </c>
      <c r="AB175" t="str">
        <f>"9373659178"</f>
        <v>9373659178</v>
      </c>
      <c r="AC175" t="str">
        <f>"9373659178"</f>
        <v>9373659178</v>
      </c>
      <c r="AD175" t="str">
        <f>"9373659178"</f>
        <v>9373659178</v>
      </c>
      <c r="AE175" t="str">
        <f>""</f>
        <v/>
      </c>
    </row>
    <row r="176" spans="1:31" x14ac:dyDescent="0.45">
      <c r="A176" t="str">
        <f>"ЧЕХРАНОВ ВЛАДИМИР АЛЕКСАНДРОВИЧ"</f>
        <v>ЧЕХРАНОВ ВЛАДИМИР АЛЕКСАНДРОВИЧ</v>
      </c>
      <c r="B176" t="str">
        <f>"1962-12-03"</f>
        <v>1962-12-03</v>
      </c>
      <c r="C176" t="str">
        <f>"65 07 285098"</f>
        <v>65 07 285098</v>
      </c>
      <c r="D176" t="str">
        <f>"4279011653720535"</f>
        <v>4279011653720535</v>
      </c>
      <c r="E176" t="str">
        <f t="shared" si="21"/>
        <v>2021-05-31</v>
      </c>
      <c r="F176" t="str">
        <f t="shared" si="24"/>
        <v>+</v>
      </c>
      <c r="G176" t="str">
        <f t="shared" si="23"/>
        <v>+</v>
      </c>
      <c r="H176" t="str">
        <f>"40817810116991419094"</f>
        <v>40817810116991419094</v>
      </c>
      <c r="I176" t="str">
        <f>"8598"</f>
        <v>8598</v>
      </c>
      <c r="J176" t="str">
        <f>"0011"</f>
        <v>0011</v>
      </c>
      <c r="K176" t="str">
        <f>"200000.00"</f>
        <v>200000.00</v>
      </c>
      <c r="L176" t="str">
        <f>"450000 РЕСП БАШКОРТОСТАН   Г УФА   УЛ НАБЕРЕЖНАЯ Р УФЫ д. 37 кв. 35"</f>
        <v>450000 РЕСП БАШКОРТОСТАН   Г УФА   УЛ НАБЕРЕЖНАЯ Р УФЫ д. 37 кв. 35</v>
      </c>
      <c r="M176" t="str">
        <f t="shared" si="19"/>
        <v>2019-08-24</v>
      </c>
      <c r="N176" t="str">
        <f>"НЕ РАБОТАЕТ"</f>
        <v>НЕ РАБОТАЕТ</v>
      </c>
      <c r="O176" t="str">
        <f>"450000"</f>
        <v>450000</v>
      </c>
      <c r="P176" t="str">
        <f>"РЕСП БАШКОРТОСТАН"</f>
        <v>РЕСП БАШКОРТОСТАН</v>
      </c>
      <c r="Q176" t="str">
        <f>""</f>
        <v/>
      </c>
      <c r="R176" t="str">
        <f>"Г УФА"</f>
        <v>Г УФА</v>
      </c>
      <c r="S176" t="str">
        <f>""</f>
        <v/>
      </c>
      <c r="T176" t="str">
        <f>"УЛ НАБЕРЕЖНАЯ Р УФЫ"</f>
        <v>УЛ НАБЕРЕЖНАЯ Р УФЫ</v>
      </c>
      <c r="U176" s="1" t="str">
        <f>"37"</f>
        <v>37</v>
      </c>
      <c r="V176" s="1" t="str">
        <f>""</f>
        <v/>
      </c>
      <c r="W176" s="1" t="str">
        <f>""</f>
        <v/>
      </c>
      <c r="X176" s="1" t="str">
        <f>""</f>
        <v/>
      </c>
      <c r="Y176" s="1" t="str">
        <f>"35"</f>
        <v>35</v>
      </c>
      <c r="Z176" t="str">
        <f>"9603883348"</f>
        <v>9603883348</v>
      </c>
      <c r="AA176" t="str">
        <f>"9603883348"</f>
        <v>9603883348</v>
      </c>
      <c r="AB176" t="str">
        <f>"9603883348"</f>
        <v>9603883348</v>
      </c>
      <c r="AC176" t="str">
        <f>"9603883348"</f>
        <v>9603883348</v>
      </c>
      <c r="AD176" t="str">
        <f>"9603883348"</f>
        <v>9603883348</v>
      </c>
      <c r="AE176" t="str">
        <f>"9603883348"</f>
        <v>9603883348</v>
      </c>
    </row>
    <row r="177" spans="1:31" x14ac:dyDescent="0.45">
      <c r="A177" t="str">
        <f>"САФИНА ЭЛЬМИРА МАРСОВНА"</f>
        <v>САФИНА ЭЛЬМИРА МАРСОВНА</v>
      </c>
      <c r="B177" t="str">
        <f>"1969-08-05"</f>
        <v>1969-08-05</v>
      </c>
      <c r="C177" t="str">
        <f>"80 14 985669"</f>
        <v>80 14 985669</v>
      </c>
      <c r="D177" t="str">
        <f>"4817810014082660"</f>
        <v>4817810014082660</v>
      </c>
      <c r="E177" t="str">
        <f t="shared" si="21"/>
        <v>2021-05-31</v>
      </c>
      <c r="F177" t="str">
        <f t="shared" si="24"/>
        <v>+</v>
      </c>
      <c r="G177" t="str">
        <f t="shared" si="23"/>
        <v>+</v>
      </c>
      <c r="H177" t="str">
        <f>"40817810416991419095"</f>
        <v>40817810416991419095</v>
      </c>
      <c r="I177" t="str">
        <f>"8598"</f>
        <v>8598</v>
      </c>
      <c r="J177" t="str">
        <f>"0608"</f>
        <v>0608</v>
      </c>
      <c r="K177" t="str">
        <f>"740000.00"</f>
        <v>740000.00</v>
      </c>
      <c r="L177" t="str">
        <f>"450000 РЕСП БАШКОРТОСТАН Р-Н КАЛТАСИНСКИЙ   С КРАСНОХОЛМСКИЙ УЛ ЛЕНИНА д. 21 корп. Б"</f>
        <v>450000 РЕСП БАШКОРТОСТАН Р-Н КАЛТАСИНСКИЙ   С КРАСНОХОЛМСКИЙ УЛ ЛЕНИНА д. 21 корп. Б</v>
      </c>
      <c r="M177" t="str">
        <f t="shared" si="19"/>
        <v>2019-08-24</v>
      </c>
      <c r="N177" t="s">
        <v>37</v>
      </c>
      <c r="O177" t="str">
        <f>"450000"</f>
        <v>450000</v>
      </c>
      <c r="P177" t="str">
        <f>"РЕСП БАШКОРТОСТАН"</f>
        <v>РЕСП БАШКОРТОСТАН</v>
      </c>
      <c r="Q177" t="str">
        <f>"Р-Н КАЛТАСИНСКИЙ"</f>
        <v>Р-Н КАЛТАСИНСКИЙ</v>
      </c>
      <c r="R177" t="str">
        <f>""</f>
        <v/>
      </c>
      <c r="S177" t="str">
        <f>"С КРАСНОХОЛМСКИЙ"</f>
        <v>С КРАСНОХОЛМСКИЙ</v>
      </c>
      <c r="T177" t="str">
        <f>"УЛ ЦЕНТРАЛЬНАЯ"</f>
        <v>УЛ ЦЕНТРАЛЬНАЯ</v>
      </c>
      <c r="U177" s="1" t="str">
        <f>"34"</f>
        <v>34</v>
      </c>
      <c r="V177" s="1" t="str">
        <f>""</f>
        <v/>
      </c>
      <c r="W177" s="1" t="str">
        <f>""</f>
        <v/>
      </c>
      <c r="X177" s="1" t="str">
        <f>""</f>
        <v/>
      </c>
      <c r="Y177" s="1" t="str">
        <f>""</f>
        <v/>
      </c>
      <c r="Z177" t="str">
        <f>""</f>
        <v/>
      </c>
      <c r="AA177" t="str">
        <f>"9871343191"</f>
        <v>9871343191</v>
      </c>
      <c r="AB177" t="str">
        <f>"9871343191"</f>
        <v>9871343191</v>
      </c>
      <c r="AC177" t="str">
        <f>"9871343191"</f>
        <v>9871343191</v>
      </c>
      <c r="AD177" t="str">
        <f>"9871343191"</f>
        <v>9871343191</v>
      </c>
      <c r="AE177" t="str">
        <f>""</f>
        <v/>
      </c>
    </row>
    <row r="178" spans="1:31" x14ac:dyDescent="0.45">
      <c r="A178" t="str">
        <f>"ЕФИМОВА ЛЮДМИЛА ВЯЧЕСЛАВОВНА"</f>
        <v>ЕФИМОВА ЛЮДМИЛА ВЯЧЕСЛАВОВНА</v>
      </c>
      <c r="B178" t="str">
        <f>"1978-11-21"</f>
        <v>1978-11-21</v>
      </c>
      <c r="C178" t="str">
        <f>"75 08 398175"</f>
        <v>75 08 398175</v>
      </c>
      <c r="D178" t="str">
        <f>"4279011618026929"</f>
        <v>4279011618026929</v>
      </c>
      <c r="E178" t="str">
        <f t="shared" si="21"/>
        <v>2021-05-31</v>
      </c>
      <c r="F178" t="str">
        <f t="shared" si="24"/>
        <v>+</v>
      </c>
      <c r="G178" t="str">
        <f t="shared" si="23"/>
        <v>+</v>
      </c>
      <c r="H178" t="str">
        <f>"40817810716991419096"</f>
        <v>40817810716991419096</v>
      </c>
      <c r="I178" t="str">
        <f>"8597"</f>
        <v>8597</v>
      </c>
      <c r="J178" t="str">
        <f>"0231"</f>
        <v>0231</v>
      </c>
      <c r="K178" t="str">
        <f>"180000.00"</f>
        <v>180000.00</v>
      </c>
      <c r="L178" t="str">
        <f>"454000 ОБЛ ЧЕЛЯБИНСКАЯ   Г ЧЕЛЯБИНСК   УЛ ГАГАРИНА д. 40А"</f>
        <v>454000 ОБЛ ЧЕЛЯБИНСКАЯ   Г ЧЕЛЯБИНСК   УЛ ГАГАРИНА д. 40А</v>
      </c>
      <c r="M178" t="str">
        <f t="shared" si="19"/>
        <v>2019-08-24</v>
      </c>
      <c r="N178" t="str">
        <f>"ИП ЕФИМОВА Л.В."</f>
        <v>ИП ЕФИМОВА Л.В.</v>
      </c>
      <c r="O178" t="str">
        <f>"454000"</f>
        <v>454000</v>
      </c>
      <c r="P178" t="str">
        <f>"ОБЛ ЧЕЛЯБИНСКАЯ"</f>
        <v>ОБЛ ЧЕЛЯБИНСКАЯ</v>
      </c>
      <c r="Q178" t="str">
        <f>""</f>
        <v/>
      </c>
      <c r="R178" t="str">
        <f>"Г ЧЕЛЯБИНСК"</f>
        <v>Г ЧЕЛЯБИНСК</v>
      </c>
      <c r="S178" t="str">
        <f>""</f>
        <v/>
      </c>
      <c r="T178" t="str">
        <f>"УЛ ГАГАРИНА"</f>
        <v>УЛ ГАГАРИНА</v>
      </c>
      <c r="U178" s="1" t="str">
        <f>"40А"</f>
        <v>40А</v>
      </c>
      <c r="V178" s="1" t="str">
        <f>""</f>
        <v/>
      </c>
      <c r="W178" s="1" t="str">
        <f>""</f>
        <v/>
      </c>
      <c r="X178" s="1" t="str">
        <f>""</f>
        <v/>
      </c>
      <c r="Y178" s="1" t="str">
        <f>"47"</f>
        <v>47</v>
      </c>
      <c r="Z178" t="str">
        <f>""</f>
        <v/>
      </c>
      <c r="AA178" t="str">
        <f>"9227533840"</f>
        <v>9227533840</v>
      </c>
      <c r="AB178" t="str">
        <f>"9227373623"</f>
        <v>9227373623</v>
      </c>
      <c r="AC178" t="str">
        <f>"9227533840"</f>
        <v>9227533840</v>
      </c>
      <c r="AD178" t="str">
        <f>"9227373623"</f>
        <v>9227373623</v>
      </c>
      <c r="AE178" t="str">
        <f>""</f>
        <v/>
      </c>
    </row>
    <row r="179" spans="1:31" x14ac:dyDescent="0.45">
      <c r="A179" t="str">
        <f>"ФЕДОТОВ МАКСИМ АНАТОЛЬЕВИЧ"</f>
        <v>ФЕДОТОВ МАКСИМ АНАТОЛЬЕВИЧ</v>
      </c>
      <c r="B179" t="str">
        <f>"1983-12-19"</f>
        <v>1983-12-19</v>
      </c>
      <c r="C179" t="str">
        <f>"65 05 050753"</f>
        <v>65 05 050753</v>
      </c>
      <c r="D179" t="str">
        <f>"4279011664277319"</f>
        <v>4279011664277319</v>
      </c>
      <c r="E179" t="str">
        <f t="shared" si="21"/>
        <v>2021-05-31</v>
      </c>
      <c r="F179" t="str">
        <f t="shared" si="24"/>
        <v>+</v>
      </c>
      <c r="G179" t="str">
        <f t="shared" si="23"/>
        <v>+</v>
      </c>
      <c r="H179" t="str">
        <f>"40817810316991419098"</f>
        <v>40817810316991419098</v>
      </c>
      <c r="I179" t="str">
        <f>"7003"</f>
        <v>7003</v>
      </c>
      <c r="J179" t="str">
        <f>"0092"</f>
        <v>0092</v>
      </c>
      <c r="K179" t="str">
        <f>"185000.00"</f>
        <v>185000.00</v>
      </c>
      <c r="L179" t="str">
        <f>"620000 ОБЛ СВЕРДЛОВСКАЯ   Г ЕКАТЕРИНБУРГ   УЛ ОСНОВИНСКАЯ д. 8"</f>
        <v>620000 ОБЛ СВЕРДЛОВСКАЯ   Г ЕКАТЕРИНБУРГ   УЛ ОСНОВИНСКАЯ д. 8</v>
      </c>
      <c r="M179" t="str">
        <f t="shared" si="19"/>
        <v>2019-08-24</v>
      </c>
      <c r="N179" t="str">
        <f>"ТК УТХ"</f>
        <v>ТК УТХ</v>
      </c>
      <c r="O179" t="str">
        <f>"620000"</f>
        <v>620000</v>
      </c>
      <c r="P179" t="str">
        <f>"ОБЛ СВЕРДЛОВСКАЯ"</f>
        <v>ОБЛ СВЕРДЛОВСКАЯ</v>
      </c>
      <c r="Q179" t="str">
        <f>""</f>
        <v/>
      </c>
      <c r="R179" t="str">
        <f>"Г ЕКАТЕРИНБУРГ"</f>
        <v>Г ЕКАТЕРИНБУРГ</v>
      </c>
      <c r="S179" t="str">
        <f>""</f>
        <v/>
      </c>
      <c r="T179" t="str">
        <f>"УЛ ТЕХНИЧЕСКАЯ"</f>
        <v>УЛ ТЕХНИЧЕСКАЯ</v>
      </c>
      <c r="U179" s="1" t="str">
        <f>"152"</f>
        <v>152</v>
      </c>
      <c r="V179" s="1" t="str">
        <f>""</f>
        <v/>
      </c>
      <c r="W179" s="1" t="str">
        <f>""</f>
        <v/>
      </c>
      <c r="X179" s="1" t="str">
        <f>""</f>
        <v/>
      </c>
      <c r="Y179" s="1" t="str">
        <f>"319"</f>
        <v>319</v>
      </c>
      <c r="Z179" t="str">
        <f>""</f>
        <v/>
      </c>
      <c r="AA179" t="str">
        <f>"9041793131"</f>
        <v>9041793131</v>
      </c>
      <c r="AB179" t="str">
        <f>"9041793131"</f>
        <v>9041793131</v>
      </c>
      <c r="AC179" t="str">
        <f>"9041793131"</f>
        <v>9041793131</v>
      </c>
      <c r="AD179" t="str">
        <f>"9041793131"</f>
        <v>9041793131</v>
      </c>
      <c r="AE179" t="str">
        <f>""</f>
        <v/>
      </c>
    </row>
    <row r="180" spans="1:31" x14ac:dyDescent="0.45">
      <c r="A180" t="str">
        <f>"ЛАРИОНОВ ЮРИЙ ГЕОРГИЕВИЧ"</f>
        <v>ЛАРИОНОВ ЮРИЙ ГЕОРГИЕВИЧ</v>
      </c>
      <c r="B180" t="str">
        <f>"1956-04-27"</f>
        <v>1956-04-27</v>
      </c>
      <c r="C180" t="str">
        <f>"65 02 071605"</f>
        <v>65 02 071605</v>
      </c>
      <c r="D180" t="str">
        <f>"4279011651499710"</f>
        <v>4279011651499710</v>
      </c>
      <c r="E180" t="str">
        <f t="shared" si="21"/>
        <v>2021-05-31</v>
      </c>
      <c r="F180" t="str">
        <f t="shared" si="24"/>
        <v>+</v>
      </c>
      <c r="G180" t="str">
        <f t="shared" si="23"/>
        <v>+</v>
      </c>
      <c r="H180" t="str">
        <f>"40817810616991419099"</f>
        <v>40817810616991419099</v>
      </c>
      <c r="I180" t="str">
        <f>"7003"</f>
        <v>7003</v>
      </c>
      <c r="J180" t="str">
        <f>"0708"</f>
        <v>0708</v>
      </c>
      <c r="K180" t="str">
        <f>"215000.00"</f>
        <v>215000.00</v>
      </c>
      <c r="L180" t="str">
        <f>"620000 ОБЛ СВЕРДЛОВСКАЯ   Г РЕВДА   УЛ ЦВЕТНИКОВ д. 21"</f>
        <v>620000 ОБЛ СВЕРДЛОВСКАЯ   Г РЕВДА   УЛ ЦВЕТНИКОВ д. 21</v>
      </c>
      <c r="M180" t="str">
        <f t="shared" si="19"/>
        <v>2019-08-24</v>
      </c>
      <c r="N180" t="str">
        <f>"УПФР ПО Г РЕВДА"</f>
        <v>УПФР ПО Г РЕВДА</v>
      </c>
      <c r="O180" t="str">
        <f>"620000"</f>
        <v>620000</v>
      </c>
      <c r="P180" t="str">
        <f>"ОБЛ СВЕРДЛОВСКАЯ"</f>
        <v>ОБЛ СВЕРДЛОВСКАЯ</v>
      </c>
      <c r="Q180" t="str">
        <f>""</f>
        <v/>
      </c>
      <c r="R180" t="str">
        <f>"Г РЕВДА"</f>
        <v>Г РЕВДА</v>
      </c>
      <c r="S180" t="str">
        <f>""</f>
        <v/>
      </c>
      <c r="T180" t="str">
        <f>"УЛ П ЗЫКИНА"</f>
        <v>УЛ П ЗЫКИНА</v>
      </c>
      <c r="U180" s="1" t="str">
        <f>"13"</f>
        <v>13</v>
      </c>
      <c r="V180" s="1" t="str">
        <f>""</f>
        <v/>
      </c>
      <c r="W180" s="1" t="str">
        <f>""</f>
        <v/>
      </c>
      <c r="X180" s="1" t="str">
        <f>""</f>
        <v/>
      </c>
      <c r="Y180" s="1" t="str">
        <f>"56"</f>
        <v>56</v>
      </c>
      <c r="Z180" t="str">
        <f>""</f>
        <v/>
      </c>
      <c r="AA180" t="str">
        <f>"3439725401"</f>
        <v>3439725401</v>
      </c>
      <c r="AB180" t="str">
        <f>"9221155547"</f>
        <v>9221155547</v>
      </c>
      <c r="AC180" t="str">
        <f>"3439725401"</f>
        <v>3439725401</v>
      </c>
      <c r="AD180" t="str">
        <f>"9221155547"</f>
        <v>9221155547</v>
      </c>
      <c r="AE180" t="str">
        <f>""</f>
        <v/>
      </c>
    </row>
    <row r="181" spans="1:31" x14ac:dyDescent="0.45">
      <c r="A181" t="str">
        <f>"СЕРГИЕНКО ТАТЬЯНА СЕРГЕЕВНА"</f>
        <v>СЕРГИЕНКО ТАТЬЯНА СЕРГЕЕВНА</v>
      </c>
      <c r="B181" t="str">
        <f>"1974-07-10"</f>
        <v>1974-07-10</v>
      </c>
      <c r="C181" t="str">
        <f>"75 19 363519"</f>
        <v>75 19 363519</v>
      </c>
      <c r="D181" t="str">
        <f>"4279011638722119"</f>
        <v>4279011638722119</v>
      </c>
      <c r="E181" t="str">
        <f t="shared" si="21"/>
        <v>2021-05-31</v>
      </c>
      <c r="F181" t="str">
        <f t="shared" si="24"/>
        <v>+</v>
      </c>
      <c r="G181" t="str">
        <f t="shared" si="23"/>
        <v>+</v>
      </c>
      <c r="H181" t="str">
        <f>"40817810916991419100"</f>
        <v>40817810916991419100</v>
      </c>
      <c r="I181" t="str">
        <f>"8597"</f>
        <v>8597</v>
      </c>
      <c r="J181" t="str">
        <f>"0561"</f>
        <v>0561</v>
      </c>
      <c r="K181" t="str">
        <f>"310000.00"</f>
        <v>310000.00</v>
      </c>
      <c r="L181" t="str">
        <f>"454000 ОБЛ ЧЕЛЯБИНСКАЯ   Г ЧЕЛЯБИНСК   УЛ СОЛНЕЧНАЯ д. 7 офис 216"</f>
        <v>454000 ОБЛ ЧЕЛЯБИНСКАЯ   Г ЧЕЛЯБИНСК   УЛ СОЛНЕЧНАЯ д. 7 офис 216</v>
      </c>
      <c r="M181" t="str">
        <f t="shared" si="19"/>
        <v>2019-08-24</v>
      </c>
      <c r="N181" t="str">
        <f>"ООО УРАЛ ТРАНМ ЛОГИСТИК"</f>
        <v>ООО УРАЛ ТРАНМ ЛОГИСТИК</v>
      </c>
      <c r="O181" t="str">
        <f>"454000"</f>
        <v>454000</v>
      </c>
      <c r="P181" t="str">
        <f>"ОБЛ ЧЕЛЯБИНСКАЯ"</f>
        <v>ОБЛ ЧЕЛЯБИНСКАЯ</v>
      </c>
      <c r="Q181" t="str">
        <f>""</f>
        <v/>
      </c>
      <c r="R181" t="str">
        <f>"Г ЧЕЛЯБИНСК"</f>
        <v>Г ЧЕЛЯБИНСК</v>
      </c>
      <c r="S181" t="str">
        <f>""</f>
        <v/>
      </c>
      <c r="T181" t="str">
        <f>"УЛ БЕЙВЕЛЯ"</f>
        <v>УЛ БЕЙВЕЛЯ</v>
      </c>
      <c r="U181" s="1" t="str">
        <f>"46"</f>
        <v>46</v>
      </c>
      <c r="V181" s="1" t="str">
        <f>""</f>
        <v/>
      </c>
      <c r="W181" s="1" t="str">
        <f>""</f>
        <v/>
      </c>
      <c r="X181" s="1" t="str">
        <f>""</f>
        <v/>
      </c>
      <c r="Y181" s="1" t="str">
        <f>"23"</f>
        <v>23</v>
      </c>
      <c r="Z181" t="str">
        <f>""</f>
        <v/>
      </c>
      <c r="AA181" t="str">
        <f>"+7 (906) 8619188"</f>
        <v>+7 (906) 8619188</v>
      </c>
      <c r="AB181" t="str">
        <f>"+7 (951) 4825592"</f>
        <v>+7 (951) 4825592</v>
      </c>
      <c r="AC181" t="str">
        <f>"9658535054"</f>
        <v>9658535054</v>
      </c>
      <c r="AD181" t="str">
        <f>"9068619188"</f>
        <v>9068619188</v>
      </c>
      <c r="AE181" t="str">
        <f>""</f>
        <v/>
      </c>
    </row>
    <row r="182" spans="1:31" x14ac:dyDescent="0.45">
      <c r="A182" t="str">
        <f>"ДРАЙ НАТАЛЬЯ ЮРЬЕВНА"</f>
        <v>ДРАЙ НАТАЛЬЯ ЮРЬЕВНА</v>
      </c>
      <c r="B182" t="str">
        <f>"1983-05-04"</f>
        <v>1983-05-04</v>
      </c>
      <c r="C182" t="str">
        <f>"75 04 532004"</f>
        <v>75 04 532004</v>
      </c>
      <c r="D182" t="str">
        <f>"4279011684972501"</f>
        <v>4279011684972501</v>
      </c>
      <c r="E182" t="str">
        <f t="shared" si="21"/>
        <v>2021-05-31</v>
      </c>
      <c r="F182" t="str">
        <f t="shared" si="24"/>
        <v>+</v>
      </c>
      <c r="G182" t="str">
        <f t="shared" si="23"/>
        <v>+</v>
      </c>
      <c r="H182" t="str">
        <f>"40817810216991419101"</f>
        <v>40817810216991419101</v>
      </c>
      <c r="I182" t="str">
        <f>"7003"</f>
        <v>7003</v>
      </c>
      <c r="J182" t="str">
        <f>"0118"</f>
        <v>0118</v>
      </c>
      <c r="K182" t="str">
        <f>"250000.00"</f>
        <v>250000.00</v>
      </c>
      <c r="L182" t="str">
        <f>"454000 ОБЛ ЧЕЛЯБИНСКАЯ   Г ВЕРХНИЙ УФАЛЕЙ   УЛ ЯКУШЕВА д. 7"</f>
        <v>454000 ОБЛ ЧЕЛЯБИНСКАЯ   Г ВЕРХНИЙ УФАЛЕЙ   УЛ ЯКУШЕВА д. 7</v>
      </c>
      <c r="M182" t="str">
        <f t="shared" si="19"/>
        <v>2019-08-24</v>
      </c>
      <c r="N182" t="str">
        <f>"НЕ РАБОТАЮЩИЙ"</f>
        <v>НЕ РАБОТАЮЩИЙ</v>
      </c>
      <c r="O182" t="str">
        <f>"454000"</f>
        <v>454000</v>
      </c>
      <c r="P182" t="str">
        <f>"ОБЛ ЧЕЛЯБИНСКАЯ"</f>
        <v>ОБЛ ЧЕЛЯБИНСКАЯ</v>
      </c>
      <c r="Q182" t="str">
        <f>""</f>
        <v/>
      </c>
      <c r="R182" t="str">
        <f>"Г ВЕРХНИЙ УФАЛЕЙ"</f>
        <v>Г ВЕРХНИЙ УФАЛЕЙ</v>
      </c>
      <c r="S182" t="str">
        <f>""</f>
        <v/>
      </c>
      <c r="T182" t="str">
        <f>"УЛ ЯКУШЕВА"</f>
        <v>УЛ ЯКУШЕВА</v>
      </c>
      <c r="U182" s="1" t="str">
        <f>"7"</f>
        <v>7</v>
      </c>
      <c r="V182" s="1" t="str">
        <f>""</f>
        <v/>
      </c>
      <c r="W182" s="1" t="str">
        <f>""</f>
        <v/>
      </c>
      <c r="X182" s="1" t="str">
        <f>""</f>
        <v/>
      </c>
      <c r="Y182" s="1" t="str">
        <f>""</f>
        <v/>
      </c>
      <c r="Z182" t="str">
        <f>""</f>
        <v/>
      </c>
      <c r="AA182" t="str">
        <f>"9045472450"</f>
        <v>9045472450</v>
      </c>
      <c r="AB182" t="str">
        <f>"9045472450"</f>
        <v>9045472450</v>
      </c>
      <c r="AC182" t="str">
        <f>"9045472450"</f>
        <v>9045472450</v>
      </c>
      <c r="AD182" t="str">
        <f>"9045472450"</f>
        <v>9045472450</v>
      </c>
      <c r="AE182" t="str">
        <f>""</f>
        <v/>
      </c>
    </row>
    <row r="183" spans="1:31" x14ac:dyDescent="0.45">
      <c r="A183" t="str">
        <f>"ДМИТРИЕВА ЛЮДМИЛА КОНСТАНТИНОВНА"</f>
        <v>ДМИТРИЕВА ЛЮДМИЛА КОНСТАНТИНОВНА</v>
      </c>
      <c r="B183" t="str">
        <f>"1965-01-05"</f>
        <v>1965-01-05</v>
      </c>
      <c r="C183" t="str">
        <f>"65 09 850460"</f>
        <v>65 09 850460</v>
      </c>
      <c r="D183" t="str">
        <f>"4854630234763640"</f>
        <v>4854630234763640</v>
      </c>
      <c r="E183" t="str">
        <f>"2021-04-30"</f>
        <v>2021-04-30</v>
      </c>
      <c r="F183" t="str">
        <f t="shared" si="24"/>
        <v>+</v>
      </c>
      <c r="G183" t="str">
        <f t="shared" si="23"/>
        <v>+</v>
      </c>
      <c r="H183" t="str">
        <f>"40817810316991418976"</f>
        <v>40817810316991418976</v>
      </c>
      <c r="I183" t="str">
        <f>"7003"</f>
        <v>7003</v>
      </c>
      <c r="J183" t="str">
        <f>"0892"</f>
        <v>0892</v>
      </c>
      <c r="K183" t="str">
        <f>"100000.00"</f>
        <v>100000.00</v>
      </c>
      <c r="L183" t="str">
        <f>"620000 ОБЛ СВЕРДЛОВСКАЯ   Г ЕКАТЕРИНБУРГ   ПР-КТ КОСМОНАВТОВ д. 43"</f>
        <v>620000 ОБЛ СВЕРДЛОВСКАЯ   Г ЕКАТЕРИНБУРГ   ПР-КТ КОСМОНАВТОВ д. 43</v>
      </c>
      <c r="M183" t="str">
        <f t="shared" si="19"/>
        <v>2019-08-24</v>
      </c>
      <c r="N183" t="str">
        <f>"ООО АГРАТУРГ"</f>
        <v>ООО АГРАТУРГ</v>
      </c>
      <c r="O183" t="str">
        <f>"620000"</f>
        <v>620000</v>
      </c>
      <c r="P183" t="str">
        <f>"ОБЛ СВЕРДЛОВСКАЯ"</f>
        <v>ОБЛ СВЕРДЛОВСКАЯ</v>
      </c>
      <c r="Q183" t="str">
        <f>""</f>
        <v/>
      </c>
      <c r="R183" t="str">
        <f>"Г ЕКАТЕРИНБУРГ"</f>
        <v>Г ЕКАТЕРИНБУРГ</v>
      </c>
      <c r="S183" t="str">
        <f>""</f>
        <v/>
      </c>
      <c r="T183" t="str">
        <f>"ПР-КТ КОСМОНАВТОВ"</f>
        <v>ПР-КТ КОСМОНАВТОВ</v>
      </c>
      <c r="U183" s="1" t="str">
        <f>"67"</f>
        <v>67</v>
      </c>
      <c r="V183" s="1" t="str">
        <f>""</f>
        <v/>
      </c>
      <c r="W183" s="1" t="str">
        <f>""</f>
        <v/>
      </c>
      <c r="X183" s="1" t="str">
        <f>""</f>
        <v/>
      </c>
      <c r="Y183" s="1" t="str">
        <f>"10"</f>
        <v>10</v>
      </c>
      <c r="Z183" t="str">
        <f>""</f>
        <v/>
      </c>
      <c r="AA183" t="str">
        <f>"9089030156"</f>
        <v>9089030156</v>
      </c>
      <c r="AB183" t="str">
        <f>"9089030156"</f>
        <v>9089030156</v>
      </c>
      <c r="AC183" t="str">
        <f>"9089030156"</f>
        <v>9089030156</v>
      </c>
      <c r="AD183" t="str">
        <f>"9089030156"</f>
        <v>9089030156</v>
      </c>
      <c r="AE183" t="str">
        <f>""</f>
        <v/>
      </c>
    </row>
    <row r="184" spans="1:31" x14ac:dyDescent="0.45">
      <c r="A184" t="str">
        <f>"ПОДКУЙКО СВЕТЛАНА АНАТОЛЬЕВНА"</f>
        <v>ПОДКУЙКО СВЕТЛАНА АНАТОЛЬЕВНА</v>
      </c>
      <c r="B184" t="str">
        <f>"1964-07-03"</f>
        <v>1964-07-03</v>
      </c>
      <c r="C184" t="str">
        <f>"67 09 941080"</f>
        <v>67 09 941080</v>
      </c>
      <c r="D184" t="str">
        <f>"4279016720824970"</f>
        <v>4279016720824970</v>
      </c>
      <c r="E184" t="str">
        <f t="shared" ref="E184:E200" si="25">"2021-05-31"</f>
        <v>2021-05-31</v>
      </c>
      <c r="F184" t="str">
        <f t="shared" si="24"/>
        <v>+</v>
      </c>
      <c r="G184" t="str">
        <f t="shared" si="23"/>
        <v>+</v>
      </c>
      <c r="H184" t="str">
        <f>"40817810916992404130"</f>
        <v>40817810916992404130</v>
      </c>
      <c r="I184" t="str">
        <f>"5940"</f>
        <v>5940</v>
      </c>
      <c r="J184" t="str">
        <f>"0133"</f>
        <v>0133</v>
      </c>
      <c r="K184" t="str">
        <f>"170000.00"</f>
        <v>170000.00</v>
      </c>
      <c r="L184" t="str">
        <f>"628672 ОБЛ ТЮМЕНСКАЯ     Г ЛАНГЕПАС УЛ ЛЕНИНА д. 11В"</f>
        <v>628672 ОБЛ ТЮМЕНСКАЯ     Г ЛАНГЕПАС УЛ ЛЕНИНА д. 11В</v>
      </c>
      <c r="M184" t="str">
        <f t="shared" si="19"/>
        <v>2019-08-24</v>
      </c>
      <c r="N184" t="str">
        <f>"ПРОМ ИНФОРМ ТЕХНОЛОГИИ"</f>
        <v>ПРОМ ИНФОРМ ТЕХНОЛОГИИ</v>
      </c>
      <c r="O184" t="str">
        <f>"628672"</f>
        <v>628672</v>
      </c>
      <c r="P184" t="str">
        <f>"ОБЛ ТЮМЕНСКАЯ"</f>
        <v>ОБЛ ТЮМЕНСКАЯ</v>
      </c>
      <c r="Q184" t="str">
        <f>""</f>
        <v/>
      </c>
      <c r="R184" t="str">
        <f>""</f>
        <v/>
      </c>
      <c r="S184" t="str">
        <f>"Г ЛАНГЕПАС"</f>
        <v>Г ЛАНГЕПАС</v>
      </c>
      <c r="T184" t="str">
        <f>"УЛ ПАРКОВАЯ"</f>
        <v>УЛ ПАРКОВАЯ</v>
      </c>
      <c r="U184" s="1" t="str">
        <f>"11"</f>
        <v>11</v>
      </c>
      <c r="V184" s="1" t="str">
        <f>""</f>
        <v/>
      </c>
      <c r="W184" s="1" t="str">
        <f>""</f>
        <v/>
      </c>
      <c r="X184" s="1" t="str">
        <f>""</f>
        <v/>
      </c>
      <c r="Y184" s="1" t="str">
        <f>"14"</f>
        <v>14</v>
      </c>
      <c r="Z184" t="str">
        <f>"9044641566"</f>
        <v>9044641566</v>
      </c>
      <c r="AA184" t="str">
        <f>"9044641566"</f>
        <v>9044641566</v>
      </c>
      <c r="AB184" t="str">
        <f>"9044643206"</f>
        <v>9044643206</v>
      </c>
      <c r="AC184" t="str">
        <f>"9044641566"</f>
        <v>9044641566</v>
      </c>
      <c r="AD184" t="str">
        <f>"9044643206"</f>
        <v>9044643206</v>
      </c>
      <c r="AE184" t="str">
        <f>"9044641566"</f>
        <v>9044641566</v>
      </c>
    </row>
    <row r="185" spans="1:31" x14ac:dyDescent="0.45">
      <c r="A185" t="str">
        <f>"СИЗИКОВА ЕКАТЕРИНА АНДРЕЕВНА"</f>
        <v>СИЗИКОВА ЕКАТЕРИНА АНДРЕЕВНА</v>
      </c>
      <c r="B185" t="str">
        <f>"1993-09-13"</f>
        <v>1993-09-13</v>
      </c>
      <c r="C185" t="str">
        <f>"67 18 767350"</f>
        <v>67 18 767350</v>
      </c>
      <c r="D185" t="str">
        <f>"4279016724783768"</f>
        <v>4279016724783768</v>
      </c>
      <c r="E185" t="str">
        <f t="shared" si="25"/>
        <v>2021-05-31</v>
      </c>
      <c r="F185" t="str">
        <f t="shared" si="24"/>
        <v>+</v>
      </c>
      <c r="G185" t="str">
        <f t="shared" si="23"/>
        <v>+</v>
      </c>
      <c r="H185" t="str">
        <f>"40817810016992404179"</f>
        <v>40817810016992404179</v>
      </c>
      <c r="I185" t="str">
        <f>"1791"</f>
        <v>1791</v>
      </c>
      <c r="J185" t="str">
        <f>"0054"</f>
        <v>0054</v>
      </c>
      <c r="K185" t="str">
        <f>"65000.00"</f>
        <v>65000.00</v>
      </c>
      <c r="L185" t="str">
        <f>"628000 ОБЛ ТЮМЕНСКАЯ     Г ХАНТЫ-МАНСИЙСК УЛ КАЛИНИНА д. 40"</f>
        <v>628000 ОБЛ ТЮМЕНСКАЯ     Г ХАНТЫ-МАНСИЙСК УЛ КАЛИНИНА д. 40</v>
      </c>
      <c r="M185" t="str">
        <f t="shared" si="19"/>
        <v>2019-08-24</v>
      </c>
      <c r="N185" t="str">
        <f>"БУ ХМАО-ЮГРЫ ОКБ"</f>
        <v>БУ ХМАО-ЮГРЫ ОКБ</v>
      </c>
      <c r="O185" t="str">
        <f>"628000"</f>
        <v>628000</v>
      </c>
      <c r="P185" t="str">
        <f>"ОБЛ ОМСКАЯ"</f>
        <v>ОБЛ ОМСКАЯ</v>
      </c>
      <c r="Q185" t="str">
        <f>""</f>
        <v/>
      </c>
      <c r="R185" t="str">
        <f>""</f>
        <v/>
      </c>
      <c r="S185" t="str">
        <f>"С ИВАНОВ МЫС"</f>
        <v>С ИВАНОВ МЫС</v>
      </c>
      <c r="T185" t="str">
        <f>"УЛ БЕРЕГОВАЯ"</f>
        <v>УЛ БЕРЕГОВАЯ</v>
      </c>
      <c r="U185" s="1" t="str">
        <f>"3"</f>
        <v>3</v>
      </c>
      <c r="V185" s="1" t="str">
        <f>""</f>
        <v/>
      </c>
      <c r="W185" s="1" t="str">
        <f>""</f>
        <v/>
      </c>
      <c r="X185" s="1" t="str">
        <f>""</f>
        <v/>
      </c>
      <c r="Y185" s="1" t="str">
        <f>""</f>
        <v/>
      </c>
      <c r="Z185" t="str">
        <f>"9526908094"</f>
        <v>9526908094</v>
      </c>
      <c r="AA185" t="str">
        <f>"9526908094"</f>
        <v>9526908094</v>
      </c>
      <c r="AB185" t="str">
        <f>"9526908094"</f>
        <v>9526908094</v>
      </c>
      <c r="AC185" t="str">
        <f>"9526908094"</f>
        <v>9526908094</v>
      </c>
      <c r="AD185" t="str">
        <f>"9526908094"</f>
        <v>9526908094</v>
      </c>
      <c r="AE185" t="str">
        <f>"9088071673"</f>
        <v>9088071673</v>
      </c>
    </row>
    <row r="186" spans="1:31" x14ac:dyDescent="0.45">
      <c r="A186" t="str">
        <f>"КАРАКУЛОВА ОЛЬГА СЕРГЕЕВНА"</f>
        <v>КАРАКУЛОВА ОЛЬГА СЕРГЕЕВНА</v>
      </c>
      <c r="B186" t="str">
        <f>"1963-06-25"</f>
        <v>1963-06-25</v>
      </c>
      <c r="C186" t="str">
        <f>"65 08 414082"</f>
        <v>65 08 414082</v>
      </c>
      <c r="D186" t="str">
        <f>"4279011659417300"</f>
        <v>4279011659417300</v>
      </c>
      <c r="E186" t="str">
        <f t="shared" si="25"/>
        <v>2021-05-31</v>
      </c>
      <c r="F186" t="str">
        <f t="shared" si="24"/>
        <v>+</v>
      </c>
      <c r="G186" t="str">
        <f t="shared" si="23"/>
        <v>+</v>
      </c>
      <c r="H186" t="str">
        <f>"40817810516991419102"</f>
        <v>40817810516991419102</v>
      </c>
      <c r="I186" t="str">
        <f>"7003"</f>
        <v>7003</v>
      </c>
      <c r="J186" t="str">
        <f>"0741"</f>
        <v>0741</v>
      </c>
      <c r="K186" t="str">
        <f>"200000.00"</f>
        <v>200000.00</v>
      </c>
      <c r="L186" t="str">
        <f>"620000 ОБЛ СВЕРДЛОВСКАЯ   Г НИЖНИЙ ТАГИЛ   Ш ЧЕРНОИСТОЧИНСКОЕ д. 20"</f>
        <v>620000 ОБЛ СВЕРДЛОВСКАЯ   Г НИЖНИЙ ТАГИЛ   Ш ЧЕРНОИСТОЧИНСКОЕ д. 20</v>
      </c>
      <c r="M186" t="str">
        <f t="shared" si="19"/>
        <v>2019-08-24</v>
      </c>
      <c r="N186" t="str">
        <f>"ООО ТОРГОВЫЙ ДМ ГЛОБУС"</f>
        <v>ООО ТОРГОВЫЙ ДМ ГЛОБУС</v>
      </c>
      <c r="O186" t="str">
        <f>"620000"</f>
        <v>620000</v>
      </c>
      <c r="P186" t="str">
        <f>"ОБЛ СВЕРДЛОВСКАЯ"</f>
        <v>ОБЛ СВЕРДЛОВСКАЯ</v>
      </c>
      <c r="Q186" t="str">
        <f>""</f>
        <v/>
      </c>
      <c r="R186" t="str">
        <f>"Г НИЖНИЙ ТАГИЛ"</f>
        <v>Г НИЖНИЙ ТАГИЛ</v>
      </c>
      <c r="S186" t="str">
        <f>""</f>
        <v/>
      </c>
      <c r="T186" t="str">
        <f>"УЛ ПОБЕДЫ"</f>
        <v>УЛ ПОБЕДЫ</v>
      </c>
      <c r="U186" s="1" t="str">
        <f>"22"</f>
        <v>22</v>
      </c>
      <c r="V186" s="1" t="str">
        <f>""</f>
        <v/>
      </c>
      <c r="W186" s="1" t="str">
        <f>""</f>
        <v/>
      </c>
      <c r="X186" s="1" t="str">
        <f>""</f>
        <v/>
      </c>
      <c r="Y186" s="1" t="str">
        <f>"6"</f>
        <v>6</v>
      </c>
      <c r="Z186" t="str">
        <f>""</f>
        <v/>
      </c>
      <c r="AA186" t="str">
        <f>"9126065904"</f>
        <v>9126065904</v>
      </c>
      <c r="AB186" t="str">
        <f>"9126065904"</f>
        <v>9126065904</v>
      </c>
      <c r="AC186" t="str">
        <f>"9126065904"</f>
        <v>9126065904</v>
      </c>
      <c r="AD186" t="str">
        <f>"9920025381"</f>
        <v>9920025381</v>
      </c>
      <c r="AE186" t="str">
        <f>""</f>
        <v/>
      </c>
    </row>
    <row r="187" spans="1:31" x14ac:dyDescent="0.45">
      <c r="A187" t="str">
        <f>"АВЕРИНА ТАТЬЯНА ЮРЬЕВНА"</f>
        <v>АВЕРИНА ТАТЬЯНА ЮРЬЕВНА</v>
      </c>
      <c r="B187" t="str">
        <f>"1978-08-20"</f>
        <v>1978-08-20</v>
      </c>
      <c r="C187" t="str">
        <f>"75 04 278589"</f>
        <v>75 04 278589</v>
      </c>
      <c r="D187" t="str">
        <f>"4279011667483203"</f>
        <v>4279011667483203</v>
      </c>
      <c r="E187" t="str">
        <f t="shared" si="25"/>
        <v>2021-05-31</v>
      </c>
      <c r="F187" t="str">
        <f t="shared" si="24"/>
        <v>+</v>
      </c>
      <c r="G187" t="str">
        <f t="shared" si="23"/>
        <v>+</v>
      </c>
      <c r="H187" t="str">
        <f>"40817810016991419107"</f>
        <v>40817810016991419107</v>
      </c>
      <c r="I187" t="str">
        <f t="shared" ref="I187:I192" si="26">"8597"</f>
        <v>8597</v>
      </c>
      <c r="J187" t="str">
        <f>"0335"</f>
        <v>0335</v>
      </c>
      <c r="K187" t="str">
        <f>"50000.00"</f>
        <v>50000.00</v>
      </c>
      <c r="L187" t="str">
        <f>"454000 ОБЛ ЧЕЛЯБИНСКАЯ   Г МАГНИТОГОРСК   УЛ ЛЕНИНА д. 141"</f>
        <v>454000 ОБЛ ЧЕЛЯБИНСКАЯ   Г МАГНИТОГОРСК   УЛ ЛЕНИНА д. 141</v>
      </c>
      <c r="M187" t="str">
        <f t="shared" si="19"/>
        <v>2019-08-24</v>
      </c>
      <c r="N187" t="str">
        <f>"АГРОТОРГ"</f>
        <v>АГРОТОРГ</v>
      </c>
      <c r="O187" t="str">
        <f>"454000"</f>
        <v>454000</v>
      </c>
      <c r="P187" t="str">
        <f t="shared" ref="P187:P192" si="27">"ОБЛ ЧЕЛЯБИНСКАЯ"</f>
        <v>ОБЛ ЧЕЛЯБИНСКАЯ</v>
      </c>
      <c r="Q187" t="str">
        <f>"Р-Н АГАПОВСКИЙ"</f>
        <v>Р-Н АГАПОВСКИЙ</v>
      </c>
      <c r="R187" t="str">
        <f>""</f>
        <v/>
      </c>
      <c r="S187" t="str">
        <f>"П ПРИМОРСКИЙ"</f>
        <v>П ПРИМОРСКИЙ</v>
      </c>
      <c r="T187" t="str">
        <f>"УЛ ДОРОЖНАЯ"</f>
        <v>УЛ ДОРОЖНАЯ</v>
      </c>
      <c r="U187" s="1" t="str">
        <f>"2"</f>
        <v>2</v>
      </c>
      <c r="V187" s="1" t="str">
        <f>""</f>
        <v/>
      </c>
      <c r="W187" s="1" t="str">
        <f>""</f>
        <v/>
      </c>
      <c r="X187" s="1" t="str">
        <f>""</f>
        <v/>
      </c>
      <c r="Y187" s="1" t="str">
        <f>"1"</f>
        <v>1</v>
      </c>
      <c r="Z187" t="str">
        <f>"9821073435"</f>
        <v>9821073435</v>
      </c>
      <c r="AA187" t="str">
        <f>"9194086035"</f>
        <v>9194086035</v>
      </c>
      <c r="AB187" t="str">
        <f>"9194086035"</f>
        <v>9194086035</v>
      </c>
      <c r="AC187" t="str">
        <f>"9194086035"</f>
        <v>9194086035</v>
      </c>
      <c r="AD187" t="str">
        <f>"9194086035"</f>
        <v>9194086035</v>
      </c>
      <c r="AE187" t="str">
        <f>"9821073435"</f>
        <v>9821073435</v>
      </c>
    </row>
    <row r="188" spans="1:31" x14ac:dyDescent="0.45">
      <c r="A188" t="str">
        <f>"ГЕРР ЕКАТЕРИНА СЕРГЕЕВНА"</f>
        <v>ГЕРР ЕКАТЕРИНА СЕРГЕЕВНА</v>
      </c>
      <c r="B188" t="str">
        <f>"1981-05-28"</f>
        <v>1981-05-28</v>
      </c>
      <c r="C188" t="str">
        <f>"75 02 624794"</f>
        <v>75 02 624794</v>
      </c>
      <c r="D188" t="str">
        <f>"4279011672688002"</f>
        <v>4279011672688002</v>
      </c>
      <c r="E188" t="str">
        <f t="shared" si="25"/>
        <v>2021-05-31</v>
      </c>
      <c r="F188" t="str">
        <f t="shared" si="24"/>
        <v>+</v>
      </c>
      <c r="G188" t="str">
        <f t="shared" si="23"/>
        <v>+</v>
      </c>
      <c r="H188" t="str">
        <f>"40817810116991419104"</f>
        <v>40817810116991419104</v>
      </c>
      <c r="I188" t="str">
        <f t="shared" si="26"/>
        <v>8597</v>
      </c>
      <c r="J188" t="str">
        <f>"0489"</f>
        <v>0489</v>
      </c>
      <c r="K188" t="str">
        <f>"28000.00"</f>
        <v>28000.00</v>
      </c>
      <c r="L188" t="str">
        <f>"457040 ОБЛ ЧЕЛЯБИНСКАЯ   КП КРАСНОГОРСКИЙ   УЛ ПОБЕДЫ д. 29"</f>
        <v>457040 ОБЛ ЧЕЛЯБИНСКАЯ   КП КРАСНОГОРСКИЙ   УЛ ПОБЕДЫ д. 29</v>
      </c>
      <c r="M188" t="str">
        <f t="shared" si="19"/>
        <v>2019-08-24</v>
      </c>
      <c r="N188" t="str">
        <f>"ИП ШАЙХЕЕВ"</f>
        <v>ИП ШАЙХЕЕВ</v>
      </c>
      <c r="O188" t="str">
        <f>"457040"</f>
        <v>457040</v>
      </c>
      <c r="P188" t="str">
        <f t="shared" si="27"/>
        <v>ОБЛ ЧЕЛЯБИНСКАЯ</v>
      </c>
      <c r="Q188" t="str">
        <f>""</f>
        <v/>
      </c>
      <c r="R188" t="str">
        <f>"Г ЮЖНОУРАЛЬСК"</f>
        <v>Г ЮЖНОУРАЛЬСК</v>
      </c>
      <c r="S188" t="str">
        <f>""</f>
        <v/>
      </c>
      <c r="T188" t="str">
        <f>"УЛ ПОБЕДЫ"</f>
        <v>УЛ ПОБЕДЫ</v>
      </c>
      <c r="U188" s="1" t="str">
        <f>"12"</f>
        <v>12</v>
      </c>
      <c r="V188" s="1" t="str">
        <f>""</f>
        <v/>
      </c>
      <c r="W188" s="1" t="str">
        <f>""</f>
        <v/>
      </c>
      <c r="X188" s="1" t="str">
        <f>""</f>
        <v/>
      </c>
      <c r="Y188" s="1" t="str">
        <f>"159"</f>
        <v>159</v>
      </c>
      <c r="Z188" t="str">
        <f>""</f>
        <v/>
      </c>
      <c r="AA188" t="str">
        <f>"9507230073"</f>
        <v>9507230073</v>
      </c>
      <c r="AB188" t="str">
        <f>"9507230073"</f>
        <v>9507230073</v>
      </c>
      <c r="AC188" t="str">
        <f>"9507230073"</f>
        <v>9507230073</v>
      </c>
      <c r="AD188" t="str">
        <f>"9507230073"</f>
        <v>9507230073</v>
      </c>
      <c r="AE188" t="str">
        <f>""</f>
        <v/>
      </c>
    </row>
    <row r="189" spans="1:31" x14ac:dyDescent="0.45">
      <c r="A189" t="str">
        <f>"ТРУБНИКОВА НАТАЛЬЯ АЛЕКСАНДРОВНА"</f>
        <v>ТРУБНИКОВА НАТАЛЬЯ АЛЕКСАНДРОВНА</v>
      </c>
      <c r="B189" t="str">
        <f>"1981-06-24"</f>
        <v>1981-06-24</v>
      </c>
      <c r="C189" t="str">
        <f>"75 12 078830"</f>
        <v>75 12 078830</v>
      </c>
      <c r="D189" t="str">
        <f>"4279011698316802"</f>
        <v>4279011698316802</v>
      </c>
      <c r="E189" t="str">
        <f t="shared" si="25"/>
        <v>2021-05-31</v>
      </c>
      <c r="F189" t="str">
        <f t="shared" si="24"/>
        <v>+</v>
      </c>
      <c r="G189" t="str">
        <f t="shared" si="23"/>
        <v>+</v>
      </c>
      <c r="H189" t="str">
        <f>"40817810416991419105"</f>
        <v>40817810416991419105</v>
      </c>
      <c r="I189" t="str">
        <f t="shared" si="26"/>
        <v>8597</v>
      </c>
      <c r="J189" t="str">
        <f>"0561"</f>
        <v>0561</v>
      </c>
      <c r="K189" t="str">
        <f>"270000.00"</f>
        <v>270000.00</v>
      </c>
      <c r="L189" t="str">
        <f>"454000 ОБЛ ЧЕЛЯБИНСКАЯ   Г ЧЕЛЯБИНСК   УЛ КАРЛА МАРКСА д. 38 офис 304"</f>
        <v>454000 ОБЛ ЧЕЛЯБИНСКАЯ   Г ЧЕЛЯБИНСК   УЛ КАРЛА МАРКСА д. 38 офис 304</v>
      </c>
      <c r="M189" t="str">
        <f t="shared" si="19"/>
        <v>2019-08-24</v>
      </c>
      <c r="N189" t="str">
        <f>"ООО ЕВРАЗМЕТАЛЛ-УРАЛМ"</f>
        <v>ООО ЕВРАЗМЕТАЛЛ-УРАЛМ</v>
      </c>
      <c r="O189" t="str">
        <f>"454000"</f>
        <v>454000</v>
      </c>
      <c r="P189" t="str">
        <f t="shared" si="27"/>
        <v>ОБЛ ЧЕЛЯБИНСКАЯ</v>
      </c>
      <c r="Q189" t="str">
        <f>""</f>
        <v/>
      </c>
      <c r="R189" t="str">
        <f>"Г ЧЕЛЯБИНСК"</f>
        <v>Г ЧЕЛЯБИНСК</v>
      </c>
      <c r="S189" t="str">
        <f>""</f>
        <v/>
      </c>
      <c r="T189" t="str">
        <f>"УЛ СКУЛЬПТОРА ГОЛОВНИЦКОГО"</f>
        <v>УЛ СКУЛЬПТОРА ГОЛОВНИЦКОГО</v>
      </c>
      <c r="U189" s="1" t="str">
        <f>"24"</f>
        <v>24</v>
      </c>
      <c r="V189" s="1" t="str">
        <f>""</f>
        <v/>
      </c>
      <c r="W189" s="1" t="str">
        <f>""</f>
        <v/>
      </c>
      <c r="X189" s="1" t="str">
        <f>""</f>
        <v/>
      </c>
      <c r="Y189" s="1" t="str">
        <f>"117"</f>
        <v>117</v>
      </c>
      <c r="Z189" t="str">
        <f>""</f>
        <v/>
      </c>
      <c r="AA189" t="str">
        <f>"9194013840"</f>
        <v>9194013840</v>
      </c>
      <c r="AB189" t="str">
        <f>"9193383829"</f>
        <v>9193383829</v>
      </c>
      <c r="AC189" t="str">
        <f>"9194013840"</f>
        <v>9194013840</v>
      </c>
      <c r="AD189" t="str">
        <f>"9193383829"</f>
        <v>9193383829</v>
      </c>
      <c r="AE189" t="str">
        <f>""</f>
        <v/>
      </c>
    </row>
    <row r="190" spans="1:31" x14ac:dyDescent="0.45">
      <c r="A190" t="str">
        <f>"АНТОНОВА ВЕРА НИКОЛАЕВНА"</f>
        <v>АНТОНОВА ВЕРА НИКОЛАЕВНА</v>
      </c>
      <c r="B190" t="str">
        <f>"1988-02-09"</f>
        <v>1988-02-09</v>
      </c>
      <c r="C190" t="str">
        <f>"75 16 869934"</f>
        <v>75 16 869934</v>
      </c>
      <c r="D190" t="str">
        <f>"4279011649845594"</f>
        <v>4279011649845594</v>
      </c>
      <c r="E190" t="str">
        <f t="shared" si="25"/>
        <v>2021-05-31</v>
      </c>
      <c r="F190" t="str">
        <f t="shared" si="24"/>
        <v>+</v>
      </c>
      <c r="G190" t="str">
        <f t="shared" si="23"/>
        <v>+</v>
      </c>
      <c r="H190" t="str">
        <f>"40817810316991419108"</f>
        <v>40817810316991419108</v>
      </c>
      <c r="I190" t="str">
        <f t="shared" si="26"/>
        <v>8597</v>
      </c>
      <c r="J190" t="str">
        <f>"0307"</f>
        <v>0307</v>
      </c>
      <c r="K190" t="str">
        <f>"34000.00"</f>
        <v>34000.00</v>
      </c>
      <c r="L190" t="str">
        <f>"454000 ОБЛ ЧЕЛЯБИНСКАЯ   Г ЧЕЛЯБИНСК   ПР-КТ СВЕРДЛОВСКИЙ д. 16"</f>
        <v>454000 ОБЛ ЧЕЛЯБИНСКАЯ   Г ЧЕЛЯБИНСК   ПР-КТ СВЕРДЛОВСКИЙ д. 16</v>
      </c>
      <c r="M190" t="str">
        <f t="shared" si="19"/>
        <v>2019-08-24</v>
      </c>
      <c r="N190" t="str">
        <f>"ООО ЭЛЕМЕНТ ТРЕЙД"</f>
        <v>ООО ЭЛЕМЕНТ ТРЕЙД</v>
      </c>
      <c r="O190" t="str">
        <f>"454000"</f>
        <v>454000</v>
      </c>
      <c r="P190" t="str">
        <f t="shared" si="27"/>
        <v>ОБЛ ЧЕЛЯБИНСКАЯ</v>
      </c>
      <c r="Q190" t="str">
        <f>""</f>
        <v/>
      </c>
      <c r="R190" t="str">
        <f>"Г КОПЕЙСК"</f>
        <v>Г КОПЕЙСК</v>
      </c>
      <c r="S190" t="str">
        <f>""</f>
        <v/>
      </c>
      <c r="T190" t="str">
        <f>"УЛ ЖЕЛЕЗНОДОРОЖНАЯ"</f>
        <v>УЛ ЖЕЛЕЗНОДОРОЖНАЯ</v>
      </c>
      <c r="U190" s="1" t="str">
        <f>"2"</f>
        <v>2</v>
      </c>
      <c r="V190" s="1" t="str">
        <f>"А"</f>
        <v>А</v>
      </c>
      <c r="W190" s="1" t="str">
        <f>""</f>
        <v/>
      </c>
      <c r="X190" s="1" t="str">
        <f>""</f>
        <v/>
      </c>
      <c r="Y190" s="1" t="str">
        <f>"4"</f>
        <v>4</v>
      </c>
      <c r="Z190" t="str">
        <f>""</f>
        <v/>
      </c>
      <c r="AA190" t="str">
        <f>"3513971759"</f>
        <v>3513971759</v>
      </c>
      <c r="AB190" t="str">
        <f>"9507407839"</f>
        <v>9507407839</v>
      </c>
      <c r="AC190" t="str">
        <f>"9507461740"</f>
        <v>9507461740</v>
      </c>
      <c r="AD190" t="str">
        <f>"9507407839"</f>
        <v>9507407839</v>
      </c>
      <c r="AE190" t="str">
        <f>""</f>
        <v/>
      </c>
    </row>
    <row r="191" spans="1:31" x14ac:dyDescent="0.45">
      <c r="A191" t="str">
        <f>"ГОРИН ЭДУАРД ВЛАДИМИРОВИЧ"</f>
        <v>ГОРИН ЭДУАРД ВЛАДИМИРОВИЧ</v>
      </c>
      <c r="B191" t="str">
        <f>"1972-03-10"</f>
        <v>1972-03-10</v>
      </c>
      <c r="C191" t="str">
        <f>"09 14 464440"</f>
        <v>09 14 464440</v>
      </c>
      <c r="D191" t="str">
        <f>"4279011637067995"</f>
        <v>4279011637067995</v>
      </c>
      <c r="E191" t="str">
        <f t="shared" si="25"/>
        <v>2021-05-31</v>
      </c>
      <c r="F191" t="str">
        <f t="shared" si="24"/>
        <v>+</v>
      </c>
      <c r="G191" t="str">
        <f t="shared" si="23"/>
        <v>+</v>
      </c>
      <c r="H191" t="str">
        <f>"40817810616991419109"</f>
        <v>40817810616991419109</v>
      </c>
      <c r="I191" t="str">
        <f t="shared" si="26"/>
        <v>8597</v>
      </c>
      <c r="J191" t="str">
        <f>"0436"</f>
        <v>0436</v>
      </c>
      <c r="K191" t="str">
        <f>"390000.00"</f>
        <v>390000.00</v>
      </c>
      <c r="L191" t="str">
        <f>"454000 ОБЛ ЧЕЛЯБИНСКАЯ   Г ОЗЕРСК   УЛ ИРТЯШСКАЯ д. 7 кв. 124"</f>
        <v>454000 ОБЛ ЧЕЛЯБИНСКАЯ   Г ОЗЕРСК   УЛ ИРТЯШСКАЯ д. 7 кв. 124</v>
      </c>
      <c r="M191" t="str">
        <f t="shared" si="19"/>
        <v>2019-08-24</v>
      </c>
      <c r="N191" t="str">
        <f>"ИП ГОРИН Э.В."</f>
        <v>ИП ГОРИН Э.В.</v>
      </c>
      <c r="O191" t="str">
        <f>"454000"</f>
        <v>454000</v>
      </c>
      <c r="P191" t="str">
        <f t="shared" si="27"/>
        <v>ОБЛ ЧЕЛЯБИНСКАЯ</v>
      </c>
      <c r="Q191" t="str">
        <f>""</f>
        <v/>
      </c>
      <c r="R191" t="str">
        <f>"Г ОЗЕРСК"</f>
        <v>Г ОЗЕРСК</v>
      </c>
      <c r="S191" t="str">
        <f>""</f>
        <v/>
      </c>
      <c r="T191" t="str">
        <f>"УЛ ИРТЯШСКАЯ"</f>
        <v>УЛ ИРТЯШСКАЯ</v>
      </c>
      <c r="U191" s="1" t="str">
        <f>"7"</f>
        <v>7</v>
      </c>
      <c r="V191" s="1" t="str">
        <f>""</f>
        <v/>
      </c>
      <c r="W191" s="1" t="str">
        <f>""</f>
        <v/>
      </c>
      <c r="X191" s="1" t="str">
        <f>""</f>
        <v/>
      </c>
      <c r="Y191" s="1" t="str">
        <f>"124"</f>
        <v>124</v>
      </c>
      <c r="Z191" t="str">
        <f>"3513024452"</f>
        <v>3513024452</v>
      </c>
      <c r="AA191" t="str">
        <f>"3513024415"</f>
        <v>3513024415</v>
      </c>
      <c r="AB191" t="str">
        <f>"9222385114"</f>
        <v>9222385114</v>
      </c>
      <c r="AC191" t="str">
        <f>"3513024415"</f>
        <v>3513024415</v>
      </c>
      <c r="AD191" t="str">
        <f>"9222385114"</f>
        <v>9222385114</v>
      </c>
      <c r="AE191" t="str">
        <f>""</f>
        <v/>
      </c>
    </row>
    <row r="192" spans="1:31" x14ac:dyDescent="0.45">
      <c r="A192" t="str">
        <f>"РУМЯНЦЕВА ДИЛЯРА ЭЛЬДАРОВНА"</f>
        <v>РУМЯНЦЕВА ДИЛЯРА ЭЛЬДАРОВНА</v>
      </c>
      <c r="B192" t="str">
        <f>"1986-03-18"</f>
        <v>1986-03-18</v>
      </c>
      <c r="C192" t="str">
        <f>"75 15 665319"</f>
        <v>75 15 665319</v>
      </c>
      <c r="D192" t="str">
        <f>"4279011639707184"</f>
        <v>4279011639707184</v>
      </c>
      <c r="E192" t="str">
        <f t="shared" si="25"/>
        <v>2021-05-31</v>
      </c>
      <c r="F192" t="str">
        <f>"Q"</f>
        <v>Q</v>
      </c>
      <c r="G192" t="str">
        <f>"Q"</f>
        <v>Q</v>
      </c>
      <c r="H192" t="str">
        <f>"40817810316991419111"</f>
        <v>40817810316991419111</v>
      </c>
      <c r="I192" t="str">
        <f t="shared" si="26"/>
        <v>8597</v>
      </c>
      <c r="J192" t="str">
        <f>"0272"</f>
        <v>0272</v>
      </c>
      <c r="K192" t="str">
        <f>"0.00"</f>
        <v>0.00</v>
      </c>
      <c r="L192" t="str">
        <f>"454000 ОБЛ ЧЕЛЯБИНСКАЯ   Г ЧЕЛЯБИНСК   УЛ ЧОППА д. 6 стр. А"</f>
        <v>454000 ОБЛ ЧЕЛЯБИНСКАЯ   Г ЧЕЛЯБИНСК   УЛ ЧОППА д. 6 стр. А</v>
      </c>
      <c r="M192" t="str">
        <f t="shared" si="19"/>
        <v>2019-08-24</v>
      </c>
      <c r="N192" t="str">
        <f>"МБДОУ ДС 445"</f>
        <v>МБДОУ ДС 445</v>
      </c>
      <c r="O192" t="str">
        <f>"456895"</f>
        <v>456895</v>
      </c>
      <c r="P192" t="str">
        <f t="shared" si="27"/>
        <v>ОБЛ ЧЕЛЯБИНСКАЯ</v>
      </c>
      <c r="Q192" t="str">
        <f>"Р-Н АРГАЯШСКИЙ"</f>
        <v>Р-Н АРГАЯШСКИЙ</v>
      </c>
      <c r="R192" t="str">
        <f>""</f>
        <v/>
      </c>
      <c r="S192" t="str">
        <f>"Д АКБАШЕВА"</f>
        <v>Д АКБАШЕВА</v>
      </c>
      <c r="T192" t="str">
        <f>"УЛ РЕЧНАЯ"</f>
        <v>УЛ РЕЧНАЯ</v>
      </c>
      <c r="U192" s="1" t="str">
        <f>"19"</f>
        <v>19</v>
      </c>
      <c r="V192" s="1" t="str">
        <f>""</f>
        <v/>
      </c>
      <c r="W192" s="1" t="str">
        <f>"А"</f>
        <v>А</v>
      </c>
      <c r="X192" s="1" t="str">
        <f>""</f>
        <v/>
      </c>
      <c r="Y192" s="1" t="str">
        <f>""</f>
        <v/>
      </c>
      <c r="Z192" t="str">
        <f>"9630926242"</f>
        <v>9630926242</v>
      </c>
      <c r="AA192" t="str">
        <f>"9514813852"</f>
        <v>9514813852</v>
      </c>
      <c r="AB192" t="str">
        <f>"9514813852"</f>
        <v>9514813852</v>
      </c>
      <c r="AC192" t="str">
        <f>"9630926242"</f>
        <v>9630926242</v>
      </c>
      <c r="AD192" t="str">
        <f>"9514813852"</f>
        <v>9514813852</v>
      </c>
      <c r="AE192" t="str">
        <f>"9630926242"</f>
        <v>9630926242</v>
      </c>
    </row>
    <row r="193" spans="1:31" x14ac:dyDescent="0.45">
      <c r="A193" t="str">
        <f>"ХАБИБОВА ГУЗЕЛЬ ВИЛЕВНА"</f>
        <v>ХАБИБОВА ГУЗЕЛЬ ВИЛЕВНА</v>
      </c>
      <c r="B193" t="str">
        <f>"1977-03-07"</f>
        <v>1977-03-07</v>
      </c>
      <c r="C193" t="str">
        <f>"80 02 901486"</f>
        <v>80 02 901486</v>
      </c>
      <c r="D193" t="str">
        <f>"4279011624438704"</f>
        <v>4279011624438704</v>
      </c>
      <c r="E193" t="str">
        <f t="shared" si="25"/>
        <v>2021-05-31</v>
      </c>
      <c r="F193" t="str">
        <f>"+"</f>
        <v>+</v>
      </c>
      <c r="G193" t="str">
        <f>"+"</f>
        <v>+</v>
      </c>
      <c r="H193" t="str">
        <f>"40817810216991419114"</f>
        <v>40817810216991419114</v>
      </c>
      <c r="I193" t="str">
        <f>"8598"</f>
        <v>8598</v>
      </c>
      <c r="J193" t="str">
        <f>"0236"</f>
        <v>0236</v>
      </c>
      <c r="K193" t="str">
        <f>"60000.00"</f>
        <v>60000.00</v>
      </c>
      <c r="L193" t="str">
        <f>"450000 РЕСП БАШКОРТОСТАН   Г УФА   УЛ ЛЕНИНА д. 20"</f>
        <v>450000 РЕСП БАШКОРТОСТАН   Г УФА   УЛ ЛЕНИНА д. 20</v>
      </c>
      <c r="M193" t="str">
        <f t="shared" si="19"/>
        <v>2019-08-24</v>
      </c>
      <c r="N193" t="str">
        <f>"ИП ХАБИБОВ И З"</f>
        <v>ИП ХАБИБОВ И З</v>
      </c>
      <c r="O193" t="str">
        <f>"450000"</f>
        <v>450000</v>
      </c>
      <c r="P193" t="str">
        <f>"РЕСП БАШКОРТОСТАН"</f>
        <v>РЕСП БАШКОРТОСТАН</v>
      </c>
      <c r="Q193" t="str">
        <f>""</f>
        <v/>
      </c>
      <c r="R193" t="str">
        <f>"Г УФА"</f>
        <v>Г УФА</v>
      </c>
      <c r="S193" t="str">
        <f>""</f>
        <v/>
      </c>
      <c r="T193" t="str">
        <f>"УЛ РИХАРДА ЗОРГЕ"</f>
        <v>УЛ РИХАРДА ЗОРГЕ</v>
      </c>
      <c r="U193" s="1" t="str">
        <f>"68"</f>
        <v>68</v>
      </c>
      <c r="V193" s="1" t="str">
        <f>""</f>
        <v/>
      </c>
      <c r="W193" s="1" t="str">
        <f>""</f>
        <v/>
      </c>
      <c r="X193" s="1" t="str">
        <f>""</f>
        <v/>
      </c>
      <c r="Y193" s="1" t="str">
        <f>"26"</f>
        <v>26</v>
      </c>
      <c r="Z193" t="str">
        <f>""</f>
        <v/>
      </c>
      <c r="AA193" t="str">
        <f>"9177888111"</f>
        <v>9177888111</v>
      </c>
      <c r="AB193" t="str">
        <f>"9177888111"</f>
        <v>9177888111</v>
      </c>
      <c r="AC193" t="str">
        <f>"9177888111"</f>
        <v>9177888111</v>
      </c>
      <c r="AD193" t="str">
        <f>"9177888111"</f>
        <v>9177888111</v>
      </c>
      <c r="AE193" t="str">
        <f>""</f>
        <v/>
      </c>
    </row>
    <row r="194" spans="1:31" x14ac:dyDescent="0.45">
      <c r="A194" t="str">
        <f>"РЯБОВА НАТАЛЬЯ АНАТОЛЬЕВНА"</f>
        <v>РЯБОВА НАТАЛЬЯ АНАТОЛЬЕВНА</v>
      </c>
      <c r="B194" t="str">
        <f>"1986-09-14"</f>
        <v>1986-09-14</v>
      </c>
      <c r="C194" t="str">
        <f>"75 05 789403"</f>
        <v>75 05 789403</v>
      </c>
      <c r="D194" t="str">
        <f>"4279011642346384"</f>
        <v>4279011642346384</v>
      </c>
      <c r="E194" t="str">
        <f t="shared" si="25"/>
        <v>2021-05-31</v>
      </c>
      <c r="F194" t="str">
        <f>"Y"</f>
        <v>Y</v>
      </c>
      <c r="G194" t="str">
        <f>"Q"</f>
        <v>Q</v>
      </c>
      <c r="H194" t="str">
        <f>"40817810616991419112"</f>
        <v>40817810616991419112</v>
      </c>
      <c r="I194" t="str">
        <f>"8597"</f>
        <v>8597</v>
      </c>
      <c r="J194" t="str">
        <f>"0268"</f>
        <v>0268</v>
      </c>
      <c r="K194" t="str">
        <f t="shared" ref="K194:K196" si="28">"0.00"</f>
        <v>0.00</v>
      </c>
      <c r="L194" t="str">
        <f>"454000 ОБЛ ЧЕЛЯБИНСКАЯ   Г ЧЕЛЯБИНСК   УЛ ЭНТУЗИАСТОВ д. 26Б"</f>
        <v>454000 ОБЛ ЧЕЛЯБИНСКАЯ   Г ЧЕЛЯБИНСК   УЛ ЭНТУЗИАСТОВ д. 26Б</v>
      </c>
      <c r="M194" t="str">
        <f t="shared" ref="M194:M257" si="29">"2019-08-24"</f>
        <v>2019-08-24</v>
      </c>
      <c r="N194" t="str">
        <f>"ООО КОМПАС"</f>
        <v>ООО КОМПАС</v>
      </c>
      <c r="O194" t="str">
        <f>"454000"</f>
        <v>454000</v>
      </c>
      <c r="P194" t="str">
        <f>"ОБЛ ЧЕЛЯБИНСКАЯ"</f>
        <v>ОБЛ ЧЕЛЯБИНСКАЯ</v>
      </c>
      <c r="Q194" t="str">
        <f>""</f>
        <v/>
      </c>
      <c r="R194" t="str">
        <f>"Г ЧЕЛЯБИНСК"</f>
        <v>Г ЧЕЛЯБИНСК</v>
      </c>
      <c r="S194" t="str">
        <f>""</f>
        <v/>
      </c>
      <c r="T194" t="str">
        <f>"УЛ ПРОФЕССОРА БЛАГИХ"</f>
        <v>УЛ ПРОФЕССОРА БЛАГИХ</v>
      </c>
      <c r="U194" s="1" t="str">
        <f>"73"</f>
        <v>73</v>
      </c>
      <c r="V194" s="1" t="str">
        <f>""</f>
        <v/>
      </c>
      <c r="W194" s="1" t="str">
        <f>""</f>
        <v/>
      </c>
      <c r="X194" s="1" t="str">
        <f>""</f>
        <v/>
      </c>
      <c r="Y194" s="1" t="str">
        <f>"118"</f>
        <v>118</v>
      </c>
      <c r="Z194" t="str">
        <f>"9080407857"</f>
        <v>9080407857</v>
      </c>
      <c r="AA194" t="str">
        <f>"3517926485"</f>
        <v>3517926485</v>
      </c>
      <c r="AB194" t="str">
        <f>"9925014219"</f>
        <v>9925014219</v>
      </c>
      <c r="AC194" t="str">
        <f>"9049759871"</f>
        <v>9049759871</v>
      </c>
      <c r="AD194" t="str">
        <f>"9925014219"</f>
        <v>9925014219</v>
      </c>
      <c r="AE194" t="str">
        <f>""</f>
        <v/>
      </c>
    </row>
    <row r="195" spans="1:31" x14ac:dyDescent="0.45">
      <c r="A195" t="str">
        <f>"ХАЖИАХМЕТОВ ДМИТРИЙ ИЛЬДАРОВИЧ"</f>
        <v>ХАЖИАХМЕТОВ ДМИТРИЙ ИЛЬДАРОВИЧ</v>
      </c>
      <c r="B195" t="str">
        <f>"1994-08-07"</f>
        <v>1994-08-07</v>
      </c>
      <c r="C195" t="str">
        <f>"75 14 493168"</f>
        <v>75 14 493168</v>
      </c>
      <c r="D195" t="str">
        <f>"4279011606652777"</f>
        <v>4279011606652777</v>
      </c>
      <c r="E195" t="str">
        <f t="shared" si="25"/>
        <v>2021-05-31</v>
      </c>
      <c r="F195" t="str">
        <f>"Y"</f>
        <v>Y</v>
      </c>
      <c r="G195" t="str">
        <f>"Q"</f>
        <v>Q</v>
      </c>
      <c r="H195" t="str">
        <f>"40817810916991419113"</f>
        <v>40817810916991419113</v>
      </c>
      <c r="I195" t="str">
        <f>"8597"</f>
        <v>8597</v>
      </c>
      <c r="J195" t="str">
        <f>"0507"</f>
        <v>0507</v>
      </c>
      <c r="K195" t="str">
        <f t="shared" si="28"/>
        <v>0.00</v>
      </c>
      <c r="L195" t="str">
        <f>"456940 ОБЛ ЧЕЛЯБИНСКАЯ   Г КУСА   УЛ ЛЕНИНГРАДСКАЯ д. 15 корп. Б"</f>
        <v>456940 ОБЛ ЧЕЛЯБИНСКАЯ   Г КУСА   УЛ ЛЕНИНГРАДСКАЯ д. 15 корп. Б</v>
      </c>
      <c r="M195" t="str">
        <f t="shared" si="29"/>
        <v>2019-08-24</v>
      </c>
      <c r="N195" t="str">
        <f>"ОВО ПО Г КУСА"</f>
        <v>ОВО ПО Г КУСА</v>
      </c>
      <c r="O195" t="str">
        <f>"456940"</f>
        <v>456940</v>
      </c>
      <c r="P195" t="str">
        <f>"ОБЛ ЧЕЛЯБИНСКАЯ"</f>
        <v>ОБЛ ЧЕЛЯБИНСКАЯ</v>
      </c>
      <c r="Q195" t="str">
        <f>""</f>
        <v/>
      </c>
      <c r="R195" t="str">
        <f>"Г КУСА"</f>
        <v>Г КУСА</v>
      </c>
      <c r="S195" t="str">
        <f>""</f>
        <v/>
      </c>
      <c r="T195" t="str">
        <f>"УЛ А.Н.АКСЕНОВА"</f>
        <v>УЛ А.Н.АКСЕНОВА</v>
      </c>
      <c r="U195" s="1" t="str">
        <f>"4"</f>
        <v>4</v>
      </c>
      <c r="V195" s="1" t="str">
        <f>""</f>
        <v/>
      </c>
      <c r="W195" s="1" t="str">
        <f>""</f>
        <v/>
      </c>
      <c r="X195" s="1" t="str">
        <f>""</f>
        <v/>
      </c>
      <c r="Y195" s="1" t="str">
        <f>""</f>
        <v/>
      </c>
      <c r="Z195" t="str">
        <f>"3515434741"</f>
        <v>3515434741</v>
      </c>
      <c r="AA195" t="str">
        <f>"9191210580"</f>
        <v>9191210580</v>
      </c>
      <c r="AB195" t="str">
        <f>"9191210580"</f>
        <v>9191210580</v>
      </c>
      <c r="AC195" t="str">
        <f>"9191210580"</f>
        <v>9191210580</v>
      </c>
      <c r="AD195" t="str">
        <f>"9191210580"</f>
        <v>9191210580</v>
      </c>
      <c r="AE195" t="str">
        <f>""</f>
        <v/>
      </c>
    </row>
    <row r="196" spans="1:31" x14ac:dyDescent="0.45">
      <c r="A196" t="str">
        <f>"КАРИМОВ МАРАТ МУХТАРОВИЧ"</f>
        <v>КАРИМОВ МАРАТ МУХТАРОВИЧ</v>
      </c>
      <c r="B196" t="str">
        <f>"1983-06-08"</f>
        <v>1983-06-08</v>
      </c>
      <c r="C196" t="str">
        <f>"80 05 475142"</f>
        <v>80 05 475142</v>
      </c>
      <c r="D196" t="str">
        <f>"4279011678606685"</f>
        <v>4279011678606685</v>
      </c>
      <c r="E196" t="str">
        <f t="shared" si="25"/>
        <v>2021-05-31</v>
      </c>
      <c r="F196" t="str">
        <f>"Y"</f>
        <v>Y</v>
      </c>
      <c r="G196" t="str">
        <f>"Q"</f>
        <v>Q</v>
      </c>
      <c r="H196" t="str">
        <f>"40817810516991419115"</f>
        <v>40817810516991419115</v>
      </c>
      <c r="I196" t="str">
        <f>"8598"</f>
        <v>8598</v>
      </c>
      <c r="J196" t="str">
        <f>"0372"</f>
        <v>0372</v>
      </c>
      <c r="K196" t="str">
        <f t="shared" si="28"/>
        <v>0.00</v>
      </c>
      <c r="L196" t="str">
        <f>"450000 РЕСП БАШКОРТОСТАН   Г СТЕРЛИТАМАК   УЛ ЛЕНИНА д. 1"</f>
        <v>450000 РЕСП БАШКОРТОСТАН   Г СТЕРЛИТАМАК   УЛ ЛЕНИНА д. 1</v>
      </c>
      <c r="M196" t="str">
        <f t="shared" si="29"/>
        <v>2019-08-24</v>
      </c>
      <c r="N196" t="str">
        <f>"ПРЕДПРИНИМАТЕЛЬ"</f>
        <v>ПРЕДПРИНИМАТЕЛЬ</v>
      </c>
      <c r="O196" t="str">
        <f>"450000"</f>
        <v>450000</v>
      </c>
      <c r="P196" t="str">
        <f>"РЕСП БАШКОРТОСТАН"</f>
        <v>РЕСП БАШКОРТОСТАН</v>
      </c>
      <c r="Q196" t="str">
        <f>""</f>
        <v/>
      </c>
      <c r="R196" t="str">
        <f>"Г СТЕРЛИТАМАК"</f>
        <v>Г СТЕРЛИТАМАК</v>
      </c>
      <c r="S196" t="str">
        <f>""</f>
        <v/>
      </c>
      <c r="T196" t="str">
        <f>"УЛ ГОГОЛЯ"</f>
        <v>УЛ ГОГОЛЯ</v>
      </c>
      <c r="U196" s="1" t="str">
        <f>"96"</f>
        <v>96</v>
      </c>
      <c r="V196" s="1" t="str">
        <f>""</f>
        <v/>
      </c>
      <c r="W196" s="1" t="str">
        <f>""</f>
        <v/>
      </c>
      <c r="X196" s="1" t="str">
        <f>""</f>
        <v/>
      </c>
      <c r="Y196" s="1" t="str">
        <f>"48"</f>
        <v>48</v>
      </c>
      <c r="Z196" t="str">
        <f>""</f>
        <v/>
      </c>
      <c r="AA196" t="str">
        <f>"3473111111"</f>
        <v>3473111111</v>
      </c>
      <c r="AB196" t="str">
        <f>"9177970993"</f>
        <v>9177970993</v>
      </c>
      <c r="AC196" t="str">
        <f>"3473111111"</f>
        <v>3473111111</v>
      </c>
      <c r="AD196" t="str">
        <f>"9177970993"</f>
        <v>9177970993</v>
      </c>
      <c r="AE196" t="str">
        <f>""</f>
        <v/>
      </c>
    </row>
    <row r="197" spans="1:31" x14ac:dyDescent="0.45">
      <c r="A197" t="str">
        <f>"КРАЛИНА АНАСТАСИЯ ЛЕОНИДОВНА"</f>
        <v>КРАЛИНА АНАСТАСИЯ ЛЕОНИДОВНА</v>
      </c>
      <c r="B197" t="str">
        <f>"1983-07-11"</f>
        <v>1983-07-11</v>
      </c>
      <c r="C197" t="str">
        <f>"65 05 679790"</f>
        <v>65 05 679790</v>
      </c>
      <c r="D197" t="str">
        <f>"4279011673746676"</f>
        <v>4279011673746676</v>
      </c>
      <c r="E197" t="str">
        <f t="shared" si="25"/>
        <v>2021-05-31</v>
      </c>
      <c r="F197" t="str">
        <f>"+"</f>
        <v>+</v>
      </c>
      <c r="G197" t="str">
        <f>"+"</f>
        <v>+</v>
      </c>
      <c r="H197" t="str">
        <f>"40817810816991419116"</f>
        <v>40817810816991419116</v>
      </c>
      <c r="I197" t="str">
        <f>"7003"</f>
        <v>7003</v>
      </c>
      <c r="J197" t="str">
        <f>"0435"</f>
        <v>0435</v>
      </c>
      <c r="K197" t="str">
        <f>"16000.00"</f>
        <v>16000.00</v>
      </c>
      <c r="L197" t="str">
        <f>"620000 ОБЛ СВЕРДЛОВСКАЯ   Г ЕКАТЕРИНБУРГ   УЛ ТУРБИННАЯ д. 40"</f>
        <v>620000 ОБЛ СВЕРДЛОВСКАЯ   Г ЕКАТЕРИНБУРГ   УЛ ТУРБИННАЯ д. 40</v>
      </c>
      <c r="M197" t="str">
        <f t="shared" si="29"/>
        <v>2019-08-24</v>
      </c>
      <c r="N197" t="str">
        <f>"ООО СТОЛОВАЯ 24"</f>
        <v>ООО СТОЛОВАЯ 24</v>
      </c>
      <c r="O197" t="str">
        <f>"620000"</f>
        <v>620000</v>
      </c>
      <c r="P197" t="str">
        <f>"ОБЛ СВЕРДЛОВСКАЯ"</f>
        <v>ОБЛ СВЕРДЛОВСКАЯ</v>
      </c>
      <c r="Q197" t="str">
        <f>""</f>
        <v/>
      </c>
      <c r="R197" t="str">
        <f>"Г ЕКАТЕРИНБУРГ"</f>
        <v>Г ЕКАТЕРИНБУРГ</v>
      </c>
      <c r="S197" t="str">
        <f>""</f>
        <v/>
      </c>
      <c r="T197" t="str">
        <f>"УЛ КОНОТОПСКАЯ"</f>
        <v>УЛ КОНОТОПСКАЯ</v>
      </c>
      <c r="U197" s="1" t="str">
        <f>"5"</f>
        <v>5</v>
      </c>
      <c r="V197" s="1" t="str">
        <f>""</f>
        <v/>
      </c>
      <c r="W197" s="1" t="str">
        <f>""</f>
        <v/>
      </c>
      <c r="X197" s="1" t="str">
        <f>""</f>
        <v/>
      </c>
      <c r="Y197" s="1" t="str">
        <f>"101"</f>
        <v>101</v>
      </c>
      <c r="Z197" t="str">
        <f>""</f>
        <v/>
      </c>
      <c r="AA197" t="str">
        <f>"9506306159"</f>
        <v>9506306159</v>
      </c>
      <c r="AB197" t="str">
        <f>"9506306159"</f>
        <v>9506306159</v>
      </c>
      <c r="AC197" t="str">
        <f>"9506306159"</f>
        <v>9506306159</v>
      </c>
      <c r="AD197" t="str">
        <f>"9506306159"</f>
        <v>9506306159</v>
      </c>
      <c r="AE197" t="str">
        <f>""</f>
        <v/>
      </c>
    </row>
    <row r="198" spans="1:31" x14ac:dyDescent="0.45">
      <c r="A198" t="str">
        <f>"ГАЛЕЕВ ИЛЬЯС ВАЛЕРЬЕВИЧ"</f>
        <v>ГАЛЕЕВ ИЛЬЯС ВАЛЕРЬЕВИЧ</v>
      </c>
      <c r="B198" t="str">
        <f>"1983-03-07"</f>
        <v>1983-03-07</v>
      </c>
      <c r="C198" t="str">
        <f>"80 04 967081"</f>
        <v>80 04 967081</v>
      </c>
      <c r="D198" t="str">
        <f>"4279011617357879"</f>
        <v>4279011617357879</v>
      </c>
      <c r="E198" t="str">
        <f t="shared" si="25"/>
        <v>2021-05-31</v>
      </c>
      <c r="F198" t="str">
        <f>"Y"</f>
        <v>Y</v>
      </c>
      <c r="G198" t="str">
        <f>"Q"</f>
        <v>Q</v>
      </c>
      <c r="H198" t="str">
        <f>"40817810116991419117"</f>
        <v>40817810116991419117</v>
      </c>
      <c r="I198" t="str">
        <f>"8598"</f>
        <v>8598</v>
      </c>
      <c r="J198" t="str">
        <f>"0163"</f>
        <v>0163</v>
      </c>
      <c r="K198" t="str">
        <f>"0.00"</f>
        <v>0.00</v>
      </c>
      <c r="L198" t="str">
        <f>"450000 РЕСП БАШКОРТОСТАН   Г УФА   УЛ МАЛАЯ ГРАЖДАНСКАЯ д. 35 стр. А"</f>
        <v>450000 РЕСП БАШКОРТОСТАН   Г УФА   УЛ МАЛАЯ ГРАЖДАНСКАЯ д. 35 стр. А</v>
      </c>
      <c r="M198" t="str">
        <f t="shared" si="29"/>
        <v>2019-08-24</v>
      </c>
      <c r="N198" t="str">
        <f>"ИП ИСХАКОВ Ф.Н."</f>
        <v>ИП ИСХАКОВ Ф.Н.</v>
      </c>
      <c r="O198" t="str">
        <f>"450000"</f>
        <v>450000</v>
      </c>
      <c r="P198" t="str">
        <f>"РЕСП БАШКОРТОСТАН"</f>
        <v>РЕСП БАШКОРТОСТАН</v>
      </c>
      <c r="Q198" t="str">
        <f>"Р-Н УФИМСКИЙ"</f>
        <v>Р-Н УФИМСКИЙ</v>
      </c>
      <c r="R198" t="str">
        <f>""</f>
        <v/>
      </c>
      <c r="S198" t="str">
        <f>"С НИКОЛАЕВКА"</f>
        <v>С НИКОЛАЕВКА</v>
      </c>
      <c r="T198" t="str">
        <f>"УЛ СТРОИТЕЛЬНАЯ"</f>
        <v>УЛ СТРОИТЕЛЬНАЯ</v>
      </c>
      <c r="U198" s="1" t="str">
        <f>"2"</f>
        <v>2</v>
      </c>
      <c r="V198" s="1" t="str">
        <f>""</f>
        <v/>
      </c>
      <c r="W198" s="1" t="str">
        <f>""</f>
        <v/>
      </c>
      <c r="X198" s="1" t="str">
        <f>""</f>
        <v/>
      </c>
      <c r="Y198" s="1" t="str">
        <f>"1"</f>
        <v>1</v>
      </c>
      <c r="Z198" t="str">
        <f>""</f>
        <v/>
      </c>
      <c r="AA198" t="str">
        <f>"9174060175"</f>
        <v>9174060175</v>
      </c>
      <c r="AB198" t="str">
        <f>"9174060175"</f>
        <v>9174060175</v>
      </c>
      <c r="AC198" t="str">
        <f>"9174060175"</f>
        <v>9174060175</v>
      </c>
      <c r="AD198" t="str">
        <f>"9174060175"</f>
        <v>9174060175</v>
      </c>
      <c r="AE198" t="str">
        <f>""</f>
        <v/>
      </c>
    </row>
    <row r="199" spans="1:31" x14ac:dyDescent="0.45">
      <c r="A199" t="str">
        <f>"ГОРБУНОВА ЛЮБОВЬ НИКОЛАЕВНА"</f>
        <v>ГОРБУНОВА ЛЮБОВЬ НИКОЛАЕВНА</v>
      </c>
      <c r="B199" t="str">
        <f>"1986-03-23"</f>
        <v>1986-03-23</v>
      </c>
      <c r="C199" t="str">
        <f>"75 05 724148"</f>
        <v>75 05 724148</v>
      </c>
      <c r="D199" t="str">
        <f>"4279011689163478"</f>
        <v>4279011689163478</v>
      </c>
      <c r="E199" t="str">
        <f t="shared" si="25"/>
        <v>2021-05-31</v>
      </c>
      <c r="F199" t="str">
        <f>"+"</f>
        <v>+</v>
      </c>
      <c r="G199" t="str">
        <f>"+"</f>
        <v>+</v>
      </c>
      <c r="H199" t="str">
        <f>"40817810416991419118"</f>
        <v>40817810416991419118</v>
      </c>
      <c r="I199" t="str">
        <f>"8597"</f>
        <v>8597</v>
      </c>
      <c r="J199" t="str">
        <f>"0308"</f>
        <v>0308</v>
      </c>
      <c r="K199" t="str">
        <f>"110000.00"</f>
        <v>110000.00</v>
      </c>
      <c r="L199" t="str">
        <f>"454000 ОБЛ ЧЕЛЯБИНСКАЯ Р-Н КРАСНОАРМЕЙСКИЙ   С МИАССКОЕ УЛ САДОВАЯ д. 3"</f>
        <v>454000 ОБЛ ЧЕЛЯБИНСКАЯ Р-Н КРАСНОАРМЕЙСКИЙ   С МИАССКОЕ УЛ САДОВАЯ д. 3</v>
      </c>
      <c r="M199" t="str">
        <f t="shared" si="29"/>
        <v>2019-08-24</v>
      </c>
      <c r="N199" t="str">
        <f>"-"</f>
        <v>-</v>
      </c>
      <c r="O199" t="str">
        <f>"456680"</f>
        <v>456680</v>
      </c>
      <c r="P199" t="str">
        <f>"ОБЛ ЧЕЛЯБИНСКАЯ"</f>
        <v>ОБЛ ЧЕЛЯБИНСКАЯ</v>
      </c>
      <c r="Q199" t="str">
        <f>"Р-Н КРАСНОАРМЕЙСКИЙ"</f>
        <v>Р-Н КРАСНОАРМЕЙСКИЙ</v>
      </c>
      <c r="R199" t="str">
        <f>""</f>
        <v/>
      </c>
      <c r="S199" t="str">
        <f>"С ШУМОВО"</f>
        <v>С ШУМОВО</v>
      </c>
      <c r="T199" t="str">
        <f>"УЛ ПЕРВОМАЙСКАЯ"</f>
        <v>УЛ ПЕРВОМАЙСКАЯ</v>
      </c>
      <c r="U199" s="1" t="str">
        <f>"5"</f>
        <v>5</v>
      </c>
      <c r="V199" s="1" t="str">
        <f>""</f>
        <v/>
      </c>
      <c r="W199" s="1" t="str">
        <f>""</f>
        <v/>
      </c>
      <c r="X199" s="1" t="str">
        <f>""</f>
        <v/>
      </c>
      <c r="Y199" s="1" t="str">
        <f>"2"</f>
        <v>2</v>
      </c>
      <c r="Z199" t="str">
        <f>"+7 (904) 9451754"</f>
        <v>+7 (904) 9451754</v>
      </c>
      <c r="AA199" t="str">
        <f>"+7 (904) 9797165"</f>
        <v>+7 (904) 9797165</v>
      </c>
      <c r="AB199" t="str">
        <f>"+7 (904) 9797165"</f>
        <v>+7 (904) 9797165</v>
      </c>
      <c r="AC199" t="str">
        <f>"9049797165"</f>
        <v>9049797165</v>
      </c>
      <c r="AD199" t="str">
        <f>"9049797165"</f>
        <v>9049797165</v>
      </c>
      <c r="AE199" t="str">
        <f>"9049797165"</f>
        <v>9049797165</v>
      </c>
    </row>
    <row r="200" spans="1:31" x14ac:dyDescent="0.45">
      <c r="A200" t="str">
        <f>"КОНОВ НИКОЛАЙ БОРИСОВИЧ"</f>
        <v>КОНОВ НИКОЛАЙ БОРИСОВИЧ</v>
      </c>
      <c r="B200" t="str">
        <f>"1986-06-23"</f>
        <v>1986-06-23</v>
      </c>
      <c r="C200" t="str">
        <f>"80 05 462010"</f>
        <v>80 05 462010</v>
      </c>
      <c r="D200" t="str">
        <f>"4279011607219469"</f>
        <v>4279011607219469</v>
      </c>
      <c r="E200" t="str">
        <f t="shared" si="25"/>
        <v>2021-05-31</v>
      </c>
      <c r="F200" t="str">
        <f>"+"</f>
        <v>+</v>
      </c>
      <c r="G200" t="str">
        <f>"+"</f>
        <v>+</v>
      </c>
      <c r="H200" t="str">
        <f>"40817810716991419119"</f>
        <v>40817810716991419119</v>
      </c>
      <c r="I200" t="str">
        <f>"8598"</f>
        <v>8598</v>
      </c>
      <c r="J200" t="str">
        <f>"0169"</f>
        <v>0169</v>
      </c>
      <c r="K200" t="str">
        <f>"195000.00"</f>
        <v>195000.00</v>
      </c>
      <c r="L200" t="str">
        <f>"450000 РЕСП БАШКОРТОСТАН   Г УФА   УЛ СИПАЙЛОВСКАЯ д. 1"</f>
        <v>450000 РЕСП БАШКОРТОСТАН   Г УФА   УЛ СИПАЙЛОВСКАЯ д. 1</v>
      </c>
      <c r="M200" t="str">
        <f t="shared" si="29"/>
        <v>2019-08-24</v>
      </c>
      <c r="N200" t="str">
        <f>"ООО ЛЕН"</f>
        <v>ООО ЛЕН</v>
      </c>
      <c r="O200" t="str">
        <f>"450000"</f>
        <v>450000</v>
      </c>
      <c r="P200" t="str">
        <f>"РЕСП БАШКОРТОСТАН"</f>
        <v>РЕСП БАШКОРТОСТАН</v>
      </c>
      <c r="Q200" t="str">
        <f>""</f>
        <v/>
      </c>
      <c r="R200" t="str">
        <f>"Г УФА"</f>
        <v>Г УФА</v>
      </c>
      <c r="S200" t="str">
        <f>""</f>
        <v/>
      </c>
      <c r="T200" t="str">
        <f>"Б-Р ПЛЕХАНОВА"</f>
        <v>Б-Р ПЛЕХАНОВА</v>
      </c>
      <c r="U200" s="1" t="str">
        <f>"5"</f>
        <v>5</v>
      </c>
      <c r="V200" s="1" t="str">
        <f>""</f>
        <v/>
      </c>
      <c r="W200" s="1" t="str">
        <f>""</f>
        <v/>
      </c>
      <c r="X200" s="1" t="str">
        <f>""</f>
        <v/>
      </c>
      <c r="Y200" s="1" t="str">
        <f>"13"</f>
        <v>13</v>
      </c>
      <c r="Z200" t="str">
        <f>"8123806131"</f>
        <v>8123806131</v>
      </c>
      <c r="AA200" t="str">
        <f>"9874938588"</f>
        <v>9874938588</v>
      </c>
      <c r="AB200" t="str">
        <f>"9874938594"</f>
        <v>9874938594</v>
      </c>
      <c r="AC200" t="str">
        <f>"9874938588"</f>
        <v>9874938588</v>
      </c>
      <c r="AD200" t="str">
        <f>"9874938594"</f>
        <v>9874938594</v>
      </c>
      <c r="AE200" t="str">
        <f>""</f>
        <v/>
      </c>
    </row>
    <row r="201" spans="1:31" x14ac:dyDescent="0.45">
      <c r="A201" t="str">
        <f>"САЛАТОВА ЗАГИЛА ТУЛЕГЕНОВНА"</f>
        <v>САЛАТОВА ЗАГИЛА ТУЛЕГЕНОВНА</v>
      </c>
      <c r="B201" t="str">
        <f>"1963-01-23"</f>
        <v>1963-01-23</v>
      </c>
      <c r="C201" t="str">
        <f>"75 07 205243"</f>
        <v>75 07 205243</v>
      </c>
      <c r="D201" t="str">
        <f>"4279011613389355"</f>
        <v>4279011613389355</v>
      </c>
      <c r="E201" t="str">
        <f>"2021-06-30"</f>
        <v>2021-06-30</v>
      </c>
      <c r="F201" t="str">
        <f>"Q"</f>
        <v>Q</v>
      </c>
      <c r="G201" t="str">
        <f>"Q"</f>
        <v>Q</v>
      </c>
      <c r="H201" t="str">
        <f>"40817810416991443375"</f>
        <v>40817810416991443375</v>
      </c>
      <c r="I201" t="str">
        <f>"8597"</f>
        <v>8597</v>
      </c>
      <c r="J201" t="str">
        <f>"7770"</f>
        <v>7770</v>
      </c>
      <c r="K201" t="str">
        <f>"0.00"</f>
        <v>0.00</v>
      </c>
      <c r="L201" t="str">
        <f>"454000 ОБЛ ЧЕЛЯБИНСКАЯ   Г ЧЕЛЯБИНСК   УЛ КУЗНЕЦОВА д. 2А"</f>
        <v>454000 ОБЛ ЧЕЛЯБИНСКАЯ   Г ЧЕЛЯБИНСК   УЛ КУЗНЕЦОВА д. 2А</v>
      </c>
      <c r="M201" t="str">
        <f t="shared" si="29"/>
        <v>2019-08-24</v>
      </c>
      <c r="N201" t="str">
        <f>"ГБУЗ ЧОМИАЦ"</f>
        <v>ГБУЗ ЧОМИАЦ</v>
      </c>
      <c r="O201" t="str">
        <f>"454000"</f>
        <v>454000</v>
      </c>
      <c r="P201" t="str">
        <f>"ОБЛ ЧЕЛЯБИНСКАЯ"</f>
        <v>ОБЛ ЧЕЛЯБИНСКАЯ</v>
      </c>
      <c r="Q201" t="str">
        <f>""</f>
        <v/>
      </c>
      <c r="R201" t="str">
        <f>"Г ЧЕЛЯБИНСК"</f>
        <v>Г ЧЕЛЯБИНСК</v>
      </c>
      <c r="S201" t="str">
        <f>""</f>
        <v/>
      </c>
      <c r="T201" t="str">
        <f>"УЛ АРТИЛЛЕРИЙСКАЯ"</f>
        <v>УЛ АРТИЛЛЕРИЙСКАЯ</v>
      </c>
      <c r="U201" s="1" t="str">
        <f>"10"</f>
        <v>10</v>
      </c>
      <c r="V201" s="1" t="str">
        <f>""</f>
        <v/>
      </c>
      <c r="W201" s="1" t="str">
        <f>""</f>
        <v/>
      </c>
      <c r="X201" s="1" t="str">
        <f>""</f>
        <v/>
      </c>
      <c r="Y201" s="1" t="str">
        <f>"12"</f>
        <v>12</v>
      </c>
      <c r="Z201" t="str">
        <f>"3512401212"</f>
        <v>3512401212</v>
      </c>
      <c r="AA201" t="str">
        <f>"0000000000"</f>
        <v>0000000000</v>
      </c>
      <c r="AB201" t="str">
        <f>"9507272185"</f>
        <v>9507272185</v>
      </c>
      <c r="AC201" t="str">
        <f>"0000000000"</f>
        <v>0000000000</v>
      </c>
      <c r="AD201" t="str">
        <f>"9507272185"</f>
        <v>9507272185</v>
      </c>
      <c r="AE201" t="str">
        <f>"3512401212"</f>
        <v>3512401212</v>
      </c>
    </row>
    <row r="202" spans="1:31" x14ac:dyDescent="0.45">
      <c r="A202" t="str">
        <f>"ПЕТРОВ ВЛАДИМИР АЛЕКСАНДРОВИЧ"</f>
        <v>ПЕТРОВ ВЛАДИМИР АЛЕКСАНДРОВИЧ</v>
      </c>
      <c r="B202" t="str">
        <f>"1964-01-06"</f>
        <v>1964-01-06</v>
      </c>
      <c r="C202" t="str">
        <f>"71 08 663032"</f>
        <v>71 08 663032</v>
      </c>
      <c r="D202" t="str">
        <f>"4854630062520427"</f>
        <v>4854630062520427</v>
      </c>
      <c r="E202" t="str">
        <f>"2020-11-30"</f>
        <v>2020-11-30</v>
      </c>
      <c r="F202" t="str">
        <f t="shared" ref="F202:G205" si="30">"+"</f>
        <v>+</v>
      </c>
      <c r="G202" t="str">
        <f t="shared" si="30"/>
        <v>+</v>
      </c>
      <c r="H202" t="str">
        <f>"40817810816992134801"</f>
        <v>40817810816992134801</v>
      </c>
      <c r="I202" t="str">
        <f>"8647"</f>
        <v>8647</v>
      </c>
      <c r="J202" t="str">
        <f>"0240"</f>
        <v>0240</v>
      </c>
      <c r="K202" t="str">
        <f>"50000.00"</f>
        <v>50000.00</v>
      </c>
      <c r="L202" t="str">
        <f>"627000 ОБЛ ТЮМЕНСКАЯ   Г НИЖНЕВАРТОВСК   УЛ КИРОВА д. 1"</f>
        <v>627000 ОБЛ ТЮМЕНСКАЯ   Г НИЖНЕВАРТОВСК   УЛ КИРОВА д. 1</v>
      </c>
      <c r="M202" t="str">
        <f t="shared" si="29"/>
        <v>2019-08-24</v>
      </c>
      <c r="N202" t="str">
        <f>"ООО КОММУНАЛЬНИК"</f>
        <v>ООО КОММУНАЛЬНИК</v>
      </c>
      <c r="O202" t="str">
        <f>"627010"</f>
        <v>627010</v>
      </c>
      <c r="P202" t="str">
        <f>"ОБЛ ТЮМЕНСКАЯ"</f>
        <v>ОБЛ ТЮМЕНСКАЯ</v>
      </c>
      <c r="Q202" t="str">
        <f>"Р-Н ЯЛУТОРОВСКИЙ"</f>
        <v>Р-Н ЯЛУТОРОВСКИЙ</v>
      </c>
      <c r="R202" t="str">
        <f>""</f>
        <v/>
      </c>
      <c r="S202" t="str">
        <f>"С АСЛАНА"</f>
        <v>С АСЛАНА</v>
      </c>
      <c r="T202" t="str">
        <f>"УЛ КИРОВА"</f>
        <v>УЛ КИРОВА</v>
      </c>
      <c r="U202" s="1" t="str">
        <f>"58"</f>
        <v>58</v>
      </c>
      <c r="V202" s="1" t="str">
        <f>""</f>
        <v/>
      </c>
      <c r="W202" s="1" t="str">
        <f>""</f>
        <v/>
      </c>
      <c r="X202" s="1" t="str">
        <f>""</f>
        <v/>
      </c>
      <c r="Y202" s="1" t="str">
        <f>""</f>
        <v/>
      </c>
      <c r="Z202" t="str">
        <f>""</f>
        <v/>
      </c>
      <c r="AA202" t="str">
        <f>"9129959478"</f>
        <v>9129959478</v>
      </c>
      <c r="AB202" t="str">
        <f>"9129959478"</f>
        <v>9129959478</v>
      </c>
      <c r="AC202" t="str">
        <f>"9123994356"</f>
        <v>9123994356</v>
      </c>
      <c r="AD202" t="str">
        <f>"9129959478"</f>
        <v>9129959478</v>
      </c>
      <c r="AE202" t="str">
        <f>""</f>
        <v/>
      </c>
    </row>
    <row r="203" spans="1:31" x14ac:dyDescent="0.45">
      <c r="A203" t="str">
        <f>"БЕЛЬКОВА НАТАЛЬЯ ИВАНОВНА"</f>
        <v>БЕЛЬКОВА НАТАЛЬЯ ИВАНОВНА</v>
      </c>
      <c r="B203" t="str">
        <f>"1974-09-26"</f>
        <v>1974-09-26</v>
      </c>
      <c r="C203" t="str">
        <f>"75 09 502843"</f>
        <v>75 09 502843</v>
      </c>
      <c r="D203" t="str">
        <f>"4279016748192301"</f>
        <v>4279016748192301</v>
      </c>
      <c r="E203" t="str">
        <f t="shared" ref="E203:E220" si="31">"2021-05-31"</f>
        <v>2021-05-31</v>
      </c>
      <c r="F203" t="str">
        <f t="shared" si="30"/>
        <v>+</v>
      </c>
      <c r="G203" t="str">
        <f t="shared" si="30"/>
        <v>+</v>
      </c>
      <c r="H203" t="str">
        <f>"40817810316992065551"</f>
        <v>40817810316992065551</v>
      </c>
      <c r="I203" t="str">
        <f>"5940"</f>
        <v>5940</v>
      </c>
      <c r="J203" t="str">
        <f>"0057"</f>
        <v>0057</v>
      </c>
      <c r="K203" t="str">
        <f>"195000.00"</f>
        <v>195000.00</v>
      </c>
      <c r="L203" t="str">
        <f>"628400 ОБЛ ТЮМЕНСКАЯ   Г СУРГУТ   УЛ СОСНОВАЯ д. 27"</f>
        <v>628400 ОБЛ ТЮМЕНСКАЯ   Г СУРГУТ   УЛ СОСНОВАЯ д. 27</v>
      </c>
      <c r="M203" t="str">
        <f t="shared" si="29"/>
        <v>2019-08-24</v>
      </c>
      <c r="N203" t="str">
        <f>"АО ЗАВОД ПРОМСТРОЙ ДЕТАЛИ"</f>
        <v>АО ЗАВОД ПРОМСТРОЙ ДЕТАЛИ</v>
      </c>
      <c r="O203" t="str">
        <f>"628400"</f>
        <v>628400</v>
      </c>
      <c r="P203" t="str">
        <f>"ОБЛ ТЮМЕНСКАЯ"</f>
        <v>ОБЛ ТЮМЕНСКАЯ</v>
      </c>
      <c r="Q203" t="str">
        <f>""</f>
        <v/>
      </c>
      <c r="R203" t="str">
        <f>"Г СУРГУТ"</f>
        <v>Г СУРГУТ</v>
      </c>
      <c r="S203" t="str">
        <f>""</f>
        <v/>
      </c>
      <c r="T203" t="str">
        <f>"УЛ ПРОФСОЮЗОВ"</f>
        <v>УЛ ПРОФСОЮЗОВ</v>
      </c>
      <c r="U203" s="1" t="str">
        <f>"18/2"</f>
        <v>18/2</v>
      </c>
      <c r="V203" s="1" t="str">
        <f>""</f>
        <v/>
      </c>
      <c r="W203" s="1" t="str">
        <f>""</f>
        <v/>
      </c>
      <c r="X203" s="1" t="str">
        <f>""</f>
        <v/>
      </c>
      <c r="Y203" s="1" t="str">
        <f>"6"</f>
        <v>6</v>
      </c>
      <c r="Z203" t="str">
        <f>""</f>
        <v/>
      </c>
      <c r="AA203" t="str">
        <f>"9292463946"</f>
        <v>9292463946</v>
      </c>
      <c r="AB203" t="str">
        <f>"9292463936"</f>
        <v>9292463936</v>
      </c>
      <c r="AC203" t="str">
        <f>"9292463946"</f>
        <v>9292463946</v>
      </c>
      <c r="AD203" t="str">
        <f>"9292463936"</f>
        <v>9292463936</v>
      </c>
      <c r="AE203" t="str">
        <f>""</f>
        <v/>
      </c>
    </row>
    <row r="204" spans="1:31" x14ac:dyDescent="0.45">
      <c r="A204" t="str">
        <f>"ЯДНЕ ЕЛЕНА СЮТИВНА"</f>
        <v>ЯДНЕ ЕЛЕНА СЮТИВНА</v>
      </c>
      <c r="B204" t="str">
        <f>"1988-03-30"</f>
        <v>1988-03-30</v>
      </c>
      <c r="C204" t="str">
        <f>"74 08 651376"</f>
        <v>74 08 651376</v>
      </c>
      <c r="D204" t="str">
        <f>"4279016714928704"</f>
        <v>4279016714928704</v>
      </c>
      <c r="E204" t="str">
        <f t="shared" si="31"/>
        <v>2021-05-31</v>
      </c>
      <c r="F204" t="str">
        <f t="shared" si="30"/>
        <v>+</v>
      </c>
      <c r="G204" t="str">
        <f t="shared" si="30"/>
        <v>+</v>
      </c>
      <c r="H204" t="str">
        <f>"40817810616992065523"</f>
        <v>40817810616992065523</v>
      </c>
      <c r="I204" t="str">
        <f>"8369"</f>
        <v>8369</v>
      </c>
      <c r="J204" t="str">
        <f>"0016"</f>
        <v>0016</v>
      </c>
      <c r="K204" t="str">
        <f>"25000.00"</f>
        <v>25000.00</v>
      </c>
      <c r="L204" t="str">
        <f>"353950 ОБЛ ТЮМЕНСКАЯ     П ТАЗОВСКИЙ УЛ СПОРТИВНАЯ д. 5"</f>
        <v>353950 ОБЛ ТЮМЕНСКАЯ     П ТАЗОВСКИЙ УЛ СПОРТИВНАЯ д. 5</v>
      </c>
      <c r="M204" t="str">
        <f t="shared" si="29"/>
        <v>2019-08-24</v>
      </c>
      <c r="N204" t="str">
        <f>"МКДОУ ДС ОЛЕНЕНОК"</f>
        <v>МКДОУ ДС ОЛЕНЕНОК</v>
      </c>
      <c r="O204" t="str">
        <f>"629360"</f>
        <v>629360</v>
      </c>
      <c r="P204" t="str">
        <f>"ОБЛ ТЮМЕНСКАЯ"</f>
        <v>ОБЛ ТЮМЕНСКАЯ</v>
      </c>
      <c r="Q204" t="str">
        <f>""</f>
        <v/>
      </c>
      <c r="R204" t="str">
        <f>""</f>
        <v/>
      </c>
      <c r="S204" t="str">
        <f>"С НАХОДКА"</f>
        <v>С НАХОДКА</v>
      </c>
      <c r="T204" t="str">
        <f>"УЛ ПОДГОРНАЯ"</f>
        <v>УЛ ПОДГОРНАЯ</v>
      </c>
      <c r="U204" s="1" t="str">
        <f>"2"</f>
        <v>2</v>
      </c>
      <c r="V204" s="1" t="str">
        <f>""</f>
        <v/>
      </c>
      <c r="W204" s="1" t="str">
        <f>""</f>
        <v/>
      </c>
      <c r="X204" s="1" t="str">
        <f>""</f>
        <v/>
      </c>
      <c r="Y204" s="1" t="str">
        <f>""</f>
        <v/>
      </c>
      <c r="Z204" t="str">
        <f>""</f>
        <v/>
      </c>
      <c r="AA204" t="str">
        <f>"9044535357"</f>
        <v>9044535357</v>
      </c>
      <c r="AB204" t="str">
        <f>"9824073248"</f>
        <v>9824073248</v>
      </c>
      <c r="AC204" t="str">
        <f>"9044535357"</f>
        <v>9044535357</v>
      </c>
      <c r="AD204" t="str">
        <f>"9824073813"</f>
        <v>9824073813</v>
      </c>
      <c r="AE204" t="str">
        <f>""</f>
        <v/>
      </c>
    </row>
    <row r="205" spans="1:31" x14ac:dyDescent="0.45">
      <c r="A205" t="str">
        <f>"БЕГЕШЕВА ЕКАТЕРИНА ВИКТОРОВНА"</f>
        <v>БЕГЕШЕВА ЕКАТЕРИНА ВИКТОРОВНА</v>
      </c>
      <c r="B205" t="str">
        <f>"1973-08-29"</f>
        <v>1973-08-29</v>
      </c>
      <c r="C205" t="str">
        <f>"71 17 340845"</f>
        <v>71 17 340845</v>
      </c>
      <c r="D205" t="str">
        <f>"4279016732984705"</f>
        <v>4279016732984705</v>
      </c>
      <c r="E205" t="str">
        <f t="shared" si="31"/>
        <v>2021-05-31</v>
      </c>
      <c r="F205" t="str">
        <f t="shared" si="30"/>
        <v>+</v>
      </c>
      <c r="G205" t="str">
        <f t="shared" si="30"/>
        <v>+</v>
      </c>
      <c r="H205" t="str">
        <f>"40817810716992065627"</f>
        <v>40817810716992065627</v>
      </c>
      <c r="I205" t="str">
        <f>"8647"</f>
        <v>8647</v>
      </c>
      <c r="J205" t="str">
        <f>"0199"</f>
        <v>0199</v>
      </c>
      <c r="K205" t="str">
        <f>"14000.00"</f>
        <v>14000.00</v>
      </c>
      <c r="L205" t="str">
        <f>"627500 ОБЛ ТЮМЕНСКАЯ Р-Н СОРОКИНСКИЙ   С БОЛЬШОЕ СОРОКИНО УЛ КАРБЫШЕВА д. 1В"</f>
        <v>627500 ОБЛ ТЮМЕНСКАЯ Р-Н СОРОКИНСКИЙ   С БОЛЬШОЕ СОРОКИНО УЛ КАРБЫШЕВА д. 1В</v>
      </c>
      <c r="M205" t="str">
        <f t="shared" si="29"/>
        <v>2019-08-24</v>
      </c>
      <c r="N205" t="str">
        <f>"ПЕНСИОНЕР"</f>
        <v>ПЕНСИОНЕР</v>
      </c>
      <c r="O205" t="str">
        <f>"627511"</f>
        <v>627511</v>
      </c>
      <c r="P205" t="str">
        <f>"ОБЛ ТЮМЕНСКАЯ"</f>
        <v>ОБЛ ТЮМЕНСКАЯ</v>
      </c>
      <c r="Q205" t="str">
        <f>"Р-Н СОРОКИНСКИЙ"</f>
        <v>Р-Н СОРОКИНСКИЙ</v>
      </c>
      <c r="R205" t="str">
        <f>""</f>
        <v/>
      </c>
      <c r="S205" t="str">
        <f>"С АЛЕКСАНДРОВКА"</f>
        <v>С АЛЕКСАНДРОВКА</v>
      </c>
      <c r="T205" t="str">
        <f>"УЛ МОЛОДЕЖНАЯ"</f>
        <v>УЛ МОЛОДЕЖНАЯ</v>
      </c>
      <c r="U205" s="1" t="str">
        <f>"3"</f>
        <v>3</v>
      </c>
      <c r="V205" s="1" t="str">
        <f>""</f>
        <v/>
      </c>
      <c r="W205" s="1" t="str">
        <f>""</f>
        <v/>
      </c>
      <c r="X205" s="1" t="str">
        <f>""</f>
        <v/>
      </c>
      <c r="Y205" s="1" t="str">
        <f>"1"</f>
        <v>1</v>
      </c>
      <c r="Z205" t="str">
        <f>""</f>
        <v/>
      </c>
      <c r="AA205" t="str">
        <f>"9963202919"</f>
        <v>9963202919</v>
      </c>
      <c r="AB205" t="str">
        <f>"9088709743"</f>
        <v>9088709743</v>
      </c>
      <c r="AC205" t="str">
        <f>"9963202919"</f>
        <v>9963202919</v>
      </c>
      <c r="AD205" t="str">
        <f>"9088709743"</f>
        <v>9088709743</v>
      </c>
      <c r="AE205" t="str">
        <f>""</f>
        <v/>
      </c>
    </row>
    <row r="206" spans="1:31" x14ac:dyDescent="0.45">
      <c r="A206" t="str">
        <f>"ЛИХАЧЁВА ЕКАТЕРИНА ВЛАДИМИРОВНА"</f>
        <v>ЛИХАЧЁВА ЕКАТЕРИНА ВЛАДИМИРОВНА</v>
      </c>
      <c r="B206" t="str">
        <f>"1981-08-02"</f>
        <v>1981-08-02</v>
      </c>
      <c r="C206" t="str">
        <f>"75 18 068029"</f>
        <v>75 18 068029</v>
      </c>
      <c r="D206" t="str">
        <f>"4279011650830667"</f>
        <v>4279011650830667</v>
      </c>
      <c r="E206" t="str">
        <f t="shared" si="31"/>
        <v>2021-05-31</v>
      </c>
      <c r="F206" t="str">
        <f>"J"</f>
        <v>J</v>
      </c>
      <c r="G206" t="str">
        <f>"Q"</f>
        <v>Q</v>
      </c>
      <c r="H206" t="str">
        <f>"40817810116991419120"</f>
        <v>40817810116991419120</v>
      </c>
      <c r="I206" t="str">
        <f>"8597"</f>
        <v>8597</v>
      </c>
      <c r="J206" t="str">
        <f>"0280"</f>
        <v>0280</v>
      </c>
      <c r="K206" t="str">
        <f>"0.00"</f>
        <v>0.00</v>
      </c>
      <c r="L206" t="str">
        <f>"454000 ОБЛ ЧЕЛЯБИНСКАЯ   Г ЧЕЛЯБИНСК   УЛ ПОГРАНИЧНАЯ д. 1"</f>
        <v>454000 ОБЛ ЧЕЛЯБИНСКАЯ   Г ЧЕЛЯБИНСК   УЛ ПОГРАНИЧНАЯ д. 1</v>
      </c>
      <c r="M206" t="str">
        <f t="shared" si="29"/>
        <v>2019-08-24</v>
      </c>
      <c r="N206" t="str">
        <f>"72008703"</f>
        <v>72008703</v>
      </c>
      <c r="O206" t="str">
        <f>"454000"</f>
        <v>454000</v>
      </c>
      <c r="P206" t="str">
        <f>"ОБЛ ЧЕЛЯБИНСКАЯ"</f>
        <v>ОБЛ ЧЕЛЯБИНСКАЯ</v>
      </c>
      <c r="Q206" t="str">
        <f>""</f>
        <v/>
      </c>
      <c r="R206" t="str">
        <f>"Г .ЧЕЛЯБИНСК"</f>
        <v>Г .ЧЕЛЯБИНСК</v>
      </c>
      <c r="S206" t="str">
        <f>""</f>
        <v/>
      </c>
      <c r="T206" t="str">
        <f>"УЛ .ЮЖНЫЙ БУЛЬВАР"</f>
        <v>УЛ .ЮЖНЫЙ БУЛЬВАР</v>
      </c>
      <c r="U206" s="1" t="str">
        <f>"5"</f>
        <v>5</v>
      </c>
      <c r="V206" s="1" t="str">
        <f>""</f>
        <v/>
      </c>
      <c r="W206" s="1" t="str">
        <f>""</f>
        <v/>
      </c>
      <c r="X206" s="1" t="str">
        <f>""</f>
        <v/>
      </c>
      <c r="Y206" s="1" t="str">
        <f>"35"</f>
        <v>35</v>
      </c>
      <c r="Z206" t="str">
        <f>"+7 (351) 2563775"</f>
        <v>+7 (351) 2563775</v>
      </c>
      <c r="AA206" t="str">
        <f>"+7 (351) 2521358"</f>
        <v>+7 (351) 2521358</v>
      </c>
      <c r="AB206" t="str">
        <f>"9514828352"</f>
        <v>9514828352</v>
      </c>
      <c r="AC206" t="str">
        <f>"9068697129"</f>
        <v>9068697129</v>
      </c>
      <c r="AD206" t="str">
        <f>"9514828352"</f>
        <v>9514828352</v>
      </c>
      <c r="AE206" t="str">
        <f>""</f>
        <v/>
      </c>
    </row>
    <row r="207" spans="1:31" x14ac:dyDescent="0.45">
      <c r="A207" t="str">
        <f>"САВИНОВ ВАДИМ АНАТОЛЬЕВИЧ"</f>
        <v>САВИНОВ ВАДИМ АНАТОЛЬЕВИЧ</v>
      </c>
      <c r="B207" t="str">
        <f>"1976-08-04"</f>
        <v>1976-08-04</v>
      </c>
      <c r="C207" t="str">
        <f>"75 99 175112"</f>
        <v>75 99 175112</v>
      </c>
      <c r="D207" t="str">
        <f>"4279011697081050"</f>
        <v>4279011697081050</v>
      </c>
      <c r="E207" t="str">
        <f t="shared" si="31"/>
        <v>2021-05-31</v>
      </c>
      <c r="F207" t="str">
        <f t="shared" ref="F207:G215" si="32">"+"</f>
        <v>+</v>
      </c>
      <c r="G207" t="str">
        <f t="shared" si="32"/>
        <v>+</v>
      </c>
      <c r="H207" t="str">
        <f>"40817810416991419121"</f>
        <v>40817810416991419121</v>
      </c>
      <c r="I207" t="str">
        <f>"8597"</f>
        <v>8597</v>
      </c>
      <c r="J207" t="str">
        <f>"0437"</f>
        <v>0437</v>
      </c>
      <c r="K207" t="str">
        <f>"300000.00"</f>
        <v>300000.00</v>
      </c>
      <c r="L207" t="str">
        <f>"454000 ОБЛ ЧЕЛЯБИНСКАЯ   Г ОЗЕРСК   УЛ ЛЕНИНА д. 29"</f>
        <v>454000 ОБЛ ЧЕЛЯБИНСКАЯ   Г ОЗЕРСК   УЛ ЛЕНИНА д. 29</v>
      </c>
      <c r="M207" t="str">
        <f t="shared" si="29"/>
        <v>2019-08-24</v>
      </c>
      <c r="N207" t="str">
        <f>"ФГУП ПО МАЯК"</f>
        <v>ФГУП ПО МАЯК</v>
      </c>
      <c r="O207" t="str">
        <f>"454000"</f>
        <v>454000</v>
      </c>
      <c r="P207" t="str">
        <f>"ОБЛ ЧЕЛЯБИНСКАЯ"</f>
        <v>ОБЛ ЧЕЛЯБИНСКАЯ</v>
      </c>
      <c r="Q207" t="str">
        <f>""</f>
        <v/>
      </c>
      <c r="R207" t="str">
        <f>"Г ОЗЕРСК"</f>
        <v>Г ОЗЕРСК</v>
      </c>
      <c r="S207" t="str">
        <f>""</f>
        <v/>
      </c>
      <c r="T207" t="str">
        <f>"УЛ СВЕРДЛОВА"</f>
        <v>УЛ СВЕРДЛОВА</v>
      </c>
      <c r="U207" s="1" t="str">
        <f>"48"</f>
        <v>48</v>
      </c>
      <c r="V207" s="1" t="str">
        <f>""</f>
        <v/>
      </c>
      <c r="W207" s="1" t="str">
        <f>""</f>
        <v/>
      </c>
      <c r="X207" s="1" t="str">
        <f>""</f>
        <v/>
      </c>
      <c r="Y207" s="1" t="str">
        <f>"21"</f>
        <v>21</v>
      </c>
      <c r="Z207" t="str">
        <f>"3513038337"</f>
        <v>3513038337</v>
      </c>
      <c r="AA207" t="str">
        <f>"3513079377"</f>
        <v>3513079377</v>
      </c>
      <c r="AB207" t="str">
        <f>"9226319453"</f>
        <v>9226319453</v>
      </c>
      <c r="AC207" t="str">
        <f>"3513098516"</f>
        <v>3513098516</v>
      </c>
      <c r="AD207" t="str">
        <f>"9226319453"</f>
        <v>9226319453</v>
      </c>
      <c r="AE207" t="str">
        <f>""</f>
        <v/>
      </c>
    </row>
    <row r="208" spans="1:31" x14ac:dyDescent="0.45">
      <c r="A208" t="str">
        <f>"МИНЯЕВА ИРИНА СЕРГЕЕВНА"</f>
        <v>МИНЯЕВА ИРИНА СЕРГЕЕВНА</v>
      </c>
      <c r="B208" t="str">
        <f>"1978-03-09"</f>
        <v>1978-03-09</v>
      </c>
      <c r="C208" t="str">
        <f>"75 12 105894"</f>
        <v>75 12 105894</v>
      </c>
      <c r="D208" t="str">
        <f>"4279011661387442"</f>
        <v>4279011661387442</v>
      </c>
      <c r="E208" t="str">
        <f t="shared" si="31"/>
        <v>2021-05-31</v>
      </c>
      <c r="F208" t="str">
        <f t="shared" si="32"/>
        <v>+</v>
      </c>
      <c r="G208" t="str">
        <f t="shared" si="32"/>
        <v>+</v>
      </c>
      <c r="H208" t="str">
        <f>"40817810716991419122"</f>
        <v>40817810716991419122</v>
      </c>
      <c r="I208" t="str">
        <f>"8597"</f>
        <v>8597</v>
      </c>
      <c r="J208" t="str">
        <f>"0284"</f>
        <v>0284</v>
      </c>
      <c r="K208" t="str">
        <f>"180000.00"</f>
        <v>180000.00</v>
      </c>
      <c r="L208" t="str">
        <f>"454014 ОБЛ ЧЕЛЯБИНСКАЯ Р-Н КУРЧАТОВСКИМЙ Г ЧЕЛЯБИНСК НП ЧЕЛЯБИНСК УЛ МОЛОДОГВАРДЕЙЦЕВ д. 18"</f>
        <v>454014 ОБЛ ЧЕЛЯБИНСКАЯ Р-Н КУРЧАТОВСКИМЙ Г ЧЕЛЯБИНСК НП ЧЕЛЯБИНСК УЛ МОЛОДОГВАРДЕЙЦЕВ д. 18</v>
      </c>
      <c r="M208" t="str">
        <f t="shared" si="29"/>
        <v>2019-08-24</v>
      </c>
      <c r="N208" t="str">
        <f>"МАОУ ЛИЦЕЙ №35 Г.ЧЕЛЯБИНСКА"</f>
        <v>МАОУ ЛИЦЕЙ №35 Г.ЧЕЛЯБИНСКА</v>
      </c>
      <c r="O208" t="str">
        <f>"454000"</f>
        <v>454000</v>
      </c>
      <c r="P208" t="str">
        <f>"ОБЛ ЧЕЛЯБИНСКАЯ"</f>
        <v>ОБЛ ЧЕЛЯБИНСКАЯ</v>
      </c>
      <c r="Q208" t="str">
        <f>"Р-Н КАЛИНИНСКИЙ"</f>
        <v>Р-Н КАЛИНИНСКИЙ</v>
      </c>
      <c r="R208" t="str">
        <f>"Г ЧЕЛЯБИНСК"</f>
        <v>Г ЧЕЛЯБИНСК</v>
      </c>
      <c r="S208" t="str">
        <f>""</f>
        <v/>
      </c>
      <c r="T208" t="str">
        <f>"УЛ БРАТЬЕВ КАШИРИНЫХ"</f>
        <v>УЛ БРАТЬЕВ КАШИРИНЫХ</v>
      </c>
      <c r="U208" s="1" t="str">
        <f>"95"</f>
        <v>95</v>
      </c>
      <c r="V208" s="1" t="str">
        <f>""</f>
        <v/>
      </c>
      <c r="W208" s="1" t="str">
        <f>""</f>
        <v/>
      </c>
      <c r="X208" s="1" t="str">
        <f>""</f>
        <v/>
      </c>
      <c r="Y208" s="1" t="str">
        <f>"311"</f>
        <v>311</v>
      </c>
      <c r="Z208" t="str">
        <f>"9226952315"</f>
        <v>9226952315</v>
      </c>
      <c r="AA208" t="str">
        <f>"3517976202"</f>
        <v>3517976202</v>
      </c>
      <c r="AB208" t="str">
        <f>"9226952315"</f>
        <v>9226952315</v>
      </c>
      <c r="AC208" t="str">
        <f>"3517976202"</f>
        <v>3517976202</v>
      </c>
      <c r="AD208" t="str">
        <f>"9226952315"</f>
        <v>9226952315</v>
      </c>
      <c r="AE208" t="str">
        <f>"9226952315"</f>
        <v>9226952315</v>
      </c>
    </row>
    <row r="209" spans="1:31" x14ac:dyDescent="0.45">
      <c r="A209" t="str">
        <f>"АБУБАКИРОВА АЛЬБИНА ХАЛИМОВНА"</f>
        <v>АБУБАКИРОВА АЛЬБИНА ХАЛИМОВНА</v>
      </c>
      <c r="B209" t="str">
        <f>"1985-08-29"</f>
        <v>1985-08-29</v>
      </c>
      <c r="C209" t="str">
        <f>"80 05 377860"</f>
        <v>80 05 377860</v>
      </c>
      <c r="D209" t="str">
        <f>"4279011620415441"</f>
        <v>4279011620415441</v>
      </c>
      <c r="E209" t="str">
        <f t="shared" si="31"/>
        <v>2021-05-31</v>
      </c>
      <c r="F209" t="str">
        <f t="shared" si="32"/>
        <v>+</v>
      </c>
      <c r="G209" t="str">
        <f t="shared" si="32"/>
        <v>+</v>
      </c>
      <c r="H209" t="str">
        <f>"40817810316991419124"</f>
        <v>40817810316991419124</v>
      </c>
      <c r="I209" t="str">
        <f>"7003"</f>
        <v>7003</v>
      </c>
      <c r="J209" t="str">
        <f>"0004"</f>
        <v>0004</v>
      </c>
      <c r="K209" t="str">
        <f>"12000.00"</f>
        <v>12000.00</v>
      </c>
      <c r="L209" t="str">
        <f>"620141 ОБЛ СВЕРДЛОВСКАЯ   Г ЕКАТЕРИНБУРГ   УЛ АРТИНСКАЯ д. 12 стр. Б офис 1"</f>
        <v>620141 ОБЛ СВЕРДЛОВСКАЯ   Г ЕКАТЕРИНБУРГ   УЛ АРТИНСКАЯ д. 12 стр. Б офис 1</v>
      </c>
      <c r="M209" t="str">
        <f t="shared" si="29"/>
        <v>2019-08-24</v>
      </c>
      <c r="N209" t="str">
        <f>"ООО АВТОИМПОРТ"</f>
        <v>ООО АВТОИМПОРТ</v>
      </c>
      <c r="O209" t="str">
        <f>"452586"</f>
        <v>452586</v>
      </c>
      <c r="P209" t="str">
        <f>"РЕСП БАШКОРТОСТАН"</f>
        <v>РЕСП БАШКОРТОСТАН</v>
      </c>
      <c r="Q209" t="str">
        <f>"Р-Н БЕЛОКАТАЙСКИЙ"</f>
        <v>Р-Н БЕЛОКАТАЙСКИЙ</v>
      </c>
      <c r="R209" t="str">
        <f>""</f>
        <v/>
      </c>
      <c r="S209" t="str">
        <f>"Д АШАЕВО"</f>
        <v>Д АШАЕВО</v>
      </c>
      <c r="T209" t="str">
        <f>"УЛ СОСНОВАЯ"</f>
        <v>УЛ СОСНОВАЯ</v>
      </c>
      <c r="U209" s="1" t="str">
        <f>"11"</f>
        <v>11</v>
      </c>
      <c r="V209" s="1" t="str">
        <f>""</f>
        <v/>
      </c>
      <c r="W209" s="1" t="str">
        <f>""</f>
        <v/>
      </c>
      <c r="X209" s="1" t="str">
        <f>""</f>
        <v/>
      </c>
      <c r="Y209" s="1" t="str">
        <f>""</f>
        <v/>
      </c>
      <c r="Z209" t="str">
        <f>""</f>
        <v/>
      </c>
      <c r="AA209" t="str">
        <f>"9538216315"</f>
        <v>9538216315</v>
      </c>
      <c r="AB209" t="str">
        <f>"9538216315"</f>
        <v>9538216315</v>
      </c>
      <c r="AC209" t="str">
        <f>"9538216315"</f>
        <v>9538216315</v>
      </c>
      <c r="AD209" t="str">
        <f>"9538216315"</f>
        <v>9538216315</v>
      </c>
      <c r="AE209" t="str">
        <f>""</f>
        <v/>
      </c>
    </row>
    <row r="210" spans="1:31" x14ac:dyDescent="0.45">
      <c r="A210" t="str">
        <f>"НАЗМИЕВ АЛЕКСЕЙ МАРАТОВИЧ"</f>
        <v>НАЗМИЕВ АЛЕКСЕЙ МАРАТОВИЧ</v>
      </c>
      <c r="B210" t="str">
        <f>"1991-12-02"</f>
        <v>1991-12-02</v>
      </c>
      <c r="C210" t="str">
        <f>"65 12 438973"</f>
        <v>65 12 438973</v>
      </c>
      <c r="D210" t="str">
        <f>"4279011692221040"</f>
        <v>4279011692221040</v>
      </c>
      <c r="E210" t="str">
        <f t="shared" si="31"/>
        <v>2021-05-31</v>
      </c>
      <c r="F210" t="str">
        <f>"K"</f>
        <v>K</v>
      </c>
      <c r="G210" t="str">
        <f t="shared" si="32"/>
        <v>+</v>
      </c>
      <c r="H210" t="str">
        <f>"40817810016991419123"</f>
        <v>40817810016991419123</v>
      </c>
      <c r="I210" t="str">
        <f>"7003"</f>
        <v>7003</v>
      </c>
      <c r="J210" t="str">
        <f>"0386"</f>
        <v>0386</v>
      </c>
      <c r="K210" t="str">
        <f>"250000.00"</f>
        <v>250000.00</v>
      </c>
      <c r="L210" t="str">
        <f>"614000 КРАЙ ПЕРМСКИЙ   Г ПЕРМЬ   УЛ СВЕРДЛОВСКАЯ д. 2 корп. А"</f>
        <v>614000 КРАЙ ПЕРМСКИЙ   Г ПЕРМЬ   УЛ СВЕРДЛОВСКАЯ д. 2 корп. А</v>
      </c>
      <c r="M210" t="str">
        <f t="shared" si="29"/>
        <v>2019-08-24</v>
      </c>
      <c r="N210" t="str">
        <f>"СЕВЕР АВТОПЕРМЬ"</f>
        <v>СЕВЕР АВТОПЕРМЬ</v>
      </c>
      <c r="O210" t="str">
        <f>"620000"</f>
        <v>620000</v>
      </c>
      <c r="P210" t="str">
        <f>"ОБЛ СВЕРДЛОВСКАЯ"</f>
        <v>ОБЛ СВЕРДЛОВСКАЯ</v>
      </c>
      <c r="Q210" t="str">
        <f>""</f>
        <v/>
      </c>
      <c r="R210" t="str">
        <f>"Г ЕКАТЕРИНБУРГ"</f>
        <v>Г ЕКАТЕРИНБУРГ</v>
      </c>
      <c r="S210" t="str">
        <f>""</f>
        <v/>
      </c>
      <c r="T210" t="str">
        <f>"УЛ ВИШНЕВАЯ"</f>
        <v>УЛ ВИШНЕВАЯ</v>
      </c>
      <c r="U210" s="1" t="str">
        <f>"36"</f>
        <v>36</v>
      </c>
      <c r="V210" s="1" t="str">
        <f>""</f>
        <v/>
      </c>
      <c r="W210" s="1" t="str">
        <f>""</f>
        <v/>
      </c>
      <c r="X210" s="1" t="str">
        <f>""</f>
        <v/>
      </c>
      <c r="Y210" s="1" t="str">
        <f>"1"</f>
        <v>1</v>
      </c>
      <c r="Z210" t="str">
        <f>""</f>
        <v/>
      </c>
      <c r="AA210" t="str">
        <f>"9089019701"</f>
        <v>9089019701</v>
      </c>
      <c r="AB210" t="str">
        <f>"9089019701"</f>
        <v>9089019701</v>
      </c>
      <c r="AC210" t="str">
        <f>"9089019701"</f>
        <v>9089019701</v>
      </c>
      <c r="AD210" t="str">
        <f>"9089019701"</f>
        <v>9089019701</v>
      </c>
      <c r="AE210" t="str">
        <f>""</f>
        <v/>
      </c>
    </row>
    <row r="211" spans="1:31" x14ac:dyDescent="0.45">
      <c r="A211" t="str">
        <f>"БАГАУТДИНОВ ШАМИЛЬ АВЗАЛОВИЧ"</f>
        <v>БАГАУТДИНОВ ШАМИЛЬ АВЗАЛОВИЧ</v>
      </c>
      <c r="B211" t="str">
        <f>"1985-10-10"</f>
        <v>1985-10-10</v>
      </c>
      <c r="C211" t="str">
        <f>"80 05 565435"</f>
        <v>80 05 565435</v>
      </c>
      <c r="D211" t="str">
        <f>"4279011685276233"</f>
        <v>4279011685276233</v>
      </c>
      <c r="E211" t="str">
        <f t="shared" si="31"/>
        <v>2021-05-31</v>
      </c>
      <c r="F211" t="str">
        <f>"+"</f>
        <v>+</v>
      </c>
      <c r="G211" t="str">
        <f t="shared" si="32"/>
        <v>+</v>
      </c>
      <c r="H211" t="str">
        <f>"40817810616991419125"</f>
        <v>40817810616991419125</v>
      </c>
      <c r="I211" t="str">
        <f>"8598"</f>
        <v>8598</v>
      </c>
      <c r="J211" t="str">
        <f>"0768"</f>
        <v>0768</v>
      </c>
      <c r="K211" t="str">
        <f>"150000.00"</f>
        <v>150000.00</v>
      </c>
      <c r="L211" t="str">
        <f>"453850 РЕСП БАШКОРТОСТАН   Г МЕЛЕУЗ   УЛ ОКТЯБРЬСКАЯ д. 8 А"</f>
        <v>453850 РЕСП БАШКОРТОСТАН   Г МЕЛЕУЗ   УЛ ОКТЯБРЬСКАЯ д. 8 А</v>
      </c>
      <c r="M211" t="str">
        <f t="shared" si="29"/>
        <v>2019-08-24</v>
      </c>
      <c r="N211" t="str">
        <f>"ЖСК ДОМ 18"</f>
        <v>ЖСК ДОМ 18</v>
      </c>
      <c r="O211" t="str">
        <f>"453850"</f>
        <v>453850</v>
      </c>
      <c r="P211" t="str">
        <f>"РЕСП БАШКОРТОСТАН"</f>
        <v>РЕСП БАШКОРТОСТАН</v>
      </c>
      <c r="Q211" t="str">
        <f>"Р-Н МЕЛЕУЗОВСКИЙ"</f>
        <v>Р-Н МЕЛЕУЗОВСКИЙ</v>
      </c>
      <c r="R211" t="str">
        <f>""</f>
        <v/>
      </c>
      <c r="S211" t="str">
        <f>"Д ПЕРВОМАЙСКАЯ"</f>
        <v>Д ПЕРВОМАЙСКАЯ</v>
      </c>
      <c r="T211" t="str">
        <f>"УЛ 60 ЛЕТ ОБРАЗОВАНИЯ СССР"</f>
        <v>УЛ 60 ЛЕТ ОБРАЗОВАНИЯ СССР</v>
      </c>
      <c r="U211" s="1" t="str">
        <f>"34"</f>
        <v>34</v>
      </c>
      <c r="V211" s="1" t="str">
        <f>""</f>
        <v/>
      </c>
      <c r="W211" s="1" t="str">
        <f>""</f>
        <v/>
      </c>
      <c r="X211" s="1" t="str">
        <f>""</f>
        <v/>
      </c>
      <c r="Y211" s="1" t="str">
        <f>""</f>
        <v/>
      </c>
      <c r="Z211" t="str">
        <f>"+7 (34764) 50190"</f>
        <v>+7 (34764) 50190</v>
      </c>
      <c r="AA211" t="str">
        <f>"+7 (34764) 70158"</f>
        <v>+7 (34764) 70158</v>
      </c>
      <c r="AB211" t="str">
        <f>"+7 (927) 9307982"</f>
        <v>+7 (927) 9307982</v>
      </c>
      <c r="AC211" t="str">
        <f>"9174905994"</f>
        <v>9174905994</v>
      </c>
      <c r="AD211" t="str">
        <f>"9174905994"</f>
        <v>9174905994</v>
      </c>
      <c r="AE211" t="str">
        <f>"0000000000"</f>
        <v>0000000000</v>
      </c>
    </row>
    <row r="212" spans="1:31" x14ac:dyDescent="0.45">
      <c r="A212" t="str">
        <f>"НУРГАЛИЕВ АЛЬБЕРТ РАСУЛЕВИЧ"</f>
        <v>НУРГАЛИЕВ АЛЬБЕРТ РАСУЛЕВИЧ</v>
      </c>
      <c r="B212" t="str">
        <f>"1986-02-05"</f>
        <v>1986-02-05</v>
      </c>
      <c r="C212" t="str">
        <f>"80 05 643978"</f>
        <v>80 05 643978</v>
      </c>
      <c r="D212" t="str">
        <f>"4279011625842151"</f>
        <v>4279011625842151</v>
      </c>
      <c r="E212" t="str">
        <f t="shared" si="31"/>
        <v>2021-05-31</v>
      </c>
      <c r="F212" t="str">
        <f>"+"</f>
        <v>+</v>
      </c>
      <c r="G212" t="str">
        <f t="shared" si="32"/>
        <v>+</v>
      </c>
      <c r="H212" t="str">
        <f>"40817810916991419126"</f>
        <v>40817810916991419126</v>
      </c>
      <c r="I212" t="str">
        <f>"8598"</f>
        <v>8598</v>
      </c>
      <c r="J212" t="str">
        <f>"0213"</f>
        <v>0213</v>
      </c>
      <c r="K212" t="str">
        <f>"30000.00"</f>
        <v>30000.00</v>
      </c>
      <c r="L212" t="str">
        <f>"450000 РЕСП БАШКОРТОСТАН   Г УФА   УЛ Н. КОВШОВОЙ д. 5 кв. 93"</f>
        <v>450000 РЕСП БАШКОРТОСТАН   Г УФА   УЛ Н. КОВШОВОЙ д. 5 кв. 93</v>
      </c>
      <c r="M212" t="str">
        <f t="shared" si="29"/>
        <v>2019-08-24</v>
      </c>
      <c r="N212" t="str">
        <f>"ООО ИНТЕГРО"</f>
        <v>ООО ИНТЕГРО</v>
      </c>
      <c r="O212" t="str">
        <f>"450000"</f>
        <v>450000</v>
      </c>
      <c r="P212" t="str">
        <f>"РЕСП БАШКОРТОСТАН"</f>
        <v>РЕСП БАШКОРТОСТАН</v>
      </c>
      <c r="Q212" t="str">
        <f>""</f>
        <v/>
      </c>
      <c r="R212" t="str">
        <f>"Г УФА"</f>
        <v>Г УФА</v>
      </c>
      <c r="S212" t="str">
        <f>""</f>
        <v/>
      </c>
      <c r="T212" t="str">
        <f>"УЛ Н. КОВШОВОЙ"</f>
        <v>УЛ Н. КОВШОВОЙ</v>
      </c>
      <c r="U212" s="1" t="str">
        <f>"5"</f>
        <v>5</v>
      </c>
      <c r="V212" s="1" t="str">
        <f>""</f>
        <v/>
      </c>
      <c r="W212" s="1" t="str">
        <f>""</f>
        <v/>
      </c>
      <c r="X212" s="1" t="str">
        <f>""</f>
        <v/>
      </c>
      <c r="Y212" s="1" t="str">
        <f>"93"</f>
        <v>93</v>
      </c>
      <c r="Z212" t="str">
        <f>"+7 (347) 2660703"</f>
        <v>+7 (347) 2660703</v>
      </c>
      <c r="AA212" t="str">
        <f>"+7 (917) 7361718"</f>
        <v>+7 (917) 7361718</v>
      </c>
      <c r="AB212" t="str">
        <f>"+7 (917) 7361718"</f>
        <v>+7 (917) 7361718</v>
      </c>
      <c r="AC212" t="str">
        <f>"9277360703"</f>
        <v>9277360703</v>
      </c>
      <c r="AD212" t="str">
        <f>"9177361718"</f>
        <v>9177361718</v>
      </c>
      <c r="AE212" t="str">
        <f>""</f>
        <v/>
      </c>
    </row>
    <row r="213" spans="1:31" x14ac:dyDescent="0.45">
      <c r="A213" t="str">
        <f>"ИВАНЧЕНКО НАДЕЖДА ВАДИМОВНА"</f>
        <v>ИВАНЧЕНКО НАДЕЖДА ВАДИМОВНА</v>
      </c>
      <c r="B213" t="str">
        <f>"1991-02-15"</f>
        <v>1991-02-15</v>
      </c>
      <c r="C213" t="str">
        <f>"75 10 857892"</f>
        <v>75 10 857892</v>
      </c>
      <c r="D213" t="str">
        <f>"4279011664593335"</f>
        <v>4279011664593335</v>
      </c>
      <c r="E213" t="str">
        <f t="shared" si="31"/>
        <v>2021-05-31</v>
      </c>
      <c r="F213" t="str">
        <f>"+"</f>
        <v>+</v>
      </c>
      <c r="G213" t="str">
        <f t="shared" si="32"/>
        <v>+</v>
      </c>
      <c r="H213" t="str">
        <f>"40817810816991419129"</f>
        <v>40817810816991419129</v>
      </c>
      <c r="I213" t="str">
        <f>"8597"</f>
        <v>8597</v>
      </c>
      <c r="J213" t="str">
        <f>"0275"</f>
        <v>0275</v>
      </c>
      <c r="K213" t="str">
        <f>"175000.00"</f>
        <v>175000.00</v>
      </c>
      <c r="L213" t="str">
        <f>"454000 ОБЛ ЧЕЛЯБИНСКАЯ   Г ЧЕЛЯБИНСК   УЛ БРАТЬЕВ КАШИРИНЫХ д. 129"</f>
        <v>454000 ОБЛ ЧЕЛЯБИНСКАЯ   Г ЧЕЛЯБИНСК   УЛ БРАТЬЕВ КАШИРИНЫХ д. 129</v>
      </c>
      <c r="M213" t="str">
        <f t="shared" si="29"/>
        <v>2019-08-24</v>
      </c>
      <c r="N213" t="str">
        <f>"ВО ЧЛГУ"</f>
        <v>ВО ЧЛГУ</v>
      </c>
      <c r="O213" t="str">
        <f>"454000"</f>
        <v>454000</v>
      </c>
      <c r="P213" t="str">
        <f>"ОБЛ ЧЕЛЯБИНСКАЯ"</f>
        <v>ОБЛ ЧЕЛЯБИНСКАЯ</v>
      </c>
      <c r="Q213" t="str">
        <f>""</f>
        <v/>
      </c>
      <c r="R213" t="str">
        <f>"Г ЧЕЛЯБИНСК"</f>
        <v>Г ЧЕЛЯБИНСК</v>
      </c>
      <c r="S213" t="str">
        <f>""</f>
        <v/>
      </c>
      <c r="T213" t="str">
        <f>"УЛ БРАТЬЕВ КАШИРИНЫХ"</f>
        <v>УЛ БРАТЬЕВ КАШИРИНЫХ</v>
      </c>
      <c r="U213" s="1" t="str">
        <f>"85А"</f>
        <v>85А</v>
      </c>
      <c r="V213" s="1" t="str">
        <f>""</f>
        <v/>
      </c>
      <c r="W213" s="1" t="str">
        <f>""</f>
        <v/>
      </c>
      <c r="X213" s="1" t="str">
        <f>""</f>
        <v/>
      </c>
      <c r="Y213" s="1" t="str">
        <f>"126"</f>
        <v>126</v>
      </c>
      <c r="Z213" t="str">
        <f>""</f>
        <v/>
      </c>
      <c r="AA213" t="str">
        <f>"9823346736"</f>
        <v>9823346736</v>
      </c>
      <c r="AB213" t="str">
        <f>"9090852728"</f>
        <v>9090852728</v>
      </c>
      <c r="AC213" t="str">
        <f>"9823346736"</f>
        <v>9823346736</v>
      </c>
      <c r="AD213" t="str">
        <f>"9090852728"</f>
        <v>9090852728</v>
      </c>
      <c r="AE213" t="str">
        <f>""</f>
        <v/>
      </c>
    </row>
    <row r="214" spans="1:31" x14ac:dyDescent="0.45">
      <c r="A214" t="str">
        <f>"СВЕТЛАКОВА ОКСАНА АЛЕКСАНДРОВНА"</f>
        <v>СВЕТЛАКОВА ОКСАНА АЛЕКСАНДРОВНА</v>
      </c>
      <c r="B214" t="str">
        <f>"1973-10-19"</f>
        <v>1973-10-19</v>
      </c>
      <c r="C214" t="str">
        <f>"80 18 848265"</f>
        <v>80 18 848265</v>
      </c>
      <c r="D214" t="str">
        <f>"4279011667870748"</f>
        <v>4279011667870748</v>
      </c>
      <c r="E214" t="str">
        <f t="shared" si="31"/>
        <v>2021-05-31</v>
      </c>
      <c r="F214" t="str">
        <f>"+"</f>
        <v>+</v>
      </c>
      <c r="G214" t="str">
        <f t="shared" si="32"/>
        <v>+</v>
      </c>
      <c r="H214" t="str">
        <f>"40817810216991419130"</f>
        <v>40817810216991419130</v>
      </c>
      <c r="I214" t="str">
        <f>"8598"</f>
        <v>8598</v>
      </c>
      <c r="J214" t="str">
        <f>"0228"</f>
        <v>0228</v>
      </c>
      <c r="K214" t="str">
        <f>"105000.00"</f>
        <v>105000.00</v>
      </c>
      <c r="L214" t="str">
        <f>"450000 РЕСП БАШКОРТОСТАН   Г УФА   УЛ БАБУШКИНА д. 21"</f>
        <v>450000 РЕСП БАШКОРТОСТАН   Г УФА   УЛ БАБУШКИНА д. 21</v>
      </c>
      <c r="M214" t="str">
        <f t="shared" si="29"/>
        <v>2019-08-24</v>
      </c>
      <c r="N214" t="str">
        <f>"ИП ИНДИГО"</f>
        <v>ИП ИНДИГО</v>
      </c>
      <c r="O214" t="str">
        <f>"450000"</f>
        <v>450000</v>
      </c>
      <c r="P214" t="str">
        <f>"РЕСП БАШКОРТОСТАН"</f>
        <v>РЕСП БАШКОРТОСТАН</v>
      </c>
      <c r="Q214" t="str">
        <f>""</f>
        <v/>
      </c>
      <c r="R214" t="str">
        <f>""</f>
        <v/>
      </c>
      <c r="S214" t="str">
        <f>"Г УФА"</f>
        <v>Г УФА</v>
      </c>
      <c r="T214" t="str">
        <f>"УЛ РАБКОРОВ"</f>
        <v>УЛ РАБКОРОВ</v>
      </c>
      <c r="U214" s="1" t="str">
        <f>"24"</f>
        <v>24</v>
      </c>
      <c r="V214" s="1" t="str">
        <f>""</f>
        <v/>
      </c>
      <c r="W214" s="1" t="str">
        <f>""</f>
        <v/>
      </c>
      <c r="X214" s="1" t="str">
        <f>""</f>
        <v/>
      </c>
      <c r="Y214" s="1" t="str">
        <f>"47"</f>
        <v>47</v>
      </c>
      <c r="Z214" t="str">
        <f>"9173771144"</f>
        <v>9173771144</v>
      </c>
      <c r="AA214" t="str">
        <f>"9173771144"</f>
        <v>9173771144</v>
      </c>
      <c r="AB214" t="str">
        <f>"9173771144"</f>
        <v>9173771144</v>
      </c>
      <c r="AC214" t="str">
        <f>"9173771144"</f>
        <v>9173771144</v>
      </c>
      <c r="AD214" t="str">
        <f>"9173771144"</f>
        <v>9173771144</v>
      </c>
      <c r="AE214" t="str">
        <f>"9173771144"</f>
        <v>9173771144</v>
      </c>
    </row>
    <row r="215" spans="1:31" x14ac:dyDescent="0.45">
      <c r="A215" t="str">
        <f>"АЛЕКСАНДРОВА ВЕРОНИКА ВАЛЕРЬЕВНА"</f>
        <v>АЛЕКСАНДРОВА ВЕРОНИКА ВАЛЕРЬЕВНА</v>
      </c>
      <c r="B215" t="str">
        <f>"1982-12-08"</f>
        <v>1982-12-08</v>
      </c>
      <c r="C215" t="str">
        <f>"88 05 833973"</f>
        <v>88 05 833973</v>
      </c>
      <c r="D215" t="str">
        <f>"4279011628899729"</f>
        <v>4279011628899729</v>
      </c>
      <c r="E215" t="str">
        <f t="shared" si="31"/>
        <v>2021-05-31</v>
      </c>
      <c r="F215" t="str">
        <f>"+"</f>
        <v>+</v>
      </c>
      <c r="G215" t="str">
        <f t="shared" si="32"/>
        <v>+</v>
      </c>
      <c r="H215" t="str">
        <f>"40817810916991419139"</f>
        <v>40817810916991419139</v>
      </c>
      <c r="I215" t="str">
        <f>"8598"</f>
        <v>8598</v>
      </c>
      <c r="J215" t="str">
        <f>"0213"</f>
        <v>0213</v>
      </c>
      <c r="K215" t="str">
        <f>"150000.00"</f>
        <v>150000.00</v>
      </c>
      <c r="L215" t="str">
        <f>"450000 РЕСП БАШКОРТОСТАН   Г УФА   УЛ РОССИЙСКАЯ д. 98 стр. 2"</f>
        <v>450000 РЕСП БАШКОРТОСТАН   Г УФА   УЛ РОССИЙСКАЯ д. 98 стр. 2</v>
      </c>
      <c r="M215" t="str">
        <f t="shared" si="29"/>
        <v>2019-08-24</v>
      </c>
      <c r="N215" t="str">
        <f>"ООО ВЕГА"</f>
        <v>ООО ВЕГА</v>
      </c>
      <c r="O215" t="str">
        <f>"450000"</f>
        <v>450000</v>
      </c>
      <c r="P215" t="str">
        <f>"РЕСП БАШКОРТОСТАН"</f>
        <v>РЕСП БАШКОРТОСТАН</v>
      </c>
      <c r="Q215" t="str">
        <f>""</f>
        <v/>
      </c>
      <c r="R215" t="str">
        <f>"Г УФА"</f>
        <v>Г УФА</v>
      </c>
      <c r="S215" t="str">
        <f>""</f>
        <v/>
      </c>
      <c r="T215" t="str">
        <f>"УЛ БАЯЗИТА БИКБАЯ"</f>
        <v>УЛ БАЯЗИТА БИКБАЯ</v>
      </c>
      <c r="U215" s="1" t="str">
        <f>"42"</f>
        <v>42</v>
      </c>
      <c r="V215" s="1" t="str">
        <f>""</f>
        <v/>
      </c>
      <c r="W215" s="1" t="str">
        <f>""</f>
        <v/>
      </c>
      <c r="X215" s="1" t="str">
        <f>""</f>
        <v/>
      </c>
      <c r="Y215" s="1" t="str">
        <f>"52"</f>
        <v>52</v>
      </c>
      <c r="Z215" t="str">
        <f>""</f>
        <v/>
      </c>
      <c r="AA215" t="str">
        <f>"9374945747"</f>
        <v>9374945747</v>
      </c>
      <c r="AB215" t="str">
        <f>"9374945747"</f>
        <v>9374945747</v>
      </c>
      <c r="AC215" t="str">
        <f>"9374945747"</f>
        <v>9374945747</v>
      </c>
      <c r="AD215" t="str">
        <f>"9374945747"</f>
        <v>9374945747</v>
      </c>
      <c r="AE215" t="str">
        <f>""</f>
        <v/>
      </c>
    </row>
    <row r="216" spans="1:31" x14ac:dyDescent="0.45">
      <c r="A216" t="str">
        <f>"ГРАК ЕКАТЕРИНА ЮРЬЕВНА"</f>
        <v>ГРАК ЕКАТЕРИНА ЮРЬЕВНА</v>
      </c>
      <c r="B216" t="str">
        <f>"1957-10-24"</f>
        <v>1957-10-24</v>
      </c>
      <c r="C216" t="str">
        <f>"65 05 507392"</f>
        <v>65 05 507392</v>
      </c>
      <c r="D216" t="str">
        <f>"4279011687927726"</f>
        <v>4279011687927726</v>
      </c>
      <c r="E216" t="str">
        <f t="shared" si="31"/>
        <v>2021-05-31</v>
      </c>
      <c r="F216" t="str">
        <f>"Q"</f>
        <v>Q</v>
      </c>
      <c r="G216" t="str">
        <f>"Q"</f>
        <v>Q</v>
      </c>
      <c r="H216" t="str">
        <f>"40817810816991419132"</f>
        <v>40817810816991419132</v>
      </c>
      <c r="I216" t="str">
        <f>"7003"</f>
        <v>7003</v>
      </c>
      <c r="J216" t="str">
        <f>"0409"</f>
        <v>0409</v>
      </c>
      <c r="K216" t="str">
        <f>"0.00"</f>
        <v>0.00</v>
      </c>
      <c r="L216" t="str">
        <f>"620023 ОБЛ СВЕРДЛОВСКАЯ   Г ЕКАТЕРИНБУРГ   УЛ ПРОСТОРНАЯ д. 73Б"</f>
        <v>620023 ОБЛ СВЕРДЛОВСКАЯ   Г ЕКАТЕРИНБУРГ   УЛ ПРОСТОРНАЯ д. 73Б</v>
      </c>
      <c r="M216" t="str">
        <f t="shared" si="29"/>
        <v>2019-08-24</v>
      </c>
      <c r="N216" t="str">
        <f>"УКТУССКИЙ ПАНСИОНАТ"</f>
        <v>УКТУССКИЙ ПАНСИОНАТ</v>
      </c>
      <c r="O216" t="str">
        <f>"620000"</f>
        <v>620000</v>
      </c>
      <c r="P216" t="str">
        <f>"ОБЛ СВЕРДЛОВСКАЯ"</f>
        <v>ОБЛ СВЕРДЛОВСКАЯ</v>
      </c>
      <c r="Q216" t="str">
        <f>""</f>
        <v/>
      </c>
      <c r="R216" t="str">
        <f>"Г ЕКАТЕРИНБУРГ"</f>
        <v>Г ЕКАТЕРИНБУРГ</v>
      </c>
      <c r="S216" t="str">
        <f>""</f>
        <v/>
      </c>
      <c r="T216" t="str">
        <f>"УЛ РЯБИНИНА"</f>
        <v>УЛ РЯБИНИНА</v>
      </c>
      <c r="U216" s="1" t="str">
        <f>"19"</f>
        <v>19</v>
      </c>
      <c r="V216" s="1" t="str">
        <f>""</f>
        <v/>
      </c>
      <c r="W216" s="1" t="str">
        <f>""</f>
        <v/>
      </c>
      <c r="X216" s="1" t="str">
        <f>""</f>
        <v/>
      </c>
      <c r="Y216" s="1" t="str">
        <f>"5"</f>
        <v>5</v>
      </c>
      <c r="Z216" t="str">
        <f>""</f>
        <v/>
      </c>
      <c r="AA216" t="str">
        <f>"9089225165"</f>
        <v>9089225165</v>
      </c>
      <c r="AB216" t="str">
        <f>"9089225165"</f>
        <v>9089225165</v>
      </c>
      <c r="AC216" t="str">
        <f>"9089225165"</f>
        <v>9089225165</v>
      </c>
      <c r="AD216" t="str">
        <f>"9089225165"</f>
        <v>9089225165</v>
      </c>
      <c r="AE216" t="str">
        <f>""</f>
        <v/>
      </c>
    </row>
    <row r="217" spans="1:31" x14ac:dyDescent="0.45">
      <c r="A217" t="str">
        <f>"ВЕРЕТА ВАЛЕРИЙ НИКОЛАЕВИЧ"</f>
        <v>ВЕРЕТА ВАЛЕРИЙ НИКОЛАЕВИЧ</v>
      </c>
      <c r="B217" t="str">
        <f>"1973-09-05"</f>
        <v>1973-09-05</v>
      </c>
      <c r="C217" t="str">
        <f>"75 18 064172"</f>
        <v>75 18 064172</v>
      </c>
      <c r="D217" t="str">
        <f>"4279011646955727"</f>
        <v>4279011646955727</v>
      </c>
      <c r="E217" t="str">
        <f t="shared" si="31"/>
        <v>2021-05-31</v>
      </c>
      <c r="F217" t="str">
        <f t="shared" ref="F217:G232" si="33">"+"</f>
        <v>+</v>
      </c>
      <c r="G217" t="str">
        <f t="shared" si="33"/>
        <v>+</v>
      </c>
      <c r="H217" t="str">
        <f>"40817810116991419133"</f>
        <v>40817810116991419133</v>
      </c>
      <c r="I217" t="str">
        <f>"8597"</f>
        <v>8597</v>
      </c>
      <c r="J217" t="str">
        <f>"0451"</f>
        <v>0451</v>
      </c>
      <c r="K217" t="str">
        <f>"105000.00"</f>
        <v>105000.00</v>
      </c>
      <c r="L217" t="str">
        <f>"457000 РЕСП САХА /ЯКУТИЯ/   Г КОГАЛЫМ   УЛ СТЕПАНА ПОЛХА д. 6 кв. 37"</f>
        <v>457000 РЕСП САХА /ЯКУТИЯ/   Г КОГАЛЫМ   УЛ СТЕПАНА ПОЛХА д. 6 кв. 37</v>
      </c>
      <c r="M217" t="str">
        <f t="shared" si="29"/>
        <v>2019-08-24</v>
      </c>
      <c r="N217" t="s">
        <v>38</v>
      </c>
      <c r="O217" t="str">
        <f>"454000"</f>
        <v>454000</v>
      </c>
      <c r="P217" t="str">
        <f>"ОБЛ ЧЕЛЯБИНСКАЯ"</f>
        <v>ОБЛ ЧЕЛЯБИНСКАЯ</v>
      </c>
      <c r="Q217" t="str">
        <f>"Р-Н ЧЕСМЕНСКИЙ"</f>
        <v>Р-Н ЧЕСМЕНСКИЙ</v>
      </c>
      <c r="R217" t="str">
        <f>""</f>
        <v/>
      </c>
      <c r="S217" t="str">
        <f>"П/СТ БЕЛОВКА"</f>
        <v>П/СТ БЕЛОВКА</v>
      </c>
      <c r="T217" t="str">
        <f>"УЛ НАБЕРЕЖНАЯ"</f>
        <v>УЛ НАБЕРЕЖНАЯ</v>
      </c>
      <c r="U217" s="1" t="str">
        <f>"12"</f>
        <v>12</v>
      </c>
      <c r="V217" s="1" t="str">
        <f>""</f>
        <v/>
      </c>
      <c r="W217" s="1" t="str">
        <f>""</f>
        <v/>
      </c>
      <c r="X217" s="1" t="str">
        <f>""</f>
        <v/>
      </c>
      <c r="Y217" s="1" t="str">
        <f>""</f>
        <v/>
      </c>
      <c r="Z217" t="str">
        <f>""</f>
        <v/>
      </c>
      <c r="AA217" t="str">
        <f>"9505297340"</f>
        <v>9505297340</v>
      </c>
      <c r="AB217" t="str">
        <f>"9505297340"</f>
        <v>9505297340</v>
      </c>
      <c r="AC217" t="str">
        <f>"3516900000"</f>
        <v>3516900000</v>
      </c>
      <c r="AD217" t="str">
        <f>"9505297340"</f>
        <v>9505297340</v>
      </c>
      <c r="AE217" t="str">
        <f>""</f>
        <v/>
      </c>
    </row>
    <row r="218" spans="1:31" x14ac:dyDescent="0.45">
      <c r="A218" t="str">
        <f>"НЕСТЕРОВА ИРИНА НИКОЛАЕВНА"</f>
        <v>НЕСТЕРОВА ИРИНА НИКОЛАЕВНА</v>
      </c>
      <c r="B218" t="str">
        <f>"1956-07-01"</f>
        <v>1956-07-01</v>
      </c>
      <c r="C218" t="str">
        <f>"65 14 946588"</f>
        <v>65 14 946588</v>
      </c>
      <c r="D218" t="str">
        <f>"4279011690566925"</f>
        <v>4279011690566925</v>
      </c>
      <c r="E218" t="str">
        <f t="shared" si="31"/>
        <v>2021-05-31</v>
      </c>
      <c r="F218" t="str">
        <f t="shared" si="33"/>
        <v>+</v>
      </c>
      <c r="G218" t="str">
        <f t="shared" si="33"/>
        <v>+</v>
      </c>
      <c r="H218" t="str">
        <f>"40817810716991419135"</f>
        <v>40817810716991419135</v>
      </c>
      <c r="I218" t="str">
        <f>"7003"</f>
        <v>7003</v>
      </c>
      <c r="J218" t="str">
        <f>"0377"</f>
        <v>0377</v>
      </c>
      <c r="K218" t="str">
        <f>"39000.00"</f>
        <v>39000.00</v>
      </c>
      <c r="L218" t="str">
        <f>"620100 ОБЛ СВЕРДЛОВСКАЯ   Г ЕКАТЕРИНБУРГ   УЛ БУТОРИНА д. 7 кв. 78"</f>
        <v>620100 ОБЛ СВЕРДЛОВСКАЯ   Г ЕКАТЕРИНБУРГ   УЛ БУТОРИНА д. 7 кв. 78</v>
      </c>
      <c r="M218" t="str">
        <f t="shared" si="29"/>
        <v>2019-08-24</v>
      </c>
      <c r="N218" t="str">
        <f>"ПЕНСИОНЕР"</f>
        <v>ПЕНСИОНЕР</v>
      </c>
      <c r="O218" t="str">
        <f>"620100"</f>
        <v>620100</v>
      </c>
      <c r="P218" t="str">
        <f>"ОБЛ СВЕРДЛОВСКАЯ"</f>
        <v>ОБЛ СВЕРДЛОВСКАЯ</v>
      </c>
      <c r="Q218" t="str">
        <f>""</f>
        <v/>
      </c>
      <c r="R218" t="str">
        <f>"Г ЕКАТЕРИНБУРГ"</f>
        <v>Г ЕКАТЕРИНБУРГ</v>
      </c>
      <c r="S218" t="str">
        <f>""</f>
        <v/>
      </c>
      <c r="T218" t="str">
        <f>"УЛ БУТОРИНА"</f>
        <v>УЛ БУТОРИНА</v>
      </c>
      <c r="U218" s="1" t="str">
        <f>"7"</f>
        <v>7</v>
      </c>
      <c r="V218" s="1" t="str">
        <f>""</f>
        <v/>
      </c>
      <c r="W218" s="1" t="str">
        <f>""</f>
        <v/>
      </c>
      <c r="X218" s="1" t="str">
        <f>""</f>
        <v/>
      </c>
      <c r="Y218" s="1" t="str">
        <f>"78"</f>
        <v>78</v>
      </c>
      <c r="Z218" t="str">
        <f>""</f>
        <v/>
      </c>
      <c r="AA218" t="str">
        <f>"3432620801"</f>
        <v>3432620801</v>
      </c>
      <c r="AB218" t="str">
        <f>"9041638940"</f>
        <v>9041638940</v>
      </c>
      <c r="AC218" t="str">
        <f>"3432620801"</f>
        <v>3432620801</v>
      </c>
      <c r="AD218" t="str">
        <f>"9041638940"</f>
        <v>9041638940</v>
      </c>
      <c r="AE218" t="str">
        <f>""</f>
        <v/>
      </c>
    </row>
    <row r="219" spans="1:31" x14ac:dyDescent="0.45">
      <c r="A219" t="str">
        <f>"АРЖЕВИТИН ПАВЕЛ ВИКТОРОВИЧ"</f>
        <v>АРЖЕВИТИН ПАВЕЛ ВИКТОРОВИЧ</v>
      </c>
      <c r="B219" t="str">
        <f>"1990-01-28"</f>
        <v>1990-01-28</v>
      </c>
      <c r="C219" t="str">
        <f>"75 09 701020"</f>
        <v>75 09 701020</v>
      </c>
      <c r="D219" t="str">
        <f>"4276011639456512"</f>
        <v>4276011639456512</v>
      </c>
      <c r="E219" t="str">
        <f t="shared" si="31"/>
        <v>2021-05-31</v>
      </c>
      <c r="F219" t="str">
        <f t="shared" si="33"/>
        <v>+</v>
      </c>
      <c r="G219" t="str">
        <f t="shared" si="33"/>
        <v>+</v>
      </c>
      <c r="H219" t="str">
        <f>"40817810316991419137"</f>
        <v>40817810316991419137</v>
      </c>
      <c r="I219" t="str">
        <f>"8597"</f>
        <v>8597</v>
      </c>
      <c r="J219" t="str">
        <f>"0455"</f>
        <v>0455</v>
      </c>
      <c r="K219" t="str">
        <f>"50000.00"</f>
        <v>50000.00</v>
      </c>
      <c r="L219" t="str">
        <f>"457040 ОБЛ ЧЕЛЯБИНСКАЯ   Г ЮЖНОУРАЛЬСК   УЛ ЛУЧИСТАЯ д. 2А"</f>
        <v>457040 ОБЛ ЧЕЛЯБИНСКАЯ   Г ЮЖНОУРАЛЬСК   УЛ ЛУЧИСТАЯ д. 2А</v>
      </c>
      <c r="M219" t="str">
        <f t="shared" si="29"/>
        <v>2019-08-24</v>
      </c>
      <c r="N219" t="str">
        <f>"АРЖЕВИТИН ПАВЕЛ ВИКТОРОВИЧ"</f>
        <v>АРЖЕВИТИН ПАВЕЛ ВИКТОРОВИЧ</v>
      </c>
      <c r="O219" t="str">
        <f>"457040"</f>
        <v>457040</v>
      </c>
      <c r="P219" t="str">
        <f>"ОБЛ ЧЕЛЯБИНСКАЯ"</f>
        <v>ОБЛ ЧЕЛЯБИНСКАЯ</v>
      </c>
      <c r="Q219" t="str">
        <f>""</f>
        <v/>
      </c>
      <c r="R219" t="str">
        <f>"Г ЮЖНОУРАЛЬСК"</f>
        <v>Г ЮЖНОУРАЛЬСК</v>
      </c>
      <c r="S219" t="str">
        <f>""</f>
        <v/>
      </c>
      <c r="T219" t="str">
        <f>"УЛ МИРА"</f>
        <v>УЛ МИРА</v>
      </c>
      <c r="U219" s="1" t="str">
        <f>"37А"</f>
        <v>37А</v>
      </c>
      <c r="V219" s="1" t="str">
        <f>""</f>
        <v/>
      </c>
      <c r="W219" s="1" t="str">
        <f>""</f>
        <v/>
      </c>
      <c r="X219" s="1" t="str">
        <f>""</f>
        <v/>
      </c>
      <c r="Y219" s="1" t="str">
        <f>"19"</f>
        <v>19</v>
      </c>
      <c r="Z219" t="str">
        <f>"9080551281"</f>
        <v>9080551281</v>
      </c>
      <c r="AA219" t="str">
        <f>"9525081080"</f>
        <v>9525081080</v>
      </c>
      <c r="AB219" t="str">
        <f>"9000722754"</f>
        <v>9000722754</v>
      </c>
      <c r="AC219" t="str">
        <f>"9525081080"</f>
        <v>9525081080</v>
      </c>
      <c r="AD219" t="str">
        <f>"9525067683"</f>
        <v>9525067683</v>
      </c>
      <c r="AE219" t="str">
        <f>"9080551281"</f>
        <v>9080551281</v>
      </c>
    </row>
    <row r="220" spans="1:31" x14ac:dyDescent="0.45">
      <c r="A220" t="str">
        <f>"МИРОНЕНКО ЕЛЕНА ЮРЬЕВНА"</f>
        <v>МИРОНЕНКО ЕЛЕНА ЮРЬЕВНА</v>
      </c>
      <c r="B220" t="str">
        <f>"1967-03-27"</f>
        <v>1967-03-27</v>
      </c>
      <c r="C220" t="str">
        <f>"37 11 479238"</f>
        <v>37 11 479238</v>
      </c>
      <c r="D220" t="str">
        <f>"4279011670290116"</f>
        <v>4279011670290116</v>
      </c>
      <c r="E220" t="str">
        <f t="shared" si="31"/>
        <v>2021-05-31</v>
      </c>
      <c r="F220" t="str">
        <f t="shared" si="33"/>
        <v>+</v>
      </c>
      <c r="G220" t="str">
        <f t="shared" si="33"/>
        <v>+</v>
      </c>
      <c r="H220" t="str">
        <f>"40817810016991419136"</f>
        <v>40817810016991419136</v>
      </c>
      <c r="I220" t="str">
        <f>"8599"</f>
        <v>8599</v>
      </c>
      <c r="J220" t="str">
        <f>"0049"</f>
        <v>0049</v>
      </c>
      <c r="K220" t="str">
        <f>"110000.00"</f>
        <v>110000.00</v>
      </c>
      <c r="L220" t="str">
        <f>"641000 ОБЛ КУРГАНСКАЯ   Г КУРГАН   УЛ СИБИРСКАЯ д. 1"</f>
        <v>641000 ОБЛ КУРГАНСКАЯ   Г КУРГАН   УЛ СИБИРСКАЯ д. 1</v>
      </c>
      <c r="M220" t="str">
        <f t="shared" si="29"/>
        <v>2019-08-24</v>
      </c>
      <c r="N220" t="str">
        <f>"ГБУ СШОР №1"</f>
        <v>ГБУ СШОР №1</v>
      </c>
      <c r="O220" t="str">
        <f>"641000"</f>
        <v>641000</v>
      </c>
      <c r="P220" t="str">
        <f>"ОБЛ КУРГАНСКАЯ"</f>
        <v>ОБЛ КУРГАНСКАЯ</v>
      </c>
      <c r="Q220" t="str">
        <f>""</f>
        <v/>
      </c>
      <c r="R220" t="str">
        <f>"Г КУРГАН"</f>
        <v>Г КУРГАН</v>
      </c>
      <c r="S220" t="str">
        <f>""</f>
        <v/>
      </c>
      <c r="T220" t="str">
        <f>"ПР-КТ КОНСТИТУЦИИ"</f>
        <v>ПР-КТ КОНСТИТУЦИИ</v>
      </c>
      <c r="U220" s="1" t="str">
        <f>"61"</f>
        <v>61</v>
      </c>
      <c r="V220" s="1" t="str">
        <f>""</f>
        <v/>
      </c>
      <c r="W220" s="1" t="str">
        <f>""</f>
        <v/>
      </c>
      <c r="X220" s="1" t="str">
        <f>""</f>
        <v/>
      </c>
      <c r="Y220" s="1" t="str">
        <f>"11"</f>
        <v>11</v>
      </c>
      <c r="Z220" t="str">
        <f>"3522240003"</f>
        <v>3522240003</v>
      </c>
      <c r="AA220" t="str">
        <f>"9091481293"</f>
        <v>9091481293</v>
      </c>
      <c r="AB220" t="str">
        <f>"9091481293"</f>
        <v>9091481293</v>
      </c>
      <c r="AC220" t="str">
        <f>"9091481293"</f>
        <v>9091481293</v>
      </c>
      <c r="AD220" t="str">
        <f>"9091481293"</f>
        <v>9091481293</v>
      </c>
      <c r="AE220" t="str">
        <f>"3522240003"</f>
        <v>3522240003</v>
      </c>
    </row>
    <row r="221" spans="1:31" x14ac:dyDescent="0.45">
      <c r="A221" t="str">
        <f>"СМИРНОВА ОЛЬГА ТИХОНОВНА"</f>
        <v>СМИРНОВА ОЛЬГА ТИХОНОВНА</v>
      </c>
      <c r="B221" t="str">
        <f>"1973-04-14"</f>
        <v>1973-04-14</v>
      </c>
      <c r="C221" t="str">
        <f>"71 17 320042"</f>
        <v>71 17 320042</v>
      </c>
      <c r="D221" t="str">
        <f>"4279016723134203"</f>
        <v>4279016723134203</v>
      </c>
      <c r="E221" t="str">
        <f>"2021-06-30"</f>
        <v>2021-06-30</v>
      </c>
      <c r="F221" t="str">
        <f>"K"</f>
        <v>K</v>
      </c>
      <c r="G221" t="str">
        <f t="shared" si="33"/>
        <v>+</v>
      </c>
      <c r="H221" t="str">
        <f>"40817810116992400882"</f>
        <v>40817810116992400882</v>
      </c>
      <c r="I221" t="str">
        <f>"8647"</f>
        <v>8647</v>
      </c>
      <c r="J221" t="str">
        <f>"0186"</f>
        <v>0186</v>
      </c>
      <c r="K221" t="str">
        <f>"175000.00"</f>
        <v>175000.00</v>
      </c>
      <c r="L221" t="str">
        <f>"627440 ОБЛ ТЮМЕНСКАЯ Р-Н БЕРДЮЖСКИЙ   С БЕРДЮЖЬЕ УЛ КИРОВА д. 13"</f>
        <v>627440 ОБЛ ТЮМЕНСКАЯ Р-Н БЕРДЮЖСКИЙ   С БЕРДЮЖЬЕ УЛ КИРОВА д. 13</v>
      </c>
      <c r="M221" t="str">
        <f t="shared" si="29"/>
        <v>2019-08-24</v>
      </c>
      <c r="N221" t="str">
        <f>"МАУ БИБЛИОТЕКА ПРЕСТИЖ"</f>
        <v>МАУ БИБЛИОТЕКА ПРЕСТИЖ</v>
      </c>
      <c r="O221" t="str">
        <f>"627444"</f>
        <v>627444</v>
      </c>
      <c r="P221" t="str">
        <f>"ОБЛ ТЮМЕНСКАЯ"</f>
        <v>ОБЛ ТЮМЕНСКАЯ</v>
      </c>
      <c r="Q221" t="str">
        <f>"Р-Н БЕРДЮЖСКИЙ"</f>
        <v>Р-Н БЕРДЮЖСКИЙ</v>
      </c>
      <c r="R221" t="str">
        <f>""</f>
        <v/>
      </c>
      <c r="S221" t="str">
        <f>"Д СТАРОРЯМОВА"</f>
        <v>Д СТАРОРЯМОВА</v>
      </c>
      <c r="T221" t="str">
        <f>"УЛ СОВЕТСКАЯ"</f>
        <v>УЛ СОВЕТСКАЯ</v>
      </c>
      <c r="U221" s="1" t="str">
        <f>"8"</f>
        <v>8</v>
      </c>
      <c r="V221" s="1" t="str">
        <f>""</f>
        <v/>
      </c>
      <c r="W221" s="1" t="str">
        <f>""</f>
        <v/>
      </c>
      <c r="X221" s="1" t="str">
        <f>""</f>
        <v/>
      </c>
      <c r="Y221" s="1" t="str">
        <f>"1"</f>
        <v>1</v>
      </c>
      <c r="Z221" t="str">
        <f>"3455421533"</f>
        <v>3455421533</v>
      </c>
      <c r="AA221" t="str">
        <f>"9923026410"</f>
        <v>9923026410</v>
      </c>
      <c r="AB221" t="str">
        <f>"9923026410"</f>
        <v>9923026410</v>
      </c>
      <c r="AC221" t="str">
        <f>"9923026410"</f>
        <v>9923026410</v>
      </c>
      <c r="AD221" t="str">
        <f>"9923026410"</f>
        <v>9923026410</v>
      </c>
      <c r="AE221" t="str">
        <f>"3455421533"</f>
        <v>3455421533</v>
      </c>
    </row>
    <row r="222" spans="1:31" x14ac:dyDescent="0.45">
      <c r="A222" t="str">
        <f>"ТАШЛАНОВА НАТАЛЬЯ ГЕОРГИЕВНА"</f>
        <v>ТАШЛАНОВА НАТАЛЬЯ ГЕОРГИЕВНА</v>
      </c>
      <c r="B222" t="str">
        <f>"1962-04-05"</f>
        <v>1962-04-05</v>
      </c>
      <c r="C222" t="str">
        <f>"71 06 496043"</f>
        <v>71 06 496043</v>
      </c>
      <c r="D222" t="str">
        <f>"4279016724946332"</f>
        <v>4279016724946332</v>
      </c>
      <c r="E222" t="str">
        <f>"2021-06-30"</f>
        <v>2021-06-30</v>
      </c>
      <c r="F222" t="str">
        <f t="shared" ref="F222:G234" si="34">"+"</f>
        <v>+</v>
      </c>
      <c r="G222" t="str">
        <f t="shared" si="33"/>
        <v>+</v>
      </c>
      <c r="H222" t="str">
        <f>"40817810516992400929"</f>
        <v>40817810516992400929</v>
      </c>
      <c r="I222" t="str">
        <f>"8647"</f>
        <v>8647</v>
      </c>
      <c r="J222" t="str">
        <f>"0186"</f>
        <v>0186</v>
      </c>
      <c r="K222" t="str">
        <f>"35000.00"</f>
        <v>35000.00</v>
      </c>
      <c r="L222" t="str">
        <f>"627440 ОБЛ ТЮМЕНСКАЯ Р-Н БЕРДЮЖСКИЙ   С БЕРДЮЖЬЕ УЛ КИРОВА д. 13"</f>
        <v>627440 ОБЛ ТЮМЕНСКАЯ Р-Н БЕРДЮЖСКИЙ   С БЕРДЮЖЬЕ УЛ КИРОВА д. 13</v>
      </c>
      <c r="M222" t="str">
        <f t="shared" si="29"/>
        <v>2019-08-24</v>
      </c>
      <c r="N222" t="str">
        <f>"БИБЛИОТЕКА ПРЕСТИЖ"</f>
        <v>БИБЛИОТЕКА ПРЕСТИЖ</v>
      </c>
      <c r="O222" t="str">
        <f>"627451"</f>
        <v>627451</v>
      </c>
      <c r="P222" t="str">
        <f>"ОБЛ ТЮМЕНСКАЯ"</f>
        <v>ОБЛ ТЮМЕНСКАЯ</v>
      </c>
      <c r="Q222" t="str">
        <f>"Р-Н БЕРДЮЖСКИЙ"</f>
        <v>Р-Н БЕРДЮЖСКИЙ</v>
      </c>
      <c r="R222" t="str">
        <f>""</f>
        <v/>
      </c>
      <c r="S222" t="str">
        <f>"Д КРАШЕНЁВО"</f>
        <v>Д КРАШЕНЁВО</v>
      </c>
      <c r="T222" t="str">
        <f>"УЛ СИБИРСКАЯ"</f>
        <v>УЛ СИБИРСКАЯ</v>
      </c>
      <c r="U222" s="1" t="str">
        <f>"24"</f>
        <v>24</v>
      </c>
      <c r="V222" s="1" t="str">
        <f>""</f>
        <v/>
      </c>
      <c r="W222" s="1" t="str">
        <f>""</f>
        <v/>
      </c>
      <c r="X222" s="1" t="str">
        <f>""</f>
        <v/>
      </c>
      <c r="Y222" s="1" t="str">
        <f>""</f>
        <v/>
      </c>
      <c r="Z222" t="str">
        <f>"3455421333"</f>
        <v>3455421333</v>
      </c>
      <c r="AA222" t="str">
        <f>"9829016491"</f>
        <v>9829016491</v>
      </c>
      <c r="AB222" t="str">
        <f>"9829016491"</f>
        <v>9829016491</v>
      </c>
      <c r="AC222" t="str">
        <f>"9829016491"</f>
        <v>9829016491</v>
      </c>
      <c r="AD222" t="str">
        <f>"9829016491"</f>
        <v>9829016491</v>
      </c>
      <c r="AE222" t="str">
        <f>"3455421333"</f>
        <v>3455421333</v>
      </c>
    </row>
    <row r="223" spans="1:31" x14ac:dyDescent="0.45">
      <c r="A223" t="str">
        <f>"КАРПОВА НАТАЛЬЯ НИКОЛАЕВНА"</f>
        <v>КАРПОВА НАТАЛЬЯ НИКОЛАЕВНА</v>
      </c>
      <c r="B223" t="str">
        <f>"1965-03-12"</f>
        <v>1965-03-12</v>
      </c>
      <c r="C223" t="str">
        <f>"71 09 742534"</f>
        <v>71 09 742534</v>
      </c>
      <c r="D223" t="str">
        <f>"4279016740855673"</f>
        <v>4279016740855673</v>
      </c>
      <c r="E223" t="str">
        <f>"2021-06-30"</f>
        <v>2021-06-30</v>
      </c>
      <c r="F223" t="str">
        <f t="shared" si="34"/>
        <v>+</v>
      </c>
      <c r="G223" t="str">
        <f t="shared" si="33"/>
        <v>+</v>
      </c>
      <c r="H223" t="str">
        <f>"40817810116992400992"</f>
        <v>40817810116992400992</v>
      </c>
      <c r="I223" t="str">
        <f>"8647"</f>
        <v>8647</v>
      </c>
      <c r="J223" t="str">
        <f>"0186"</f>
        <v>0186</v>
      </c>
      <c r="K223" t="str">
        <f>"83000.00"</f>
        <v>83000.00</v>
      </c>
      <c r="L223" t="str">
        <f>"627440 ОБЛ ТЮМЕНСКАЯ Р-Н БЕРДЮЖСКИЙ   С БЕРДЮЖЬЕ УЛ КИРОВА д. 13"</f>
        <v>627440 ОБЛ ТЮМЕНСКАЯ Р-Н БЕРДЮЖСКИЙ   С БЕРДЮЖЬЕ УЛ КИРОВА д. 13</v>
      </c>
      <c r="M223" t="str">
        <f t="shared" si="29"/>
        <v>2019-08-24</v>
      </c>
      <c r="N223" t="str">
        <f>"БИБЛИОТЕКА ПРЕСТИЖ"</f>
        <v>БИБЛИОТЕКА ПРЕСТИЖ</v>
      </c>
      <c r="O223" t="str">
        <f>"627451"</f>
        <v>627451</v>
      </c>
      <c r="P223" t="str">
        <f>"ОБЛ ТЮМЕНСКАЯ"</f>
        <v>ОБЛ ТЮМЕНСКАЯ</v>
      </c>
      <c r="Q223" t="str">
        <f>"Р-Н БЕРДЮЖСКИЙ"</f>
        <v>Р-Н БЕРДЮЖСКИЙ</v>
      </c>
      <c r="R223" t="str">
        <f>""</f>
        <v/>
      </c>
      <c r="S223" t="str">
        <f>"С МЕЛЕХИНО"</f>
        <v>С МЕЛЕХИНО</v>
      </c>
      <c r="T223" t="str">
        <f>"УЛ ЛЕНИНА"</f>
        <v>УЛ ЛЕНИНА</v>
      </c>
      <c r="U223" s="1" t="str">
        <f>"54"</f>
        <v>54</v>
      </c>
      <c r="V223" s="1" t="str">
        <f>""</f>
        <v/>
      </c>
      <c r="W223" s="1" t="str">
        <f>""</f>
        <v/>
      </c>
      <c r="X223" s="1" t="str">
        <f>""</f>
        <v/>
      </c>
      <c r="Y223" s="1" t="str">
        <f>""</f>
        <v/>
      </c>
      <c r="Z223" t="str">
        <f>"3455421533"</f>
        <v>3455421533</v>
      </c>
      <c r="AA223" t="str">
        <f>"9220780636"</f>
        <v>9220780636</v>
      </c>
      <c r="AB223" t="str">
        <f>"9220780636"</f>
        <v>9220780636</v>
      </c>
      <c r="AC223" t="str">
        <f>"9220780636"</f>
        <v>9220780636</v>
      </c>
      <c r="AD223" t="str">
        <f>"9220780636"</f>
        <v>9220780636</v>
      </c>
      <c r="AE223" t="str">
        <f>"3455421533"</f>
        <v>3455421533</v>
      </c>
    </row>
    <row r="224" spans="1:31" x14ac:dyDescent="0.45">
      <c r="A224" t="str">
        <f>"БОГДАНОВА МАРИНА МИХАЙЛОВНА"</f>
        <v>БОГДАНОВА МАРИНА МИХАЙЛОВНА</v>
      </c>
      <c r="B224" t="str">
        <f>"1975-01-29"</f>
        <v>1975-01-29</v>
      </c>
      <c r="C224" t="str">
        <f>"75 00 610108"</f>
        <v>75 00 610108</v>
      </c>
      <c r="D224" t="str">
        <f>"4854630423478281"</f>
        <v>4854630423478281</v>
      </c>
      <c r="E224" t="str">
        <f>"2021-04-30"</f>
        <v>2021-04-30</v>
      </c>
      <c r="F224" t="str">
        <f t="shared" si="34"/>
        <v>+</v>
      </c>
      <c r="G224" t="str">
        <f t="shared" si="33"/>
        <v>+</v>
      </c>
      <c r="H224" t="str">
        <f>"40817810616991418977"</f>
        <v>40817810616991418977</v>
      </c>
      <c r="I224" t="str">
        <f>"8597"</f>
        <v>8597</v>
      </c>
      <c r="J224" t="str">
        <f>"0295"</f>
        <v>0295</v>
      </c>
      <c r="K224" t="str">
        <f>"370000.00"</f>
        <v>370000.00</v>
      </c>
      <c r="L224" t="str">
        <f>"454000 ОБЛ ЧЕЛЯБИНСКАЯ   Г ЧЕЛЯБИНСК   УЛ ГЕРОЕВ ТАНКОГРАДА д. 80 корп. П"</f>
        <v>454000 ОБЛ ЧЕЛЯБИНСКАЯ   Г ЧЕЛЯБИНСК   УЛ ГЕРОЕВ ТАНКОГРАДА д. 80 корп. П</v>
      </c>
      <c r="M224" t="str">
        <f t="shared" si="29"/>
        <v>2019-08-24</v>
      </c>
      <c r="N224" t="str">
        <f>"ОАО ЧЭМК"</f>
        <v>ОАО ЧЭМК</v>
      </c>
      <c r="O224" t="str">
        <f>"454000"</f>
        <v>454000</v>
      </c>
      <c r="P224" t="str">
        <f>"ОБЛ ЧЕЛЯБИНСКАЯ"</f>
        <v>ОБЛ ЧЕЛЯБИНСКАЯ</v>
      </c>
      <c r="Q224" t="str">
        <f>""</f>
        <v/>
      </c>
      <c r="R224" t="str">
        <f>"Г КОПЕЙСК"</f>
        <v>Г КОПЕЙСК</v>
      </c>
      <c r="S224" t="str">
        <f>""</f>
        <v/>
      </c>
      <c r="T224" t="str">
        <f>"УЛ ОБУХОВА"</f>
        <v>УЛ ОБУХОВА</v>
      </c>
      <c r="U224" s="1" t="str">
        <f>"34"</f>
        <v>34</v>
      </c>
      <c r="V224" s="1" t="str">
        <f>""</f>
        <v/>
      </c>
      <c r="W224" s="1" t="str">
        <f>""</f>
        <v/>
      </c>
      <c r="X224" s="1" t="str">
        <f>""</f>
        <v/>
      </c>
      <c r="Y224" s="1" t="str">
        <f>"25"</f>
        <v>25</v>
      </c>
      <c r="Z224" t="str">
        <f>"9080534398"</f>
        <v>9080534398</v>
      </c>
      <c r="AA224" t="str">
        <f>"9080534398"</f>
        <v>9080534398</v>
      </c>
      <c r="AB224" t="str">
        <f>"9080534398"</f>
        <v>9080534398</v>
      </c>
      <c r="AC224" t="str">
        <f>"9080534398"</f>
        <v>9080534398</v>
      </c>
      <c r="AD224" t="str">
        <f>"9080534398"</f>
        <v>9080534398</v>
      </c>
      <c r="AE224" t="str">
        <f>""</f>
        <v/>
      </c>
    </row>
    <row r="225" spans="1:31" x14ac:dyDescent="0.45">
      <c r="A225" t="str">
        <f>"ЕГОРОВ ВЛАДИМИР СЕРГЕЕВИЧ"</f>
        <v>ЕГОРОВ ВЛАДИМИР СЕРГЕЕВИЧ</v>
      </c>
      <c r="B225" t="str">
        <f>"1974-06-02"</f>
        <v>1974-06-02</v>
      </c>
      <c r="C225" t="str">
        <f>"71 19 442825"</f>
        <v>71 19 442825</v>
      </c>
      <c r="D225" t="str">
        <f>"4279016721810044"</f>
        <v>4279016721810044</v>
      </c>
      <c r="E225" t="str">
        <f t="shared" ref="E225:E242" si="35">"2021-05-31"</f>
        <v>2021-05-31</v>
      </c>
      <c r="F225" t="str">
        <f t="shared" si="34"/>
        <v>+</v>
      </c>
      <c r="G225" t="str">
        <f t="shared" si="33"/>
        <v>+</v>
      </c>
      <c r="H225" t="str">
        <f>"40817810316992404264"</f>
        <v>40817810316992404264</v>
      </c>
      <c r="I225" t="str">
        <f>"8647"</f>
        <v>8647</v>
      </c>
      <c r="J225" t="str">
        <f>"0186"</f>
        <v>0186</v>
      </c>
      <c r="K225" t="str">
        <f>"37000.00"</f>
        <v>37000.00</v>
      </c>
      <c r="L225" t="str">
        <f>"620000 ОБЛ СВЕРДЛОВСКАЯ   Г ЕКАТЕРИНБУРГ   УЛ МОНТАЖНИКОВ д. 106"</f>
        <v>620000 ОБЛ СВЕРДЛОВСКАЯ   Г ЕКАТЕРИНБУРГ   УЛ МОНТАЖНИКОВ д. 106</v>
      </c>
      <c r="M225" t="str">
        <f t="shared" si="29"/>
        <v>2019-08-24</v>
      </c>
      <c r="N225" t="str">
        <f>"ФГУП УВО МИНТРАНСА РОССИИ"</f>
        <v>ФГУП УВО МИНТРАНСА РОССИИ</v>
      </c>
      <c r="O225" t="str">
        <f>"627750"</f>
        <v>627750</v>
      </c>
      <c r="P225" t="str">
        <f>"ОБЛ ТЮМЕНСКАЯ"</f>
        <v>ОБЛ ТЮМЕНСКАЯ</v>
      </c>
      <c r="Q225" t="str">
        <f>""</f>
        <v/>
      </c>
      <c r="R225" t="str">
        <f>"Г ИШИМ"</f>
        <v>Г ИШИМ</v>
      </c>
      <c r="S225" t="str">
        <f>""</f>
        <v/>
      </c>
      <c r="T225" t="str">
        <f>"УЛ СВЕРДЛОВА"</f>
        <v>УЛ СВЕРДЛОВА</v>
      </c>
      <c r="U225" s="1" t="str">
        <f>"10"</f>
        <v>10</v>
      </c>
      <c r="V225" s="1" t="str">
        <f>""</f>
        <v/>
      </c>
      <c r="W225" s="1" t="str">
        <f>""</f>
        <v/>
      </c>
      <c r="X225" s="1" t="str">
        <f>""</f>
        <v/>
      </c>
      <c r="Y225" s="1" t="str">
        <f>"35"</f>
        <v>35</v>
      </c>
      <c r="Z225" t="str">
        <f>"34551 62423"</f>
        <v>34551 62423</v>
      </c>
      <c r="AA225" t="str">
        <f>"3455170152"</f>
        <v>3455170152</v>
      </c>
      <c r="AB225" t="str">
        <f>"9504836170"</f>
        <v>9504836170</v>
      </c>
      <c r="AC225" t="str">
        <f>"3455128151"</f>
        <v>3455128151</v>
      </c>
      <c r="AD225" t="str">
        <f>"9504836170"</f>
        <v>9504836170</v>
      </c>
      <c r="AE225" t="str">
        <f>""</f>
        <v/>
      </c>
    </row>
    <row r="226" spans="1:31" x14ac:dyDescent="0.45">
      <c r="A226" t="str">
        <f>"ИВАНОВ НИКОЛАЙ ВАЛЕРЬЕВИЧ"</f>
        <v>ИВАНОВ НИКОЛАЙ ВАЛЕРЬЕВИЧ</v>
      </c>
      <c r="B226" t="str">
        <f>"1978-02-27"</f>
        <v>1978-02-27</v>
      </c>
      <c r="C226" t="str">
        <f>"71 11 893133"</f>
        <v>71 11 893133</v>
      </c>
      <c r="D226" t="str">
        <f>"4279016729801789"</f>
        <v>4279016729801789</v>
      </c>
      <c r="E226" t="str">
        <f t="shared" si="35"/>
        <v>2021-05-31</v>
      </c>
      <c r="F226" t="str">
        <f t="shared" si="34"/>
        <v>+</v>
      </c>
      <c r="G226" t="str">
        <f t="shared" si="33"/>
        <v>+</v>
      </c>
      <c r="H226" t="str">
        <f>"40817810516992065652"</f>
        <v>40817810516992065652</v>
      </c>
      <c r="I226" t="str">
        <f>"8647"</f>
        <v>8647</v>
      </c>
      <c r="J226" t="str">
        <f>"0095"</f>
        <v>0095</v>
      </c>
      <c r="K226" t="str">
        <f>"175000.00"</f>
        <v>175000.00</v>
      </c>
      <c r="L226" t="str">
        <f>"625000 ОБЛ ТЮМЕНСКАЯ   Г ТЮМЕНЬ   УЛ ГАЗОВИКОВ д. 51 стр. 1"</f>
        <v>625000 ОБЛ ТЮМЕНСКАЯ   Г ТЮМЕНЬ   УЛ ГАЗОВИКОВ д. 51 стр. 1</v>
      </c>
      <c r="M226" t="str">
        <f t="shared" si="29"/>
        <v>2019-08-24</v>
      </c>
      <c r="N226" t="str">
        <f>"ООО НИКА"</f>
        <v>ООО НИКА</v>
      </c>
      <c r="O226" t="str">
        <f>"625000"</f>
        <v>625000</v>
      </c>
      <c r="P226" t="str">
        <f>"ОБЛ ТЮМЕНСКАЯ"</f>
        <v>ОБЛ ТЮМЕНСКАЯ</v>
      </c>
      <c r="Q226" t="str">
        <f>""</f>
        <v/>
      </c>
      <c r="R226" t="str">
        <f>"Г ТЮМЕНЬ"</f>
        <v>Г ТЮМЕНЬ</v>
      </c>
      <c r="S226" t="str">
        <f>""</f>
        <v/>
      </c>
      <c r="T226" t="str">
        <f>"УЛ НИКОЛАЯ ЗЕЛИНСКОГО"</f>
        <v>УЛ НИКОЛАЯ ЗЕЛИНСКОГО</v>
      </c>
      <c r="U226" s="1" t="str">
        <f>"23"</f>
        <v>23</v>
      </c>
      <c r="V226" s="1" t="str">
        <f>""</f>
        <v/>
      </c>
      <c r="W226" s="1" t="str">
        <f>""</f>
        <v/>
      </c>
      <c r="X226" s="1" t="str">
        <f>""</f>
        <v/>
      </c>
      <c r="Y226" s="1" t="str">
        <f>"193"</f>
        <v>193</v>
      </c>
      <c r="Z226" t="str">
        <f>"+7 (908) 8720496"</f>
        <v>+7 (908) 8720496</v>
      </c>
      <c r="AA226" t="str">
        <f>"+7 (3452) 470972"</f>
        <v>+7 (3452) 470972</v>
      </c>
      <c r="AB226" t="str">
        <f>"+7 (908) 8710496"</f>
        <v>+7 (908) 8710496</v>
      </c>
      <c r="AC226" t="str">
        <f>"9829056006"</f>
        <v>9829056006</v>
      </c>
      <c r="AD226" t="str">
        <f>"9829056006"</f>
        <v>9829056006</v>
      </c>
      <c r="AE226" t="str">
        <f>"9088720496"</f>
        <v>9088720496</v>
      </c>
    </row>
    <row r="227" spans="1:31" x14ac:dyDescent="0.45">
      <c r="A227" t="str">
        <f>"ТИМОФЕЕВ АНТОН СЕРГЕЕВИЧ"</f>
        <v>ТИМОФЕЕВ АНТОН СЕРГЕЕВИЧ</v>
      </c>
      <c r="B227" t="str">
        <f>"1991-02-01"</f>
        <v>1991-02-01</v>
      </c>
      <c r="C227" t="str">
        <f>"65 10 904830"</f>
        <v>65 10 904830</v>
      </c>
      <c r="D227" t="str">
        <f>"4279011660151708"</f>
        <v>4279011660151708</v>
      </c>
      <c r="E227" t="str">
        <f t="shared" si="35"/>
        <v>2021-05-31</v>
      </c>
      <c r="F227" t="str">
        <f t="shared" si="34"/>
        <v>+</v>
      </c>
      <c r="G227" t="str">
        <f t="shared" si="33"/>
        <v>+</v>
      </c>
      <c r="H227" t="str">
        <f>"40817810616991419138"</f>
        <v>40817810616991419138</v>
      </c>
      <c r="I227" t="str">
        <f>"7003"</f>
        <v>7003</v>
      </c>
      <c r="J227" t="str">
        <f>"0481"</f>
        <v>0481</v>
      </c>
      <c r="K227" t="str">
        <f>"70000.00"</f>
        <v>70000.00</v>
      </c>
      <c r="L227" t="str">
        <f>"620000 ОБЛ СВЕРДЛОВСКАЯ   Г СЫСЕРТЬ   УЛ ЛЕНИНА д. 30"</f>
        <v>620000 ОБЛ СВЕРДЛОВСКАЯ   Г СЫСЕРТЬ   УЛ ЛЕНИНА д. 30</v>
      </c>
      <c r="M227" t="str">
        <f t="shared" si="29"/>
        <v>2019-08-24</v>
      </c>
      <c r="N227" t="str">
        <f>"ПАО СБЕРБАНК"</f>
        <v>ПАО СБЕРБАНК</v>
      </c>
      <c r="O227" t="str">
        <f>"620000"</f>
        <v>620000</v>
      </c>
      <c r="P227" t="str">
        <f>"ОБЛ СВЕРДЛОВСКАЯ"</f>
        <v>ОБЛ СВЕРДЛОВСКАЯ</v>
      </c>
      <c r="Q227" t="str">
        <f>""</f>
        <v/>
      </c>
      <c r="R227" t="str">
        <f>"Г СЫСЕРТЬ"</f>
        <v>Г СЫСЕРТЬ</v>
      </c>
      <c r="S227" t="str">
        <f>""</f>
        <v/>
      </c>
      <c r="T227" t="str">
        <f>"УЛ КАРЛА МАРКСА"</f>
        <v>УЛ КАРЛА МАРКСА</v>
      </c>
      <c r="U227" s="1" t="str">
        <f>"87"</f>
        <v>87</v>
      </c>
      <c r="V227" s="1" t="str">
        <f>""</f>
        <v/>
      </c>
      <c r="W227" s="1" t="str">
        <f>""</f>
        <v/>
      </c>
      <c r="X227" s="1" t="str">
        <f>""</f>
        <v/>
      </c>
      <c r="Y227" s="1" t="str">
        <f>"96"</f>
        <v>96</v>
      </c>
      <c r="Z227" t="str">
        <f>""</f>
        <v/>
      </c>
      <c r="AA227" t="str">
        <f>"9655379367"</f>
        <v>9655379367</v>
      </c>
      <c r="AB227" t="str">
        <f>"9655379367"</f>
        <v>9655379367</v>
      </c>
      <c r="AC227" t="str">
        <f>"9655379367"</f>
        <v>9655379367</v>
      </c>
      <c r="AD227" t="str">
        <f>"9655379367"</f>
        <v>9655379367</v>
      </c>
      <c r="AE227" t="str">
        <f>""</f>
        <v/>
      </c>
    </row>
    <row r="228" spans="1:31" x14ac:dyDescent="0.45">
      <c r="A228" t="str">
        <f>"БАШАЕВ ИЛЬЯ ГЕННАДЬЕВИЧ"</f>
        <v>БАШАЕВ ИЛЬЯ ГЕННАДЬЕВИЧ</v>
      </c>
      <c r="B228" t="str">
        <f>"1986-07-03"</f>
        <v>1986-07-03</v>
      </c>
      <c r="C228" t="str">
        <f>"75 05 836709"</f>
        <v>75 05 836709</v>
      </c>
      <c r="D228" t="str">
        <f>"4279011662790909"</f>
        <v>4279011662790909</v>
      </c>
      <c r="E228" t="str">
        <f t="shared" si="35"/>
        <v>2021-05-31</v>
      </c>
      <c r="F228" t="str">
        <f t="shared" si="34"/>
        <v>+</v>
      </c>
      <c r="G228" t="str">
        <f t="shared" si="33"/>
        <v>+</v>
      </c>
      <c r="H228" t="str">
        <f>"40817810616991419141"</f>
        <v>40817810616991419141</v>
      </c>
      <c r="I228" t="str">
        <f>"8597"</f>
        <v>8597</v>
      </c>
      <c r="J228" t="str">
        <f>"0223"</f>
        <v>0223</v>
      </c>
      <c r="K228" t="str">
        <f>"15000.00"</f>
        <v>15000.00</v>
      </c>
      <c r="L228" t="str">
        <f>"454000 ОБЛ ЧЕЛЯБИНСКАЯ   Г ЧЕЛЯБИНСК   Ш КОПЕЙСКОЕ д. 35 корп. Б"</f>
        <v>454000 ОБЛ ЧЕЛЯБИНСКАЯ   Г ЧЕЛЯБИНСК   Ш КОПЕЙСКОЕ д. 35 корп. Б</v>
      </c>
      <c r="M228" t="str">
        <f t="shared" si="29"/>
        <v>2019-08-24</v>
      </c>
      <c r="N228" t="str">
        <f>"ООО НАВИТА"</f>
        <v>ООО НАВИТА</v>
      </c>
      <c r="O228" t="str">
        <f>"454000"</f>
        <v>454000</v>
      </c>
      <c r="P228" t="str">
        <f>"ОБЛ ЧЕЛЯБИНСКАЯ"</f>
        <v>ОБЛ ЧЕЛЯБИНСКАЯ</v>
      </c>
      <c r="Q228" t="str">
        <f>""</f>
        <v/>
      </c>
      <c r="R228" t="str">
        <f>"Г ЧЕЛЯБИНСК"</f>
        <v>Г ЧЕЛЯБИНСК</v>
      </c>
      <c r="S228" t="str">
        <f>""</f>
        <v/>
      </c>
      <c r="T228" t="str">
        <f>"УЛ УНИВЕРСИТЕТСКАЯ НАБЕРЕЖНАЯ"</f>
        <v>УЛ УНИВЕРСИТЕТСКАЯ НАБЕРЕЖНАЯ</v>
      </c>
      <c r="U228" s="1" t="str">
        <f>"48"</f>
        <v>48</v>
      </c>
      <c r="V228" s="1" t="str">
        <f>""</f>
        <v/>
      </c>
      <c r="W228" s="1" t="str">
        <f>""</f>
        <v/>
      </c>
      <c r="X228" s="1" t="str">
        <f>""</f>
        <v/>
      </c>
      <c r="Y228" s="1" t="str">
        <f>"100"</f>
        <v>100</v>
      </c>
      <c r="Z228" t="str">
        <f>"351 2685429"</f>
        <v>351 2685429</v>
      </c>
      <c r="AA228" t="str">
        <f>"9514450720"</f>
        <v>9514450720</v>
      </c>
      <c r="AB228" t="str">
        <f>"9507275779"</f>
        <v>9507275779</v>
      </c>
      <c r="AC228" t="str">
        <f>"9514450720"</f>
        <v>9514450720</v>
      </c>
      <c r="AD228" t="str">
        <f>"9507275779"</f>
        <v>9507275779</v>
      </c>
      <c r="AE228" t="str">
        <f>""</f>
        <v/>
      </c>
    </row>
    <row r="229" spans="1:31" x14ac:dyDescent="0.45">
      <c r="A229" t="str">
        <f>"ФАТХУТДИНОВА ЛАРИСА РАФИСОВНА"</f>
        <v>ФАТХУТДИНОВА ЛАРИСА РАФИСОВНА</v>
      </c>
      <c r="B229" t="str">
        <f>"1980-01-27"</f>
        <v>1980-01-27</v>
      </c>
      <c r="C229" t="str">
        <f>"80 05 168512"</f>
        <v>80 05 168512</v>
      </c>
      <c r="D229" t="str">
        <f>"4279011690985307"</f>
        <v>4279011690985307</v>
      </c>
      <c r="E229" t="str">
        <f t="shared" si="35"/>
        <v>2021-05-31</v>
      </c>
      <c r="F229" t="str">
        <f t="shared" si="34"/>
        <v>+</v>
      </c>
      <c r="G229" t="str">
        <f t="shared" si="33"/>
        <v>+</v>
      </c>
      <c r="H229" t="str">
        <f>"40817810916991419142"</f>
        <v>40817810916991419142</v>
      </c>
      <c r="I229" t="str">
        <f>"8598"</f>
        <v>8598</v>
      </c>
      <c r="J229" t="str">
        <f>"0539"</f>
        <v>0539</v>
      </c>
      <c r="K229" t="str">
        <f>"200000.00"</f>
        <v>200000.00</v>
      </c>
      <c r="L229" t="str">
        <f>"452960 РЕСП БАШКОРТОСТАН АО БУРАЕВСКИЙ   С БУРАЕВО УЛ ХИМИКОВ д. 4 кв. 0"</f>
        <v>452960 РЕСП БАШКОРТОСТАН АО БУРАЕВСКИЙ   С БУРАЕВО УЛ ХИМИКОВ д. 4 кв. 0</v>
      </c>
      <c r="M229" t="str">
        <f t="shared" si="29"/>
        <v>2019-08-24</v>
      </c>
      <c r="N229" t="str">
        <f>"БАШКИРАВТОДОР"</f>
        <v>БАШКИРАВТОДОР</v>
      </c>
      <c r="O229" t="str">
        <f>"452960"</f>
        <v>452960</v>
      </c>
      <c r="P229" t="str">
        <f>"РЕСП БАШКОРТОСТАН"</f>
        <v>РЕСП БАШКОРТОСТАН</v>
      </c>
      <c r="Q229" t="str">
        <f>"Р-Н БУРАЕВСКИЙ"</f>
        <v>Р-Н БУРАЕВСКИЙ</v>
      </c>
      <c r="R229" t="str">
        <f>""</f>
        <v/>
      </c>
      <c r="S229" t="str">
        <f>"С БУРАЕВО"</f>
        <v>С БУРАЕВО</v>
      </c>
      <c r="T229" t="str">
        <f>"УЛ СОЛНЕЧНАЯ"</f>
        <v>УЛ СОЛНЕЧНАЯ</v>
      </c>
      <c r="U229" s="1" t="str">
        <f>"29"</f>
        <v>29</v>
      </c>
      <c r="V229" s="1" t="str">
        <f>""</f>
        <v/>
      </c>
      <c r="W229" s="1" t="str">
        <f>""</f>
        <v/>
      </c>
      <c r="X229" s="1" t="str">
        <f>""</f>
        <v/>
      </c>
      <c r="Y229" s="1" t="str">
        <f>""</f>
        <v/>
      </c>
      <c r="Z229" t="str">
        <f>"3475623787"</f>
        <v>3475623787</v>
      </c>
      <c r="AA229" t="str">
        <f>"3475623787"</f>
        <v>3475623787</v>
      </c>
      <c r="AB229" t="str">
        <f>"9371552247"</f>
        <v>9371552247</v>
      </c>
      <c r="AC229" t="str">
        <f>"3475623787"</f>
        <v>3475623787</v>
      </c>
      <c r="AD229" t="str">
        <f>"9371552247"</f>
        <v>9371552247</v>
      </c>
      <c r="AE229" t="str">
        <f>"3475623787"</f>
        <v>3475623787</v>
      </c>
    </row>
    <row r="230" spans="1:31" x14ac:dyDescent="0.45">
      <c r="A230" t="str">
        <f>"КОЗИЦЫНА ЕЛЕНА ВАЛЕРЬЕВНА"</f>
        <v>КОЗИЦЫНА ЕЛЕНА ВАЛЕРЬЕВНА</v>
      </c>
      <c r="B230" t="str">
        <f>"1982-07-14"</f>
        <v>1982-07-14</v>
      </c>
      <c r="C230" t="str">
        <f>"75 04 129278"</f>
        <v>75 04 129278</v>
      </c>
      <c r="D230" t="str">
        <f>"4279011614468000"</f>
        <v>4279011614468000</v>
      </c>
      <c r="E230" t="str">
        <f t="shared" si="35"/>
        <v>2021-05-31</v>
      </c>
      <c r="F230" t="str">
        <f t="shared" si="34"/>
        <v>+</v>
      </c>
      <c r="G230" t="str">
        <f t="shared" si="33"/>
        <v>+</v>
      </c>
      <c r="H230" t="str">
        <f>"40817810516991419144"</f>
        <v>40817810516991419144</v>
      </c>
      <c r="I230" t="str">
        <f>"8597"</f>
        <v>8597</v>
      </c>
      <c r="J230" t="str">
        <f>"0476"</f>
        <v>0476</v>
      </c>
      <c r="K230" t="str">
        <f>"20000.00"</f>
        <v>20000.00</v>
      </c>
      <c r="L230" t="str">
        <f>"454000 ОБЛ ЧЕЛЯБИНСКАЯ   Г КОРКИНО   УЛ КАЛИНИНА д. 14 кв. 5"</f>
        <v>454000 ОБЛ ЧЕЛЯБИНСКАЯ   Г КОРКИНО   УЛ КАЛИНИНА д. 14 кв. 5</v>
      </c>
      <c r="M230" t="str">
        <f t="shared" si="29"/>
        <v>2019-08-24</v>
      </c>
      <c r="N230" t="str">
        <f>"ИП КОЗИЦЫНА"</f>
        <v>ИП КОЗИЦЫНА</v>
      </c>
      <c r="O230" t="str">
        <f>"454000"</f>
        <v>454000</v>
      </c>
      <c r="P230" t="str">
        <f>"ОБЛ ЧЕЛЯБИНСКАЯ"</f>
        <v>ОБЛ ЧЕЛЯБИНСКАЯ</v>
      </c>
      <c r="Q230" t="str">
        <f>""</f>
        <v/>
      </c>
      <c r="R230" t="str">
        <f>"Г КОРКИНО"</f>
        <v>Г КОРКИНО</v>
      </c>
      <c r="S230" t="str">
        <f>""</f>
        <v/>
      </c>
      <c r="T230" t="str">
        <f>"УЛ КАЛИНИНА"</f>
        <v>УЛ КАЛИНИНА</v>
      </c>
      <c r="U230" s="1" t="str">
        <f>"14"</f>
        <v>14</v>
      </c>
      <c r="V230" s="1" t="str">
        <f>""</f>
        <v/>
      </c>
      <c r="W230" s="1" t="str">
        <f>""</f>
        <v/>
      </c>
      <c r="X230" s="1" t="str">
        <f>""</f>
        <v/>
      </c>
      <c r="Y230" s="1" t="str">
        <f>"5"</f>
        <v>5</v>
      </c>
      <c r="Z230" t="str">
        <f>""</f>
        <v/>
      </c>
      <c r="AA230" t="str">
        <f>"9043081807"</f>
        <v>9043081807</v>
      </c>
      <c r="AB230" t="str">
        <f>"9043082236"</f>
        <v>9043082236</v>
      </c>
      <c r="AC230" t="str">
        <f>"9043081807"</f>
        <v>9043081807</v>
      </c>
      <c r="AD230" t="str">
        <f>"9043082236"</f>
        <v>9043082236</v>
      </c>
      <c r="AE230" t="str">
        <f>""</f>
        <v/>
      </c>
    </row>
    <row r="231" spans="1:31" x14ac:dyDescent="0.45">
      <c r="A231" t="str">
        <f>"ДЕШИН ИЛЬЯ АЛЕКСЕЕВИЧ"</f>
        <v>ДЕШИН ИЛЬЯ АЛЕКСЕЕВИЧ</v>
      </c>
      <c r="B231" t="str">
        <f>"1996-04-10"</f>
        <v>1996-04-10</v>
      </c>
      <c r="C231" t="str">
        <f>"80 15 251877"</f>
        <v>80 15 251877</v>
      </c>
      <c r="D231" t="str">
        <f>"4279011650579991"</f>
        <v>4279011650579991</v>
      </c>
      <c r="E231" t="str">
        <f t="shared" si="35"/>
        <v>2021-05-31</v>
      </c>
      <c r="F231" t="str">
        <f t="shared" si="34"/>
        <v>+</v>
      </c>
      <c r="G231" t="str">
        <f t="shared" si="33"/>
        <v>+</v>
      </c>
      <c r="H231" t="str">
        <f>"40817810416991419147"</f>
        <v>40817810416991419147</v>
      </c>
      <c r="I231" t="str">
        <f>"8598"</f>
        <v>8598</v>
      </c>
      <c r="J231" t="str">
        <f>"0606"</f>
        <v>0606</v>
      </c>
      <c r="K231" t="str">
        <f>"200000.00"</f>
        <v>200000.00</v>
      </c>
      <c r="L231" t="str">
        <f>"450000 РЕСП БАШКОРТОСТАН   Г УФА   УЛ 50 ЛЕТ ОКТЯБРЯ д. 24"</f>
        <v>450000 РЕСП БАШКОРТОСТАН   Г УФА   УЛ 50 ЛЕТ ОКТЯБРЯ д. 24</v>
      </c>
      <c r="M231" t="str">
        <f t="shared" si="29"/>
        <v>2019-08-24</v>
      </c>
      <c r="N231" t="str">
        <f>"ООО СНЭМАСЕРВИС"</f>
        <v>ООО СНЭМАСЕРВИС</v>
      </c>
      <c r="O231" t="str">
        <f>"452920"</f>
        <v>452920</v>
      </c>
      <c r="P231" t="str">
        <f>"РЕСП БАШКОРТОСТАН"</f>
        <v>РЕСП БАШКОРТОСТАН</v>
      </c>
      <c r="Q231" t="str">
        <f>""</f>
        <v/>
      </c>
      <c r="R231" t="str">
        <f>"Г АГИДЕЛЬ"</f>
        <v>Г АГИДЕЛЬ</v>
      </c>
      <c r="S231" t="str">
        <f>""</f>
        <v/>
      </c>
      <c r="T231" t="str">
        <f>"УЛ СТУДЕНЧЕСКАЯ"</f>
        <v>УЛ СТУДЕНЧЕСКАЯ</v>
      </c>
      <c r="U231" s="1" t="str">
        <f>"14"</f>
        <v>14</v>
      </c>
      <c r="V231" s="1" t="str">
        <f>""</f>
        <v/>
      </c>
      <c r="W231" s="1" t="str">
        <f>""</f>
        <v/>
      </c>
      <c r="X231" s="1" t="str">
        <f>""</f>
        <v/>
      </c>
      <c r="Y231" s="1" t="str">
        <f>"49"</f>
        <v>49</v>
      </c>
      <c r="Z231" t="str">
        <f>""</f>
        <v/>
      </c>
      <c r="AA231" t="str">
        <f>"9193239311"</f>
        <v>9193239311</v>
      </c>
      <c r="AB231" t="str">
        <f>"9177478711"</f>
        <v>9177478711</v>
      </c>
      <c r="AC231" t="str">
        <f>"9193239311"</f>
        <v>9193239311</v>
      </c>
      <c r="AD231" t="str">
        <f>"9177478711"</f>
        <v>9177478711</v>
      </c>
      <c r="AE231" t="str">
        <f>""</f>
        <v/>
      </c>
    </row>
    <row r="232" spans="1:31" x14ac:dyDescent="0.45">
      <c r="A232" t="str">
        <f>"ЧЕБУКОВ ЮРИЙ СЕРГЕЕВИЧ"</f>
        <v>ЧЕБУКОВ ЮРИЙ СЕРГЕЕВИЧ</v>
      </c>
      <c r="B232" t="str">
        <f>"1985-01-14"</f>
        <v>1985-01-14</v>
      </c>
      <c r="C232" t="str">
        <f>"75 04 611880"</f>
        <v>75 04 611880</v>
      </c>
      <c r="D232" t="str">
        <f>"4279011614886383"</f>
        <v>4279011614886383</v>
      </c>
      <c r="E232" t="str">
        <f t="shared" si="35"/>
        <v>2021-05-31</v>
      </c>
      <c r="F232" t="str">
        <f t="shared" si="34"/>
        <v>+</v>
      </c>
      <c r="G232" t="str">
        <f t="shared" si="33"/>
        <v>+</v>
      </c>
      <c r="H232" t="str">
        <f>"40817810716991419148"</f>
        <v>40817810716991419148</v>
      </c>
      <c r="I232" t="str">
        <f>"8597"</f>
        <v>8597</v>
      </c>
      <c r="J232" t="str">
        <f>"0436"</f>
        <v>0436</v>
      </c>
      <c r="K232" t="str">
        <f>"170000.00"</f>
        <v>170000.00</v>
      </c>
      <c r="L232" t="str">
        <f>"454000 ОБЛ ЧЕЛЯБИНСКАЯ   Г ОЗЕРСК   УЛ ЧЕЛЯБИНСКАЯ д. 30"</f>
        <v>454000 ОБЛ ЧЕЛЯБИНСКАЯ   Г ОЗЕРСК   УЛ ЧЕЛЯБИНСКАЯ д. 30</v>
      </c>
      <c r="M232" t="str">
        <f t="shared" si="29"/>
        <v>2019-08-24</v>
      </c>
      <c r="N232" t="str">
        <f>"УЗТО"</f>
        <v>УЗТО</v>
      </c>
      <c r="O232" t="str">
        <f>"454000"</f>
        <v>454000</v>
      </c>
      <c r="P232" t="str">
        <f>"ОБЛ ЧЕЛЯБИНСКАЯ"</f>
        <v>ОБЛ ЧЕЛЯБИНСКАЯ</v>
      </c>
      <c r="Q232" t="str">
        <f>""</f>
        <v/>
      </c>
      <c r="R232" t="str">
        <f>"Г ОЗЕРСК"</f>
        <v>Г ОЗЕРСК</v>
      </c>
      <c r="S232" t="str">
        <f>""</f>
        <v/>
      </c>
      <c r="T232" t="str">
        <f>"УЛ ЛУНАЧАРСКОГО"</f>
        <v>УЛ ЛУНАЧАРСКОГО</v>
      </c>
      <c r="U232" s="1" t="str">
        <f>"27"</f>
        <v>27</v>
      </c>
      <c r="V232" s="1" t="str">
        <f>""</f>
        <v/>
      </c>
      <c r="W232" s="1" t="str">
        <f>""</f>
        <v/>
      </c>
      <c r="X232" s="1" t="str">
        <f>""</f>
        <v/>
      </c>
      <c r="Y232" s="1" t="str">
        <f>"13"</f>
        <v>13</v>
      </c>
      <c r="Z232" t="str">
        <f>""</f>
        <v/>
      </c>
      <c r="AA232" t="str">
        <f>"3513073897"</f>
        <v>3513073897</v>
      </c>
      <c r="AB232" t="str">
        <f>"9080528401"</f>
        <v>9080528401</v>
      </c>
      <c r="AC232" t="str">
        <f>"9080528401"</f>
        <v>9080528401</v>
      </c>
      <c r="AD232" t="str">
        <f>"9080528401"</f>
        <v>9080528401</v>
      </c>
      <c r="AE232" t="str">
        <f>""</f>
        <v/>
      </c>
    </row>
    <row r="233" spans="1:31" x14ac:dyDescent="0.45">
      <c r="A233" t="str">
        <f>"ДМИТРИЕВА ЕЛЕНА ВЛАДИМИРОВНА"</f>
        <v>ДМИТРИЕВА ЕЛЕНА ВЛАДИМИРОВНА</v>
      </c>
      <c r="B233" t="str">
        <f>"1971-01-05"</f>
        <v>1971-01-05</v>
      </c>
      <c r="C233" t="str">
        <f>"75 15 757244"</f>
        <v>75 15 757244</v>
      </c>
      <c r="D233" t="str">
        <f>"4279011648359175"</f>
        <v>4279011648359175</v>
      </c>
      <c r="E233" t="str">
        <f t="shared" si="35"/>
        <v>2021-05-31</v>
      </c>
      <c r="F233" t="str">
        <f t="shared" si="34"/>
        <v>+</v>
      </c>
      <c r="G233" t="str">
        <f t="shared" si="34"/>
        <v>+</v>
      </c>
      <c r="H233" t="str">
        <f>"40817810016991419149"</f>
        <v>40817810016991419149</v>
      </c>
      <c r="I233" t="str">
        <f>"8597"</f>
        <v>8597</v>
      </c>
      <c r="J233" t="str">
        <f>"0528"</f>
        <v>0528</v>
      </c>
      <c r="K233" t="str">
        <f>"50000.00"</f>
        <v>50000.00</v>
      </c>
      <c r="L233" t="str">
        <f>"454000 ОБЛ ЧЕЛЯБИНСКАЯ   Г ЧЕБАРКУЛЬ   М КИСЕГАЧ"</f>
        <v>454000 ОБЛ ЧЕЛЯБИНСКАЯ   Г ЧЕБАРКУЛЬ   М КИСЕГАЧ</v>
      </c>
      <c r="M233" t="str">
        <f t="shared" si="29"/>
        <v>2019-08-24</v>
      </c>
      <c r="N233" t="str">
        <f>"СК УТЕС"</f>
        <v>СК УТЕС</v>
      </c>
      <c r="O233" t="str">
        <f>"454000"</f>
        <v>454000</v>
      </c>
      <c r="P233" t="str">
        <f>"ОБЛ ЧЕЛЯБИНСКАЯ"</f>
        <v>ОБЛ ЧЕЛЯБИНСКАЯ</v>
      </c>
      <c r="Q233" t="str">
        <f>""</f>
        <v/>
      </c>
      <c r="R233" t="str">
        <f>"Г МИАСС"</f>
        <v>Г МИАСС</v>
      </c>
      <c r="S233" t="str">
        <f>""</f>
        <v/>
      </c>
      <c r="T233" t="str">
        <f>"УЛ 30 ЛЕТ ВЛКСМ"</f>
        <v>УЛ 30 ЛЕТ ВЛКСМ</v>
      </c>
      <c r="U233" s="1" t="str">
        <f>"51"</f>
        <v>51</v>
      </c>
      <c r="V233" s="1" t="str">
        <f>""</f>
        <v/>
      </c>
      <c r="W233" s="1" t="str">
        <f>""</f>
        <v/>
      </c>
      <c r="X233" s="1" t="str">
        <f>""</f>
        <v/>
      </c>
      <c r="Y233" s="1" t="str">
        <f>""</f>
        <v/>
      </c>
      <c r="Z233" t="str">
        <f>""</f>
        <v/>
      </c>
      <c r="AA233" t="str">
        <f>"9028673328"</f>
        <v>9028673328</v>
      </c>
      <c r="AB233" t="str">
        <f>"9193187735"</f>
        <v>9193187735</v>
      </c>
      <c r="AC233" t="str">
        <f>"9028673328"</f>
        <v>9028673328</v>
      </c>
      <c r="AD233" t="str">
        <f>"9193187735"</f>
        <v>9193187735</v>
      </c>
      <c r="AE233" t="str">
        <f>""</f>
        <v/>
      </c>
    </row>
    <row r="234" spans="1:31" x14ac:dyDescent="0.45">
      <c r="A234" t="str">
        <f>"ТИГАНОВА ОЛЬГА АЛЕКСАНДРОВНА"</f>
        <v>ТИГАНОВА ОЛЬГА АЛЕКСАНДРОВНА</v>
      </c>
      <c r="B234" t="str">
        <f>"1980-11-05"</f>
        <v>1980-11-05</v>
      </c>
      <c r="C234" t="str">
        <f>"65 03 618118"</f>
        <v>65 03 618118</v>
      </c>
      <c r="D234" t="str">
        <f>"4279011681980283"</f>
        <v>4279011681980283</v>
      </c>
      <c r="E234" t="str">
        <f t="shared" si="35"/>
        <v>2021-05-31</v>
      </c>
      <c r="F234" t="str">
        <f t="shared" si="34"/>
        <v>+</v>
      </c>
      <c r="G234" t="str">
        <f t="shared" si="34"/>
        <v>+</v>
      </c>
      <c r="H234" t="str">
        <f>"40817810716991419151"</f>
        <v>40817810716991419151</v>
      </c>
      <c r="I234" t="str">
        <f>"7003"</f>
        <v>7003</v>
      </c>
      <c r="J234" t="str">
        <f>"0418"</f>
        <v>0418</v>
      </c>
      <c r="K234" t="str">
        <f>"100000.00"</f>
        <v>100000.00</v>
      </c>
      <c r="L234" t="str">
        <f>"620000 ОБЛ СВЕРДЛОВСКАЯ   Г ЕКАТЕРИНБУРГ   УЛ ХОХРЯКОВА д. 74"</f>
        <v>620000 ОБЛ СВЕРДЛОВСКАЯ   Г ЕКАТЕРИНБУРГ   УЛ ХОХРЯКОВА д. 74</v>
      </c>
      <c r="M234" t="str">
        <f t="shared" si="29"/>
        <v>2019-08-24</v>
      </c>
      <c r="N234" t="str">
        <f>"ТУР АГЕНСТВО О-ТРЕВЕЛ"</f>
        <v>ТУР АГЕНСТВО О-ТРЕВЕЛ</v>
      </c>
      <c r="O234" t="str">
        <f>"620000"</f>
        <v>620000</v>
      </c>
      <c r="P234" t="str">
        <f>"ОБЛ СВЕРДЛОВСКАЯ"</f>
        <v>ОБЛ СВЕРДЛОВСКАЯ</v>
      </c>
      <c r="Q234" t="str">
        <f>""</f>
        <v/>
      </c>
      <c r="R234" t="str">
        <f>"Г ЕКАТЕРИНБУРГ"</f>
        <v>Г ЕКАТЕРИНБУРГ</v>
      </c>
      <c r="S234" t="str">
        <f>""</f>
        <v/>
      </c>
      <c r="T234" t="str">
        <f>"УЛ НАРОДНОЙ ВОЛИ"</f>
        <v>УЛ НАРОДНОЙ ВОЛИ</v>
      </c>
      <c r="U234" s="1" t="str">
        <f>"23"</f>
        <v>23</v>
      </c>
      <c r="V234" s="1" t="str">
        <f>""</f>
        <v/>
      </c>
      <c r="W234" s="1" t="str">
        <f>""</f>
        <v/>
      </c>
      <c r="X234" s="1" t="str">
        <f>""</f>
        <v/>
      </c>
      <c r="Y234" s="1" t="str">
        <f>"12"</f>
        <v>12</v>
      </c>
      <c r="Z234" t="str">
        <f>""</f>
        <v/>
      </c>
      <c r="AA234" t="str">
        <f>"9122465988"</f>
        <v>9122465988</v>
      </c>
      <c r="AB234" t="str">
        <f>"9122465988"</f>
        <v>9122465988</v>
      </c>
      <c r="AC234" t="str">
        <f>"9122465988"</f>
        <v>9122465988</v>
      </c>
      <c r="AD234" t="str">
        <f>"9122465988"</f>
        <v>9122465988</v>
      </c>
      <c r="AE234" t="str">
        <f>""</f>
        <v/>
      </c>
    </row>
    <row r="235" spans="1:31" x14ac:dyDescent="0.45">
      <c r="A235" t="str">
        <f>"КАРЦЕВА ЕВГЕНИЯ МИХАЙЛОВНА"</f>
        <v>КАРЦЕВА ЕВГЕНИЯ МИХАЙЛОВНА</v>
      </c>
      <c r="B235" t="str">
        <f>"1987-12-06"</f>
        <v>1987-12-06</v>
      </c>
      <c r="C235" t="str">
        <f>"80 12 608004"</f>
        <v>80 12 608004</v>
      </c>
      <c r="D235" t="str">
        <f>"4279011605952871"</f>
        <v>4279011605952871</v>
      </c>
      <c r="E235" t="str">
        <f t="shared" si="35"/>
        <v>2021-05-31</v>
      </c>
      <c r="F235" t="str">
        <f>"Q"</f>
        <v>Q</v>
      </c>
      <c r="G235" t="str">
        <f>"Q"</f>
        <v>Q</v>
      </c>
      <c r="H235" t="str">
        <f>"40817810016991419152"</f>
        <v>40817810016991419152</v>
      </c>
      <c r="I235" t="str">
        <f>"8598"</f>
        <v>8598</v>
      </c>
      <c r="J235" t="str">
        <f>"0162"</f>
        <v>0162</v>
      </c>
      <c r="K235" t="str">
        <f>"0.00"</f>
        <v>0.00</v>
      </c>
      <c r="L235" t="str">
        <f>"450000 РЕСП БАШКОРТОСТАН   Г УФА   ПР-КТ ОКТЯБРЯ д. 69 корп. 3"</f>
        <v>450000 РЕСП БАШКОРТОСТАН   Г УФА   ПР-КТ ОКТЯБРЯ д. 69 корп. 3</v>
      </c>
      <c r="M235" t="str">
        <f t="shared" si="29"/>
        <v>2019-08-24</v>
      </c>
      <c r="N235" t="str">
        <f>"АО СТРОЙТРАНСНЕФТЕГАЗ"</f>
        <v>АО СТРОЙТРАНСНЕФТЕГАЗ</v>
      </c>
      <c r="O235" t="str">
        <f>"450000"</f>
        <v>450000</v>
      </c>
      <c r="P235" t="str">
        <f>"РЕСП БАШКОРТОСТАН"</f>
        <v>РЕСП БАШКОРТОСТАН</v>
      </c>
      <c r="Q235" t="str">
        <f>""</f>
        <v/>
      </c>
      <c r="R235" t="str">
        <f>"Г УФА"</f>
        <v>Г УФА</v>
      </c>
      <c r="S235" t="str">
        <f>""</f>
        <v/>
      </c>
      <c r="T235" t="str">
        <f>"УЛ ВЛАДИВОСТОКСКАЯ"</f>
        <v>УЛ ВЛАДИВОСТОКСКАЯ</v>
      </c>
      <c r="U235" s="1" t="str">
        <f>"12"</f>
        <v>12</v>
      </c>
      <c r="V235" s="1" t="str">
        <f>""</f>
        <v/>
      </c>
      <c r="W235" s="1" t="str">
        <f>""</f>
        <v/>
      </c>
      <c r="X235" s="1" t="str">
        <f>""</f>
        <v/>
      </c>
      <c r="Y235" s="1" t="str">
        <f>"42"</f>
        <v>42</v>
      </c>
      <c r="Z235" t="str">
        <f>"9173704231"</f>
        <v>9173704231</v>
      </c>
      <c r="AA235" t="str">
        <f>"9874911698"</f>
        <v>9874911698</v>
      </c>
      <c r="AB235" t="str">
        <f>"9874911698"</f>
        <v>9874911698</v>
      </c>
      <c r="AC235" t="str">
        <f>"9874911698"</f>
        <v>9874911698</v>
      </c>
      <c r="AD235" t="str">
        <f>"9874911698"</f>
        <v>9874911698</v>
      </c>
      <c r="AE235" t="str">
        <f>"9173704231"</f>
        <v>9173704231</v>
      </c>
    </row>
    <row r="236" spans="1:31" x14ac:dyDescent="0.45">
      <c r="A236" t="str">
        <f>"ТОЛОКНОВА НАТАЛЬЯ ВАЛЕРЬЕВНА"</f>
        <v>ТОЛОКНОВА НАТАЛЬЯ ВАЛЕРЬЕВНА</v>
      </c>
      <c r="B236" t="str">
        <f>"1988-05-02"</f>
        <v>1988-05-02</v>
      </c>
      <c r="C236" t="str">
        <f>"65 11 194824"</f>
        <v>65 11 194824</v>
      </c>
      <c r="D236" t="str">
        <f>"4279011649344242"</f>
        <v>4279011649344242</v>
      </c>
      <c r="E236" t="str">
        <f t="shared" si="35"/>
        <v>2021-05-31</v>
      </c>
      <c r="F236" t="str">
        <f t="shared" ref="F236:G246" si="36">"+"</f>
        <v>+</v>
      </c>
      <c r="G236" t="str">
        <f t="shared" si="36"/>
        <v>+</v>
      </c>
      <c r="H236" t="str">
        <f>"40817810616991419154"</f>
        <v>40817810616991419154</v>
      </c>
      <c r="I236" t="str">
        <f>"7003"</f>
        <v>7003</v>
      </c>
      <c r="J236" t="str">
        <f>"0428"</f>
        <v>0428</v>
      </c>
      <c r="K236" t="str">
        <f>"400000.00"</f>
        <v>400000.00</v>
      </c>
      <c r="L236" t="str">
        <f>"620000 ОБЛ СВЕРДЛОВСКАЯ   Г ЕКАТЕРИНБУРГ   УЛ ЛУНАЧАРСКОГО д. 210 офис 215"</f>
        <v>620000 ОБЛ СВЕРДЛОВСКАЯ   Г ЕКАТЕРИНБУРГ   УЛ ЛУНАЧАРСКОГО д. 210 офис 215</v>
      </c>
      <c r="M236" t="str">
        <f t="shared" si="29"/>
        <v>2019-08-24</v>
      </c>
      <c r="N236" t="s">
        <v>39</v>
      </c>
      <c r="O236" t="str">
        <f>"620000"</f>
        <v>620000</v>
      </c>
      <c r="P236" t="str">
        <f>"ОБЛ СВЕРДЛОВСКАЯ"</f>
        <v>ОБЛ СВЕРДЛОВСКАЯ</v>
      </c>
      <c r="Q236" t="str">
        <f>""</f>
        <v/>
      </c>
      <c r="R236" t="str">
        <f>"Г НИЖНИЙ ТАГИЛ"</f>
        <v>Г НИЖНИЙ ТАГИЛ</v>
      </c>
      <c r="S236" t="str">
        <f>""</f>
        <v/>
      </c>
      <c r="T236" t="str">
        <f>"Ш ЧЕРНОИСТОЧИНСКОЕ"</f>
        <v>Ш ЧЕРНОИСТОЧИНСКОЕ</v>
      </c>
      <c r="U236" s="1" t="str">
        <f>"59"</f>
        <v>59</v>
      </c>
      <c r="V236" s="1" t="str">
        <f>""</f>
        <v/>
      </c>
      <c r="W236" s="1" t="str">
        <f>""</f>
        <v/>
      </c>
      <c r="X236" s="1" t="str">
        <f>""</f>
        <v/>
      </c>
      <c r="Y236" s="1" t="str">
        <f>"55"</f>
        <v>55</v>
      </c>
      <c r="Z236" t="str">
        <f>"3432157674"</f>
        <v>3432157674</v>
      </c>
      <c r="AA236" t="str">
        <f>"9193641882"</f>
        <v>9193641882</v>
      </c>
      <c r="AB236" t="str">
        <f>"9090232341"</f>
        <v>9090232341</v>
      </c>
      <c r="AC236" t="str">
        <f>"9193641882"</f>
        <v>9193641882</v>
      </c>
      <c r="AD236" t="str">
        <f>"9090232341"</f>
        <v>9090232341</v>
      </c>
      <c r="AE236" t="str">
        <f>"3432157674"</f>
        <v>3432157674</v>
      </c>
    </row>
    <row r="237" spans="1:31" x14ac:dyDescent="0.45">
      <c r="A237" t="str">
        <f>"ШАКИРОВ ОЛЕГ ДАНИЛОВИЧ"</f>
        <v>ШАКИРОВ ОЛЕГ ДАНИЛОВИЧ</v>
      </c>
      <c r="B237" t="str">
        <f>"1976-04-09"</f>
        <v>1976-04-09</v>
      </c>
      <c r="C237" t="str">
        <f>"65 03 638373"</f>
        <v>65 03 638373</v>
      </c>
      <c r="D237" t="str">
        <f>"4279011652131759"</f>
        <v>4279011652131759</v>
      </c>
      <c r="E237" t="str">
        <f t="shared" si="35"/>
        <v>2021-05-31</v>
      </c>
      <c r="F237" t="str">
        <f t="shared" si="36"/>
        <v>+</v>
      </c>
      <c r="G237" t="str">
        <f t="shared" si="36"/>
        <v>+</v>
      </c>
      <c r="H237" t="str">
        <f>"40817810916991419155"</f>
        <v>40817810916991419155</v>
      </c>
      <c r="I237" t="str">
        <f>"7003"</f>
        <v>7003</v>
      </c>
      <c r="J237" t="str">
        <f>"0899"</f>
        <v>0899</v>
      </c>
      <c r="K237" t="str">
        <f>"400000.00"</f>
        <v>400000.00</v>
      </c>
      <c r="L237" t="str">
        <f>"620000 ОБЛ СВЕРДЛОВСКАЯ   Г ЕКАТЕРИНБУРГ   УЛ ШЕВЧЕНКО д. 9 кв. 415"</f>
        <v>620000 ОБЛ СВЕРДЛОВСКАЯ   Г ЕКАТЕРИНБУРГ   УЛ ШЕВЧЕНКО д. 9 кв. 415</v>
      </c>
      <c r="M237" t="str">
        <f t="shared" si="29"/>
        <v>2019-08-24</v>
      </c>
      <c r="N237" t="str">
        <f>"ЛИЧНАЯ"</f>
        <v>ЛИЧНАЯ</v>
      </c>
      <c r="O237" t="str">
        <f>"620098"</f>
        <v>620098</v>
      </c>
      <c r="P237" t="str">
        <f>"ОБЛ СВЕРДЛОВСКАЯ"</f>
        <v>ОБЛ СВЕРДЛОВСКАЯ</v>
      </c>
      <c r="Q237" t="str">
        <f>""</f>
        <v/>
      </c>
      <c r="R237" t="str">
        <f>"Г ЕКАТЕРИНБУРГ"</f>
        <v>Г ЕКАТЕРИНБУРГ</v>
      </c>
      <c r="S237" t="str">
        <f>""</f>
        <v/>
      </c>
      <c r="T237" t="str">
        <f>"УЛ ЛОМОНОСОВА"</f>
        <v>УЛ ЛОМОНОСОВА</v>
      </c>
      <c r="U237" s="1" t="str">
        <f>"157"</f>
        <v>157</v>
      </c>
      <c r="V237" s="1" t="str">
        <f>""</f>
        <v/>
      </c>
      <c r="W237" s="1" t="str">
        <f>""</f>
        <v/>
      </c>
      <c r="X237" s="1" t="str">
        <f>""</f>
        <v/>
      </c>
      <c r="Y237" s="1" t="str">
        <f>"31"</f>
        <v>31</v>
      </c>
      <c r="Z237" t="str">
        <f>"9122430265"</f>
        <v>9122430265</v>
      </c>
      <c r="AA237" t="str">
        <f>"9122430265"</f>
        <v>9122430265</v>
      </c>
      <c r="AB237" t="str">
        <f>"9122430265"</f>
        <v>9122430265</v>
      </c>
      <c r="AC237" t="str">
        <f>"9122430265"</f>
        <v>9122430265</v>
      </c>
      <c r="AD237" t="str">
        <f>"9122430265"</f>
        <v>9122430265</v>
      </c>
      <c r="AE237" t="str">
        <f>""</f>
        <v/>
      </c>
    </row>
    <row r="238" spans="1:31" x14ac:dyDescent="0.45">
      <c r="A238" t="str">
        <f>"ГАФАРОВА ТАТЬЯНА АЛЕКСАНДРОВНА"</f>
        <v>ГАФАРОВА ТАТЬЯНА АЛЕКСАНДРОВНА</v>
      </c>
      <c r="B238" t="str">
        <f>"1984-01-24"</f>
        <v>1984-01-24</v>
      </c>
      <c r="C238" t="str">
        <f>"75 11 945994"</f>
        <v>75 11 945994</v>
      </c>
      <c r="D238" t="str">
        <f>"4279011616438142"</f>
        <v>4279011616438142</v>
      </c>
      <c r="E238" t="str">
        <f t="shared" si="35"/>
        <v>2021-05-31</v>
      </c>
      <c r="F238" t="str">
        <f t="shared" si="36"/>
        <v>+</v>
      </c>
      <c r="G238" t="str">
        <f t="shared" si="36"/>
        <v>+</v>
      </c>
      <c r="H238" t="str">
        <f>"40817810216991419156"</f>
        <v>40817810216991419156</v>
      </c>
      <c r="I238" t="str">
        <f>"8597"</f>
        <v>8597</v>
      </c>
      <c r="J238" t="str">
        <f>"0235"</f>
        <v>0235</v>
      </c>
      <c r="K238" t="str">
        <f>"240000.00"</f>
        <v>240000.00</v>
      </c>
      <c r="L238" t="str">
        <f>"454000 ОБЛ ЧЕЛЯБИНСКАЯ   Г ЧЕЛЯБИНСК   УЛ ПЕТРА СТОЛЫПИНА д. 3 кв. 146"</f>
        <v>454000 ОБЛ ЧЕЛЯБИНСКАЯ   Г ЧЕЛЯБИНСК   УЛ ПЕТРА СТОЛЫПИНА д. 3 кв. 146</v>
      </c>
      <c r="M238" t="str">
        <f t="shared" si="29"/>
        <v>2019-08-24</v>
      </c>
      <c r="N238" t="str">
        <f>"ВРЕМЕННО НЕ РАБОТАЮЩИЙ"</f>
        <v>ВРЕМЕННО НЕ РАБОТАЮЩИЙ</v>
      </c>
      <c r="O238" t="str">
        <f>"454000"</f>
        <v>454000</v>
      </c>
      <c r="P238" t="str">
        <f>"ОБЛ ЧЕЛЯБИНСКАЯ"</f>
        <v>ОБЛ ЧЕЛЯБИНСКАЯ</v>
      </c>
      <c r="Q238" t="str">
        <f>""</f>
        <v/>
      </c>
      <c r="R238" t="str">
        <f>"Г ЧЕЛЯБИНСК"</f>
        <v>Г ЧЕЛЯБИНСК</v>
      </c>
      <c r="S238" t="str">
        <f>""</f>
        <v/>
      </c>
      <c r="T238" t="str">
        <f>"УЛ НИЗКАЯ"</f>
        <v>УЛ НИЗКАЯ</v>
      </c>
      <c r="U238" s="1" t="str">
        <f>"24"</f>
        <v>24</v>
      </c>
      <c r="V238" s="1" t="str">
        <f>""</f>
        <v/>
      </c>
      <c r="W238" s="1" t="str">
        <f>""</f>
        <v/>
      </c>
      <c r="X238" s="1" t="str">
        <f>""</f>
        <v/>
      </c>
      <c r="Y238" s="1" t="str">
        <f>""</f>
        <v/>
      </c>
      <c r="Z238" t="str">
        <f>""</f>
        <v/>
      </c>
      <c r="AA238" t="str">
        <f>"9630835287"</f>
        <v>9630835287</v>
      </c>
      <c r="AB238" t="str">
        <f>"9507441687"</f>
        <v>9507441687</v>
      </c>
      <c r="AC238" t="str">
        <f>"9630835287"</f>
        <v>9630835287</v>
      </c>
      <c r="AD238" t="str">
        <f>"9630835287"</f>
        <v>9630835287</v>
      </c>
      <c r="AE238" t="str">
        <f>""</f>
        <v/>
      </c>
    </row>
    <row r="239" spans="1:31" x14ac:dyDescent="0.45">
      <c r="A239" t="str">
        <f>"ЗВЕРЕВ КИРИЛЛ ЮРЬЕВИЧ"</f>
        <v>ЗВЕРЕВ КИРИЛЛ ЮРЬЕВИЧ</v>
      </c>
      <c r="B239" t="str">
        <f>"1994-11-09"</f>
        <v>1994-11-09</v>
      </c>
      <c r="C239" t="str">
        <f>"65 14 828092"</f>
        <v>65 14 828092</v>
      </c>
      <c r="D239" t="str">
        <f>"4279011693670450"</f>
        <v>4279011693670450</v>
      </c>
      <c r="E239" t="str">
        <f t="shared" si="35"/>
        <v>2021-05-31</v>
      </c>
      <c r="F239" t="str">
        <f t="shared" si="36"/>
        <v>+</v>
      </c>
      <c r="G239" t="str">
        <f t="shared" si="36"/>
        <v>+</v>
      </c>
      <c r="H239" t="str">
        <f>"40817810516991419157"</f>
        <v>40817810516991419157</v>
      </c>
      <c r="I239" t="str">
        <f>"7003"</f>
        <v>7003</v>
      </c>
      <c r="J239" t="str">
        <f>"0691"</f>
        <v>0691</v>
      </c>
      <c r="K239" t="str">
        <f>"200000.00"</f>
        <v>200000.00</v>
      </c>
      <c r="L239" t="str">
        <f>"620000 ОБЛ СВЕРДЛОВСКАЯ   Г ПЕРВОУРАЛЬСК   УЛ 8 МАРТА д. 1"</f>
        <v>620000 ОБЛ СВЕРДЛОВСКАЯ   Г ПЕРВОУРАЛЬСК   УЛ 8 МАРТА д. 1</v>
      </c>
      <c r="M239" t="str">
        <f t="shared" si="29"/>
        <v>2019-08-24</v>
      </c>
      <c r="N239" t="str">
        <f>"АО ТАНДЕР"</f>
        <v>АО ТАНДЕР</v>
      </c>
      <c r="O239" t="str">
        <f>"620000"</f>
        <v>620000</v>
      </c>
      <c r="P239" t="str">
        <f>"ОБЛ СВЕРДЛОВСКАЯ"</f>
        <v>ОБЛ СВЕРДЛОВСКАЯ</v>
      </c>
      <c r="Q239" t="str">
        <f>""</f>
        <v/>
      </c>
      <c r="R239" t="str">
        <f>"Г ПЕРВОУРАЛЬСК"</f>
        <v>Г ПЕРВОУРАЛЬСК</v>
      </c>
      <c r="S239" t="str">
        <f>""</f>
        <v/>
      </c>
      <c r="T239" t="str">
        <f>"УЛ КОМСОМОЛЬСКАЯ"</f>
        <v>УЛ КОМСОМОЛЬСКАЯ</v>
      </c>
      <c r="U239" s="1" t="str">
        <f>"23"</f>
        <v>23</v>
      </c>
      <c r="V239" s="1" t="str">
        <f>""</f>
        <v/>
      </c>
      <c r="W239" s="1" t="str">
        <f>""</f>
        <v/>
      </c>
      <c r="X239" s="1" t="str">
        <f>""</f>
        <v/>
      </c>
      <c r="Y239" s="1" t="str">
        <f>"78"</f>
        <v>78</v>
      </c>
      <c r="Z239" t="str">
        <f>""</f>
        <v/>
      </c>
      <c r="AA239" t="str">
        <f>"9826414438"</f>
        <v>9826414438</v>
      </c>
      <c r="AB239" t="str">
        <f>"9826414438"</f>
        <v>9826414438</v>
      </c>
      <c r="AC239" t="str">
        <f>"9826414438"</f>
        <v>9826414438</v>
      </c>
      <c r="AD239" t="str">
        <f>"9826414438"</f>
        <v>9826414438</v>
      </c>
      <c r="AE239" t="str">
        <f>""</f>
        <v/>
      </c>
    </row>
    <row r="240" spans="1:31" x14ac:dyDescent="0.45">
      <c r="A240" t="str">
        <f>"РАЙЛЕ ПАВЕЛ РОБЕРТОВИЧ"</f>
        <v>РАЙЛЕ ПАВЕЛ РОБЕРТОВИЧ</v>
      </c>
      <c r="B240" t="str">
        <f>"1991-12-07"</f>
        <v>1991-12-07</v>
      </c>
      <c r="C240" t="str">
        <f>"80 12 585171"</f>
        <v>80 12 585171</v>
      </c>
      <c r="D240" t="str">
        <f>"4279011636117429"</f>
        <v>4279011636117429</v>
      </c>
      <c r="E240" t="str">
        <f t="shared" si="35"/>
        <v>2021-05-31</v>
      </c>
      <c r="F240" t="str">
        <f t="shared" si="36"/>
        <v>+</v>
      </c>
      <c r="G240" t="str">
        <f t="shared" si="36"/>
        <v>+</v>
      </c>
      <c r="H240" t="str">
        <f>"40817810116991419159"</f>
        <v>40817810116991419159</v>
      </c>
      <c r="I240" t="str">
        <f>"8598"</f>
        <v>8598</v>
      </c>
      <c r="J240" t="str">
        <f>"7772"</f>
        <v>7772</v>
      </c>
      <c r="K240" t="str">
        <f>"50000.00"</f>
        <v>50000.00</v>
      </c>
      <c r="L240" t="str">
        <f>"450000 РЕСП БАШКОРТОСТАН   Г ОКТЯБРЬСКИЙ   УЛ СЕВЕРНАЯ д. 10"</f>
        <v>450000 РЕСП БАШКОРТОСТАН   Г ОКТЯБРЬСКИЙ   УЛ СЕВЕРНАЯ д. 10</v>
      </c>
      <c r="M240" t="str">
        <f t="shared" si="29"/>
        <v>2019-08-24</v>
      </c>
      <c r="N240" t="str">
        <f>"ООО ИБК"</f>
        <v>ООО ИБК</v>
      </c>
      <c r="O240" t="str">
        <f>"450000"</f>
        <v>450000</v>
      </c>
      <c r="P240" t="str">
        <f>"РЕСП БАШКОРТОСТАН"</f>
        <v>РЕСП БАШКОРТОСТАН</v>
      </c>
      <c r="Q240" t="str">
        <f>""</f>
        <v/>
      </c>
      <c r="R240" t="str">
        <f>"Г ОКТЯБРЬСКИЙ"</f>
        <v>Г ОКТЯБРЬСКИЙ</v>
      </c>
      <c r="S240" t="str">
        <f>""</f>
        <v/>
      </c>
      <c r="T240" t="str">
        <f>"УЛ 34 МКР"</f>
        <v>УЛ 34 МКР</v>
      </c>
      <c r="U240" s="1" t="str">
        <f>"10"</f>
        <v>10</v>
      </c>
      <c r="V240" s="1" t="str">
        <f>""</f>
        <v/>
      </c>
      <c r="W240" s="1" t="str">
        <f>""</f>
        <v/>
      </c>
      <c r="X240" s="1" t="str">
        <f>""</f>
        <v/>
      </c>
      <c r="Y240" s="1" t="str">
        <f>"125"</f>
        <v>125</v>
      </c>
      <c r="Z240" t="str">
        <f>"3476742581"</f>
        <v>3476742581</v>
      </c>
      <c r="AA240" t="str">
        <f>"9273580345"</f>
        <v>9273580345</v>
      </c>
      <c r="AB240" t="str">
        <f>"9273580345"</f>
        <v>9273580345</v>
      </c>
      <c r="AC240" t="str">
        <f>"9273580345"</f>
        <v>9273580345</v>
      </c>
      <c r="AD240" t="str">
        <f>"9273580345"</f>
        <v>9273580345</v>
      </c>
      <c r="AE240" t="str">
        <f>"3476742581"</f>
        <v>3476742581</v>
      </c>
    </row>
    <row r="241" spans="1:31" x14ac:dyDescent="0.45">
      <c r="A241" t="str">
        <f>"СМИРНОВА РОЗА ВИКТОРОВНА"</f>
        <v>СМИРНОВА РОЗА ВИКТОРОВНА</v>
      </c>
      <c r="B241" t="str">
        <f>"1973-07-03"</f>
        <v>1973-07-03</v>
      </c>
      <c r="C241" t="str">
        <f>"65 18 682090"</f>
        <v>65 18 682090</v>
      </c>
      <c r="D241" t="str">
        <f>"4279011627980009"</f>
        <v>4279011627980009</v>
      </c>
      <c r="E241" t="str">
        <f t="shared" si="35"/>
        <v>2021-05-31</v>
      </c>
      <c r="F241" t="str">
        <f t="shared" si="36"/>
        <v>+</v>
      </c>
      <c r="G241" t="str">
        <f t="shared" si="36"/>
        <v>+</v>
      </c>
      <c r="H241" t="str">
        <f>"40817810516991419160"</f>
        <v>40817810516991419160</v>
      </c>
      <c r="I241" t="str">
        <f>"7003"</f>
        <v>7003</v>
      </c>
      <c r="J241" t="str">
        <f>"0461"</f>
        <v>0461</v>
      </c>
      <c r="K241" t="str">
        <f>"310000.00"</f>
        <v>310000.00</v>
      </c>
      <c r="L241" t="str">
        <f>"620000 ОБЛ СВЕРДЛОВСКАЯ   Г ЕКАТЕРИНБУРГ   УЛ ШЕЙНКМАНА д. 75 офис 13"</f>
        <v>620000 ОБЛ СВЕРДЛОВСКАЯ   Г ЕКАТЕРИНБУРГ   УЛ ШЕЙНКМАНА д. 75 офис 13</v>
      </c>
      <c r="M241" t="str">
        <f t="shared" si="29"/>
        <v>2019-08-24</v>
      </c>
      <c r="N241" t="str">
        <f>"ООО ГК ВМАССИВЕ"</f>
        <v>ООО ГК ВМАССИВЕ</v>
      </c>
      <c r="O241" t="str">
        <f>"620000"</f>
        <v>620000</v>
      </c>
      <c r="P241" t="str">
        <f>"ОБЛ СВЕРДЛОВСКАЯ"</f>
        <v>ОБЛ СВЕРДЛОВСКАЯ</v>
      </c>
      <c r="Q241" t="str">
        <f>""</f>
        <v/>
      </c>
      <c r="R241" t="str">
        <f>"Г ЕКАТЕРИНБУРГ"</f>
        <v>Г ЕКАТЕРИНБУРГ</v>
      </c>
      <c r="S241" t="str">
        <f>""</f>
        <v/>
      </c>
      <c r="T241" t="str">
        <f>"УЛ МАМИНА-СИБИРЯКА"</f>
        <v>УЛ МАМИНА-СИБИРЯКА</v>
      </c>
      <c r="U241" s="1" t="str">
        <f>"42"</f>
        <v>42</v>
      </c>
      <c r="V241" s="1" t="str">
        <f>""</f>
        <v/>
      </c>
      <c r="W241" s="1" t="str">
        <f>""</f>
        <v/>
      </c>
      <c r="X241" s="1" t="str">
        <f>""</f>
        <v/>
      </c>
      <c r="Y241" s="1" t="str">
        <f>"52"</f>
        <v>52</v>
      </c>
      <c r="Z241" t="str">
        <f>""</f>
        <v/>
      </c>
      <c r="AA241" t="str">
        <f>"9122266417"</f>
        <v>9122266417</v>
      </c>
      <c r="AB241" t="str">
        <f>"9122266417"</f>
        <v>9122266417</v>
      </c>
      <c r="AC241" t="str">
        <f>"9122266417"</f>
        <v>9122266417</v>
      </c>
      <c r="AD241" t="str">
        <f>"9122266417"</f>
        <v>9122266417</v>
      </c>
      <c r="AE241" t="str">
        <f>""</f>
        <v/>
      </c>
    </row>
    <row r="242" spans="1:31" x14ac:dyDescent="0.45">
      <c r="A242" t="str">
        <f>"ЮРКОВЕЦ ГАЛИНА ВИКТОРОВНА"</f>
        <v>ЮРКОВЕЦ ГАЛИНА ВИКТОРОВНА</v>
      </c>
      <c r="B242" t="str">
        <f>"1963-07-29"</f>
        <v>1963-07-29</v>
      </c>
      <c r="C242" t="str">
        <f>"75 08 341237"</f>
        <v>75 08 341237</v>
      </c>
      <c r="D242" t="str">
        <f>"5484011601240535"</f>
        <v>5484011601240535</v>
      </c>
      <c r="E242" t="str">
        <f t="shared" si="35"/>
        <v>2021-05-31</v>
      </c>
      <c r="F242" t="str">
        <f t="shared" si="36"/>
        <v>+</v>
      </c>
      <c r="G242" t="str">
        <f t="shared" si="36"/>
        <v>+</v>
      </c>
      <c r="H242" t="str">
        <f>"40817810816991419161"</f>
        <v>40817810816991419161</v>
      </c>
      <c r="I242" t="str">
        <f>"8597"</f>
        <v>8597</v>
      </c>
      <c r="J242" t="str">
        <f>"7776"</f>
        <v>7776</v>
      </c>
      <c r="K242" t="str">
        <f>"51000.00"</f>
        <v>51000.00</v>
      </c>
      <c r="L242" t="str">
        <f>"457100 ОБЛ ЧЕЛЯБИНСКАЯ   Г ТРОИЦК   УЛ КРАСНОАРМЕЙСКАЯ д. 28"</f>
        <v>457100 ОБЛ ЧЕЛЯБИНСКАЯ   Г ТРОИЦК   УЛ КРАСНОАРМЕЙСКАЯ д. 28</v>
      </c>
      <c r="M242" t="str">
        <f t="shared" si="29"/>
        <v>2019-08-24</v>
      </c>
      <c r="N242" t="str">
        <f>"СОШ № 9"</f>
        <v>СОШ № 9</v>
      </c>
      <c r="O242" t="str">
        <f>"457144"</f>
        <v>457144</v>
      </c>
      <c r="P242" t="str">
        <f>"ОБЛ ЧЕЛЯБИНСКАЯ"</f>
        <v>ОБЛ ЧЕЛЯБИНСКАЯ</v>
      </c>
      <c r="Q242" t="str">
        <f>"Р-Н ТРОИЦКИЙ"</f>
        <v>Р-Н ТРОИЦКИЙ</v>
      </c>
      <c r="R242" t="str">
        <f>""</f>
        <v/>
      </c>
      <c r="S242" t="str">
        <f>"С КЛЯСТИЦКОЕ"</f>
        <v>С КЛЯСТИЦКОЕ</v>
      </c>
      <c r="T242" t="str">
        <f>"УЛ ЛЕНИНА"</f>
        <v>УЛ ЛЕНИНА</v>
      </c>
      <c r="U242" s="1" t="str">
        <f>"75"</f>
        <v>75</v>
      </c>
      <c r="V242" s="1" t="str">
        <f>""</f>
        <v/>
      </c>
      <c r="W242" s="1" t="str">
        <f>""</f>
        <v/>
      </c>
      <c r="X242" s="1" t="str">
        <f>""</f>
        <v/>
      </c>
      <c r="Y242" s="1" t="str">
        <f>"1"</f>
        <v>1</v>
      </c>
      <c r="Z242" t="str">
        <f>"3516324585"</f>
        <v>3516324585</v>
      </c>
      <c r="AA242" t="str">
        <f>"0000000000"</f>
        <v>0000000000</v>
      </c>
      <c r="AB242" t="str">
        <f>"9085836275"</f>
        <v>9085836275</v>
      </c>
      <c r="AC242" t="str">
        <f>"0000000000"</f>
        <v>0000000000</v>
      </c>
      <c r="AD242" t="str">
        <f>"9525186751"</f>
        <v>9525186751</v>
      </c>
      <c r="AE242" t="str">
        <f>"3516324345"</f>
        <v>3516324345</v>
      </c>
    </row>
    <row r="243" spans="1:31" x14ac:dyDescent="0.45">
      <c r="A243" t="str">
        <f>"ДЕМЬЯНЕНКО РАИСА АНАТОЛЬЕВНА"</f>
        <v>ДЕМЬЯНЕНКО РАИСА АНАТОЛЬЕВНА</v>
      </c>
      <c r="B243" t="str">
        <f>"1967-05-05"</f>
        <v>1967-05-05</v>
      </c>
      <c r="C243" t="str">
        <f>"71 11 894849"</f>
        <v>71 11 894849</v>
      </c>
      <c r="D243" t="str">
        <f>"4279016731418994"</f>
        <v>4279016731418994</v>
      </c>
      <c r="E243" t="str">
        <f t="shared" ref="E243:E248" si="37">"2021-06-30"</f>
        <v>2021-06-30</v>
      </c>
      <c r="F243" t="str">
        <f t="shared" si="36"/>
        <v>+</v>
      </c>
      <c r="G243" t="str">
        <f t="shared" si="36"/>
        <v>+</v>
      </c>
      <c r="H243" t="str">
        <f>"40817810416992093180"</f>
        <v>40817810416992093180</v>
      </c>
      <c r="I243" t="str">
        <f>"8647"</f>
        <v>8647</v>
      </c>
      <c r="J243" t="str">
        <f>"0186"</f>
        <v>0186</v>
      </c>
      <c r="K243" t="str">
        <f>"80000.00"</f>
        <v>80000.00</v>
      </c>
      <c r="L243" t="str">
        <f>"627610 ОБЛ ТЮМЕНСКАЯ Р-Н СЛАДКОВСКИЙ   С СЛАДКОВО УЛ ЛЕНИНА д. 104А"</f>
        <v>627610 ОБЛ ТЮМЕНСКАЯ Р-Н СЛАДКОВСКИЙ   С СЛАДКОВО УЛ ЛЕНИНА д. 104А</v>
      </c>
      <c r="M243" t="str">
        <f t="shared" si="29"/>
        <v>2019-08-24</v>
      </c>
      <c r="N243" t="str">
        <f>"МУСЗН КАЗАНСКИЙ, СЛАДКОВСКИЙ РАЙОНЫ"</f>
        <v>МУСЗН КАЗАНСКИЙ, СЛАДКОВСКИЙ РАЙОНЫ</v>
      </c>
      <c r="O243" t="str">
        <f>"627610"</f>
        <v>627610</v>
      </c>
      <c r="P243" t="str">
        <f>"ОБЛ ТЮМЕНСКАЯ"</f>
        <v>ОБЛ ТЮМЕНСКАЯ</v>
      </c>
      <c r="Q243" t="str">
        <f>"Р-Н СЛАДКОВСКИЙ"</f>
        <v>Р-Н СЛАДКОВСКИЙ</v>
      </c>
      <c r="R243" t="str">
        <f>""</f>
        <v/>
      </c>
      <c r="S243" t="str">
        <f>"С СЛАДКОВО"</f>
        <v>С СЛАДКОВО</v>
      </c>
      <c r="T243" t="str">
        <f>"УЛ КАЛИНИНА"</f>
        <v>УЛ КАЛИНИНА</v>
      </c>
      <c r="U243" s="1" t="str">
        <f>"39"</f>
        <v>39</v>
      </c>
      <c r="V243" s="1" t="str">
        <f>""</f>
        <v/>
      </c>
      <c r="W243" s="1" t="str">
        <f>""</f>
        <v/>
      </c>
      <c r="X243" s="1" t="str">
        <f>""</f>
        <v/>
      </c>
      <c r="Y243" s="1" t="str">
        <f>""</f>
        <v/>
      </c>
      <c r="Z243" t="str">
        <f>"3455341886"</f>
        <v>3455341886</v>
      </c>
      <c r="AA243" t="str">
        <f>"9048769316"</f>
        <v>9048769316</v>
      </c>
      <c r="AB243" t="str">
        <f>"9048769316"</f>
        <v>9048769316</v>
      </c>
      <c r="AC243" t="str">
        <f>"9048769316"</f>
        <v>9048769316</v>
      </c>
      <c r="AD243" t="str">
        <f>"9048769316"</f>
        <v>9048769316</v>
      </c>
      <c r="AE243" t="str">
        <f>"3455341886"</f>
        <v>3455341886</v>
      </c>
    </row>
    <row r="244" spans="1:31" x14ac:dyDescent="0.45">
      <c r="A244" t="str">
        <f>"КИХТЕНКО ФРИДА ВИКТОРОВНА"</f>
        <v>КИХТЕНКО ФРИДА ВИКТОРОВНА</v>
      </c>
      <c r="B244" t="str">
        <f>"1964-04-06"</f>
        <v>1964-04-06</v>
      </c>
      <c r="C244" t="str">
        <f>"71 08 687180"</f>
        <v>71 08 687180</v>
      </c>
      <c r="D244" t="str">
        <f>"4279016716405156"</f>
        <v>4279016716405156</v>
      </c>
      <c r="E244" t="str">
        <f t="shared" si="37"/>
        <v>2021-06-30</v>
      </c>
      <c r="F244" t="str">
        <f t="shared" si="36"/>
        <v>+</v>
      </c>
      <c r="G244" t="str">
        <f t="shared" si="36"/>
        <v>+</v>
      </c>
      <c r="H244" t="str">
        <f>"40817810116992093231"</f>
        <v>40817810116992093231</v>
      </c>
      <c r="I244" t="str">
        <f>"8647"</f>
        <v>8647</v>
      </c>
      <c r="J244" t="str">
        <f>"0186"</f>
        <v>0186</v>
      </c>
      <c r="K244" t="str">
        <f>"20000.00"</f>
        <v>20000.00</v>
      </c>
      <c r="L244" t="str">
        <f>"627610 ОБЛ ТЮМЕНСКАЯ Р-Н СЛАДКОВСКИЙ   С СЛАДКОВО УЛ ЛЕНИНА д. 104А"</f>
        <v>627610 ОБЛ ТЮМЕНСКАЯ Р-Н СЛАДКОВСКИЙ   С СЛАДКОВО УЛ ЛЕНИНА д. 104А</v>
      </c>
      <c r="M244" t="str">
        <f t="shared" si="29"/>
        <v>2019-08-24</v>
      </c>
      <c r="N244" t="str">
        <f>"МУСЗН КАЗАНСКИЙ, СЛАДКОВСКИЙ РАЙОНЫ"</f>
        <v>МУСЗН КАЗАНСКИЙ, СЛАДКОВСКИЙ РАЙОНЫ</v>
      </c>
      <c r="O244" t="str">
        <f>"627600"</f>
        <v>627600</v>
      </c>
      <c r="P244" t="str">
        <f>"ОБЛ ТЮМЕНСКАЯ"</f>
        <v>ОБЛ ТЮМЕНСКАЯ</v>
      </c>
      <c r="Q244" t="str">
        <f>"Р-Н СЛАДКОВСКИЙ"</f>
        <v>Р-Н СЛАДКОВСКИЙ</v>
      </c>
      <c r="R244" t="str">
        <f>""</f>
        <v/>
      </c>
      <c r="S244" t="str">
        <f>"П МАСЛЯНСКИЙ"</f>
        <v>П МАСЛЯНСКИЙ</v>
      </c>
      <c r="T244" t="str">
        <f>"УЛ ПЕРВОМАЙСКАЯ"</f>
        <v>УЛ ПЕРВОМАЙСКАЯ</v>
      </c>
      <c r="U244" s="1" t="str">
        <f>"6"</f>
        <v>6</v>
      </c>
      <c r="V244" s="1" t="str">
        <f>""</f>
        <v/>
      </c>
      <c r="W244" s="1" t="str">
        <f>""</f>
        <v/>
      </c>
      <c r="X244" s="1" t="str">
        <f>""</f>
        <v/>
      </c>
      <c r="Y244" s="1" t="str">
        <f>""</f>
        <v/>
      </c>
      <c r="Z244" t="str">
        <f>"3455341886"</f>
        <v>3455341886</v>
      </c>
      <c r="AA244" t="str">
        <f>"9504984225"</f>
        <v>9504984225</v>
      </c>
      <c r="AB244" t="str">
        <f>"9504984225"</f>
        <v>9504984225</v>
      </c>
      <c r="AC244" t="str">
        <f>"9504984225"</f>
        <v>9504984225</v>
      </c>
      <c r="AD244" t="str">
        <f>"9504984225"</f>
        <v>9504984225</v>
      </c>
      <c r="AE244" t="str">
        <f>"3455341886"</f>
        <v>3455341886</v>
      </c>
    </row>
    <row r="245" spans="1:31" x14ac:dyDescent="0.45">
      <c r="A245" t="str">
        <f>"МИШИНА ГАЛИНА ВАЛЕРЬЕВНА"</f>
        <v>МИШИНА ГАЛИНА ВАЛЕРЬЕВНА</v>
      </c>
      <c r="B245" t="str">
        <f>"1990-11-24"</f>
        <v>1990-11-24</v>
      </c>
      <c r="C245" t="str">
        <f>"71 10 825807"</f>
        <v>71 10 825807</v>
      </c>
      <c r="D245" t="str">
        <f>"4279016714148576"</f>
        <v>4279016714148576</v>
      </c>
      <c r="E245" t="str">
        <f t="shared" si="37"/>
        <v>2021-06-30</v>
      </c>
      <c r="F245" t="str">
        <f t="shared" si="36"/>
        <v>+</v>
      </c>
      <c r="G245" t="str">
        <f t="shared" si="36"/>
        <v>+</v>
      </c>
      <c r="H245" t="str">
        <f>"40817810916992401227"</f>
        <v>40817810916992401227</v>
      </c>
      <c r="I245" t="str">
        <f>"8647"</f>
        <v>8647</v>
      </c>
      <c r="J245" t="str">
        <f>"0186"</f>
        <v>0186</v>
      </c>
      <c r="K245" t="str">
        <f>"18000.00"</f>
        <v>18000.00</v>
      </c>
      <c r="L245" t="str">
        <f>"627610 ОБЛ ТЮМЕНСКАЯ Р-Н СЛАДКОВСКИЙ   С СЛАДКОВО УЛ ЛЕНИНА д. 104А"</f>
        <v>627610 ОБЛ ТЮМЕНСКАЯ Р-Н СЛАДКОВСКИЙ   С СЛАДКОВО УЛ ЛЕНИНА д. 104А</v>
      </c>
      <c r="M245" t="str">
        <f t="shared" si="29"/>
        <v>2019-08-24</v>
      </c>
      <c r="N245" t="str">
        <f>"МУСЗН КАЗАНСКИЙ, СЛАДКОВСКИЙ РАЙОНЫ"</f>
        <v>МУСЗН КАЗАНСКИЙ, СЛАДКОВСКИЙ РАЙОНЫ</v>
      </c>
      <c r="O245" t="str">
        <f>"627630"</f>
        <v>627630</v>
      </c>
      <c r="P245" t="str">
        <f>"ОБЛ ТЮМЕНСКАЯ"</f>
        <v>ОБЛ ТЮМЕНСКАЯ</v>
      </c>
      <c r="Q245" t="str">
        <f>"Р-Н СЛАДКОВСКИЙ"</f>
        <v>Р-Н СЛАДКОВСКИЙ</v>
      </c>
      <c r="R245" t="str">
        <f>""</f>
        <v/>
      </c>
      <c r="S245" t="str">
        <f>"Д НОВОАНДРЕЕВКА"</f>
        <v>Д НОВОАНДРЕЕВКА</v>
      </c>
      <c r="T245" t="str">
        <f>"УЛ ЗАПАДНАЯ"</f>
        <v>УЛ ЗАПАДНАЯ</v>
      </c>
      <c r="U245" s="1" t="str">
        <f>"1"</f>
        <v>1</v>
      </c>
      <c r="V245" s="1" t="str">
        <f>""</f>
        <v/>
      </c>
      <c r="W245" s="1" t="str">
        <f>""</f>
        <v/>
      </c>
      <c r="X245" s="1" t="str">
        <f>""</f>
        <v/>
      </c>
      <c r="Y245" s="1" t="str">
        <f>""</f>
        <v/>
      </c>
      <c r="Z245" t="str">
        <f>"3455341886"</f>
        <v>3455341886</v>
      </c>
      <c r="AA245" t="str">
        <f>"9220037655"</f>
        <v>9220037655</v>
      </c>
      <c r="AB245" t="str">
        <f>"9220037655"</f>
        <v>9220037655</v>
      </c>
      <c r="AC245" t="str">
        <f>"9220037655"</f>
        <v>9220037655</v>
      </c>
      <c r="AD245" t="str">
        <f>"9220037655"</f>
        <v>9220037655</v>
      </c>
      <c r="AE245" t="str">
        <f>"3455341886"</f>
        <v>3455341886</v>
      </c>
    </row>
    <row r="246" spans="1:31" x14ac:dyDescent="0.45">
      <c r="A246" t="str">
        <f>"НОВИКОВА ИРИНА ВАЛЕНТИНОВНА"</f>
        <v>НОВИКОВА ИРИНА ВАЛЕНТИНОВНА</v>
      </c>
      <c r="B246" t="str">
        <f>"1966-10-06"</f>
        <v>1966-10-06</v>
      </c>
      <c r="C246" t="str">
        <f>"71 11 894461"</f>
        <v>71 11 894461</v>
      </c>
      <c r="D246" t="str">
        <f>"4279016736237522"</f>
        <v>4279016736237522</v>
      </c>
      <c r="E246" t="str">
        <f t="shared" si="37"/>
        <v>2021-06-30</v>
      </c>
      <c r="F246" t="str">
        <f t="shared" si="36"/>
        <v>+</v>
      </c>
      <c r="G246" t="str">
        <f t="shared" si="36"/>
        <v>+</v>
      </c>
      <c r="H246" t="str">
        <f>"40817810216992401228"</f>
        <v>40817810216992401228</v>
      </c>
      <c r="I246" t="str">
        <f>"8647"</f>
        <v>8647</v>
      </c>
      <c r="J246" t="str">
        <f>"0186"</f>
        <v>0186</v>
      </c>
      <c r="K246" t="str">
        <f>"11000.00"</f>
        <v>11000.00</v>
      </c>
      <c r="L246" t="str">
        <f>"627610 ОБЛ ТЮМЕНСКАЯ Р-Н СЛАДКОВСКИЙ   С СЛАДКОВО УЛ ЛЕНИНА д. 104А"</f>
        <v>627610 ОБЛ ТЮМЕНСКАЯ Р-Н СЛАДКОВСКИЙ   С СЛАДКОВО УЛ ЛЕНИНА д. 104А</v>
      </c>
      <c r="M246" t="str">
        <f t="shared" si="29"/>
        <v>2019-08-24</v>
      </c>
      <c r="N246" t="str">
        <f>"МУСЗН КАЗАНСКИЙ, СЛАДКОВСКИЙ РАЙОНЫ"</f>
        <v>МУСЗН КАЗАНСКИЙ, СЛАДКОВСКИЙ РАЙОНЫ</v>
      </c>
      <c r="O246" t="str">
        <f>"627610"</f>
        <v>627610</v>
      </c>
      <c r="P246" t="str">
        <f>"ОБЛ ТЮМЕНСКАЯ"</f>
        <v>ОБЛ ТЮМЕНСКАЯ</v>
      </c>
      <c r="Q246" t="str">
        <f>"Р-Н СЛАДКОВСКИЙ"</f>
        <v>Р-Н СЛАДКОВСКИЙ</v>
      </c>
      <c r="R246" t="str">
        <f>""</f>
        <v/>
      </c>
      <c r="S246" t="str">
        <f>"С СЛАДКОВО"</f>
        <v>С СЛАДКОВО</v>
      </c>
      <c r="T246" t="str">
        <f>"УЛ ЛЕНИНА"</f>
        <v>УЛ ЛЕНИНА</v>
      </c>
      <c r="U246" s="1" t="str">
        <f>"137"</f>
        <v>137</v>
      </c>
      <c r="V246" s="1" t="str">
        <f>""</f>
        <v/>
      </c>
      <c r="W246" s="1" t="str">
        <f>""</f>
        <v/>
      </c>
      <c r="X246" s="1" t="str">
        <f>""</f>
        <v/>
      </c>
      <c r="Y246" s="1" t="str">
        <f>"2"</f>
        <v>2</v>
      </c>
      <c r="Z246" t="str">
        <f>"3455341886"</f>
        <v>3455341886</v>
      </c>
      <c r="AA246" t="str">
        <f>"9526755563"</f>
        <v>9526755563</v>
      </c>
      <c r="AB246" t="str">
        <f>"9526755563"</f>
        <v>9526755563</v>
      </c>
      <c r="AC246" t="str">
        <f>"9526755563"</f>
        <v>9526755563</v>
      </c>
      <c r="AD246" t="str">
        <f>"9526755563"</f>
        <v>9526755563</v>
      </c>
      <c r="AE246" t="str">
        <f>"3455341886"</f>
        <v>3455341886</v>
      </c>
    </row>
    <row r="247" spans="1:31" x14ac:dyDescent="0.45">
      <c r="A247" t="str">
        <f>"ПОЗДНЯКОВА ЮЛИЯ ВИКТОРОВНА"</f>
        <v>ПОЗДНЯКОВА ЮЛИЯ ВИКТОРОВНА</v>
      </c>
      <c r="B247" t="str">
        <f>"1978-01-14"</f>
        <v>1978-01-14</v>
      </c>
      <c r="C247" t="str">
        <f>"87 08 330084"</f>
        <v>87 08 330084</v>
      </c>
      <c r="D247" t="str">
        <f>"4279016722649680"</f>
        <v>4279016722649680</v>
      </c>
      <c r="E247" t="str">
        <f t="shared" si="37"/>
        <v>2021-06-30</v>
      </c>
      <c r="F247" t="str">
        <f>"K"</f>
        <v>K</v>
      </c>
      <c r="G247" t="str">
        <f>"+"</f>
        <v>+</v>
      </c>
      <c r="H247" t="str">
        <f>"40817810316992093358"</f>
        <v>40817810316992093358</v>
      </c>
      <c r="I247" t="str">
        <f>"8369"</f>
        <v>8369</v>
      </c>
      <c r="J247" t="str">
        <f>"0015"</f>
        <v>0015</v>
      </c>
      <c r="K247" t="str">
        <f>"16000.00"</f>
        <v>16000.00</v>
      </c>
      <c r="L247" t="str">
        <f>"629300 ОБЛ ТЮМЕНСКАЯ   Г НОВЫЙ УРЕНГОЙ   ПР-КТ ГУБКИНА д. 16"</f>
        <v>629300 ОБЛ ТЮМЕНСКАЯ   Г НОВЫЙ УРЕНГОЙ   ПР-КТ ГУБКИНА д. 16</v>
      </c>
      <c r="M247" t="str">
        <f t="shared" si="29"/>
        <v>2019-08-24</v>
      </c>
      <c r="N247" t="str">
        <f>"ООО РОТЕКС"</f>
        <v>ООО РОТЕКС</v>
      </c>
      <c r="O247" t="str">
        <f>"169900"</f>
        <v>169900</v>
      </c>
      <c r="P247" t="str">
        <f>"РЕСП КОМИ"</f>
        <v>РЕСП КОМИ</v>
      </c>
      <c r="Q247" t="str">
        <f>""</f>
        <v/>
      </c>
      <c r="R247" t="str">
        <f>"Г ВОРКУТА"</f>
        <v>Г ВОРКУТА</v>
      </c>
      <c r="S247" t="str">
        <f>""</f>
        <v/>
      </c>
      <c r="T247" t="str">
        <f>"УЛ ГАГАРИНА"</f>
        <v>УЛ ГАГАРИНА</v>
      </c>
      <c r="U247" s="1" t="str">
        <f>"10А"</f>
        <v>10А</v>
      </c>
      <c r="V247" s="1" t="str">
        <f>""</f>
        <v/>
      </c>
      <c r="W247" s="1" t="str">
        <f>""</f>
        <v/>
      </c>
      <c r="X247" s="1" t="str">
        <f>""</f>
        <v/>
      </c>
      <c r="Y247" s="1" t="str">
        <f>"43"</f>
        <v>43</v>
      </c>
      <c r="Z247" t="str">
        <f>""</f>
        <v/>
      </c>
      <c r="AA247" t="str">
        <f>"9913849104"</f>
        <v>9913849104</v>
      </c>
      <c r="AB247" t="str">
        <f>"9129533003"</f>
        <v>9129533003</v>
      </c>
      <c r="AC247" t="str">
        <f>"9913849104"</f>
        <v>9913849104</v>
      </c>
      <c r="AD247" t="str">
        <f>"9129533003"</f>
        <v>9129533003</v>
      </c>
      <c r="AE247" t="str">
        <f>""</f>
        <v/>
      </c>
    </row>
    <row r="248" spans="1:31" x14ac:dyDescent="0.45">
      <c r="A248" t="str">
        <f>"КИМ ЕЛЕНА АЛЕКСЕЕВНА"</f>
        <v>КИМ ЕЛЕНА АЛЕКСЕЕВНА</v>
      </c>
      <c r="B248" t="str">
        <f>"1965-11-25"</f>
        <v>1965-11-25</v>
      </c>
      <c r="C248" t="str">
        <f>"80 10 183517"</f>
        <v>80 10 183517</v>
      </c>
      <c r="D248" t="str">
        <f>"5484011601010045"</f>
        <v>5484011601010045</v>
      </c>
      <c r="E248" t="str">
        <f t="shared" si="37"/>
        <v>2021-06-30</v>
      </c>
      <c r="F248" t="str">
        <f t="shared" ref="F248:G263" si="38">"+"</f>
        <v>+</v>
      </c>
      <c r="G248" t="str">
        <f>"J"</f>
        <v>J</v>
      </c>
      <c r="H248" t="str">
        <f>"40817810316991443381"</f>
        <v>40817810316991443381</v>
      </c>
      <c r="I248" t="str">
        <f>"8598"</f>
        <v>8598</v>
      </c>
      <c r="J248" t="str">
        <f>"7770"</f>
        <v>7770</v>
      </c>
      <c r="K248" t="str">
        <f>"100000.00"</f>
        <v>100000.00</v>
      </c>
      <c r="L248" t="str">
        <f>"450000 РЕСП БАШКОРТОСТАН   Г УФА   УЛ БЕССОНОВА д. 2"</f>
        <v>450000 РЕСП БАШКОРТОСТАН   Г УФА   УЛ БЕССОНОВА д. 2</v>
      </c>
      <c r="M248" t="str">
        <f t="shared" si="29"/>
        <v>2019-08-24</v>
      </c>
      <c r="N248" t="str">
        <f>"ООО БАШНЕФТЬ-РОЗНИЦА"</f>
        <v>ООО БАШНЕФТЬ-РОЗНИЦА</v>
      </c>
      <c r="O248" t="str">
        <f>"450000"</f>
        <v>450000</v>
      </c>
      <c r="P248" t="str">
        <f>"РЕСП БАШКОРТОСТАН"</f>
        <v>РЕСП БАШКОРТОСТАН</v>
      </c>
      <c r="Q248" t="str">
        <f>""</f>
        <v/>
      </c>
      <c r="R248" t="str">
        <f>"Г УФА"</f>
        <v>Г УФА</v>
      </c>
      <c r="S248" t="str">
        <f>""</f>
        <v/>
      </c>
      <c r="T248" t="str">
        <f>"УЛ ЧУДИНОВА"</f>
        <v>УЛ ЧУДИНОВА</v>
      </c>
      <c r="U248" s="1" t="str">
        <f>"7/1"</f>
        <v>7/1</v>
      </c>
      <c r="V248" s="1" t="str">
        <f>""</f>
        <v/>
      </c>
      <c r="W248" s="1" t="str">
        <f>""</f>
        <v/>
      </c>
      <c r="X248" s="1" t="str">
        <f>""</f>
        <v/>
      </c>
      <c r="Y248" s="1" t="str">
        <f>"69"</f>
        <v>69</v>
      </c>
      <c r="Z248" t="str">
        <f>"3472144727"</f>
        <v>3472144727</v>
      </c>
      <c r="AA248" t="str">
        <f>"9659364422"</f>
        <v>9659364422</v>
      </c>
      <c r="AB248" t="str">
        <f>"9174623346"</f>
        <v>9174623346</v>
      </c>
      <c r="AC248" t="str">
        <f>"9659364422"</f>
        <v>9659364422</v>
      </c>
      <c r="AD248" t="str">
        <f>"9174623346"</f>
        <v>9174623346</v>
      </c>
      <c r="AE248" t="str">
        <f>"3472144727"</f>
        <v>3472144727</v>
      </c>
    </row>
    <row r="249" spans="1:31" x14ac:dyDescent="0.45">
      <c r="A249" t="str">
        <f>"ВИКУЛИНА ИРИНА ВИКТОРОВНА"</f>
        <v>ВИКУЛИНА ИРИНА ВИКТОРОВНА</v>
      </c>
      <c r="B249" t="str">
        <f>"1962-11-24"</f>
        <v>1962-11-24</v>
      </c>
      <c r="C249" t="str">
        <f>"67 07 749260"</f>
        <v>67 07 749260</v>
      </c>
      <c r="D249" t="str">
        <f>"4279016717307534"</f>
        <v>4279016717307534</v>
      </c>
      <c r="E249" t="str">
        <f t="shared" ref="E249:E265" si="39">"2021-05-31"</f>
        <v>2021-05-31</v>
      </c>
      <c r="F249" t="str">
        <f t="shared" si="38"/>
        <v>+</v>
      </c>
      <c r="G249" t="str">
        <f t="shared" si="38"/>
        <v>+</v>
      </c>
      <c r="H249" t="str">
        <f>"40817810416992065749"</f>
        <v>40817810416992065749</v>
      </c>
      <c r="I249" t="str">
        <f>"5940"</f>
        <v>5940</v>
      </c>
      <c r="J249" t="str">
        <f>"0053"</f>
        <v>0053</v>
      </c>
      <c r="K249" t="str">
        <f>"200000.00"</f>
        <v>200000.00</v>
      </c>
      <c r="L249" t="str">
        <f>"628400 ОБЛ ТЮМЕНСКАЯ   Г СУРГУТ   УЛ ЧЕХОВА д. 5"</f>
        <v>628400 ОБЛ ТЮМЕНСКАЯ   Г СУРГУТ   УЛ ЧЕХОВА д. 5</v>
      </c>
      <c r="M249" t="str">
        <f t="shared" si="29"/>
        <v>2019-08-24</v>
      </c>
      <c r="N249" t="str">
        <f>"ПЕНСИОНЕР"</f>
        <v>ПЕНСИОНЕР</v>
      </c>
      <c r="O249" t="str">
        <f>"628400"</f>
        <v>628400</v>
      </c>
      <c r="P249" t="str">
        <f>"ОБЛ ТЮМЕНСКАЯ"</f>
        <v>ОБЛ ТЮМЕНСКАЯ</v>
      </c>
      <c r="Q249" t="str">
        <f>""</f>
        <v/>
      </c>
      <c r="R249" t="str">
        <f>"Г СУРГУТ"</f>
        <v>Г СУРГУТ</v>
      </c>
      <c r="S249" t="str">
        <f>""</f>
        <v/>
      </c>
      <c r="T249" t="str">
        <f>"УЛ ЧЕХОВА"</f>
        <v>УЛ ЧЕХОВА</v>
      </c>
      <c r="U249" s="1" t="str">
        <f>"5"</f>
        <v>5</v>
      </c>
      <c r="V249" s="1" t="str">
        <f>""</f>
        <v/>
      </c>
      <c r="W249" s="1" t="str">
        <f>""</f>
        <v/>
      </c>
      <c r="X249" s="1" t="str">
        <f>""</f>
        <v/>
      </c>
      <c r="Y249" s="1" t="str">
        <f>"185"</f>
        <v>185</v>
      </c>
      <c r="Z249" t="str">
        <f>""</f>
        <v/>
      </c>
      <c r="AA249" t="str">
        <f>"9222549646"</f>
        <v>9222549646</v>
      </c>
      <c r="AB249" t="str">
        <f>"9222549646"</f>
        <v>9222549646</v>
      </c>
      <c r="AC249" t="str">
        <f>"9222549646"</f>
        <v>9222549646</v>
      </c>
      <c r="AD249" t="str">
        <f>"9222549646"</f>
        <v>9222549646</v>
      </c>
      <c r="AE249" t="str">
        <f>""</f>
        <v/>
      </c>
    </row>
    <row r="250" spans="1:31" x14ac:dyDescent="0.45">
      <c r="A250" t="str">
        <f>"ВАКАЛЬЧУК ЮЛИЯ ВАЛЕНТИНОВНА"</f>
        <v>ВАКАЛЬЧУК ЮЛИЯ ВАЛЕНТИНОВНА</v>
      </c>
      <c r="B250" t="str">
        <f>"1983-02-22"</f>
        <v>1983-02-22</v>
      </c>
      <c r="C250" t="str">
        <f>"67 04 391940"</f>
        <v>67 04 391940</v>
      </c>
      <c r="D250" t="str">
        <f>"4279016726544713"</f>
        <v>4279016726544713</v>
      </c>
      <c r="E250" t="str">
        <f t="shared" si="39"/>
        <v>2021-05-31</v>
      </c>
      <c r="F250" t="str">
        <f t="shared" si="38"/>
        <v>+</v>
      </c>
      <c r="G250" t="str">
        <f t="shared" si="38"/>
        <v>+</v>
      </c>
      <c r="H250" t="str">
        <f>"40817810216992404474"</f>
        <v>40817810216992404474</v>
      </c>
      <c r="I250" t="str">
        <f>"5940"</f>
        <v>5940</v>
      </c>
      <c r="J250" t="str">
        <f>"0081"</f>
        <v>0081</v>
      </c>
      <c r="K250" t="str">
        <f>"470000.00"</f>
        <v>470000.00</v>
      </c>
      <c r="L250" t="str">
        <f>"628400 ОБЛ ТЮМЕНСКАЯ   Г СУРГУТ   УЛ НЕФТЯНИКОВ д. 29/2"</f>
        <v>628400 ОБЛ ТЮМЕНСКАЯ   Г СУРГУТ   УЛ НЕФТЯНИКОВ д. 29/2</v>
      </c>
      <c r="M250" t="str">
        <f t="shared" si="29"/>
        <v>2019-08-24</v>
      </c>
      <c r="N250" t="s">
        <v>40</v>
      </c>
      <c r="O250" t="str">
        <f>"628400"</f>
        <v>628400</v>
      </c>
      <c r="P250" t="str">
        <f>"ОБЛ ТЮМЕНСКАЯ"</f>
        <v>ОБЛ ТЮМЕНСКАЯ</v>
      </c>
      <c r="Q250" t="str">
        <f>""</f>
        <v/>
      </c>
      <c r="R250" t="str">
        <f>"Г СУРГУТ"</f>
        <v>Г СУРГУТ</v>
      </c>
      <c r="S250" t="str">
        <f>""</f>
        <v/>
      </c>
      <c r="T250" t="str">
        <f>"УЛ 30 ЛЕТ ПОБЕДЫ"</f>
        <v>УЛ 30 ЛЕТ ПОБЕДЫ</v>
      </c>
      <c r="U250" s="1" t="str">
        <f>"46/1"</f>
        <v>46/1</v>
      </c>
      <c r="V250" s="1" t="str">
        <f>""</f>
        <v/>
      </c>
      <c r="W250" s="1" t="str">
        <f>""</f>
        <v/>
      </c>
      <c r="X250" s="1" t="str">
        <f>""</f>
        <v/>
      </c>
      <c r="Y250" s="1" t="str">
        <f>"32"</f>
        <v>32</v>
      </c>
      <c r="Z250" t="str">
        <f>"3462414837"</f>
        <v>3462414837</v>
      </c>
      <c r="AA250" t="str">
        <f>"9222598068"</f>
        <v>9222598068</v>
      </c>
      <c r="AB250" t="str">
        <f>"9222598068"</f>
        <v>9222598068</v>
      </c>
      <c r="AC250" t="str">
        <f>"9222598068"</f>
        <v>9222598068</v>
      </c>
      <c r="AD250" t="str">
        <f>"9222598068"</f>
        <v>9222598068</v>
      </c>
      <c r="AE250" t="str">
        <f>"3462414837"</f>
        <v>3462414837</v>
      </c>
    </row>
    <row r="251" spans="1:31" x14ac:dyDescent="0.45">
      <c r="A251" t="str">
        <f>"МОРОЗОВА ДАРЬЯ НИКОЛАЕВНА"</f>
        <v>МОРОЗОВА ДАРЬЯ НИКОЛАЕВНА</v>
      </c>
      <c r="B251" t="str">
        <f>"1986-07-12"</f>
        <v>1986-07-12</v>
      </c>
      <c r="C251" t="str">
        <f>"71 10 793110"</f>
        <v>71 10 793110</v>
      </c>
      <c r="D251" t="str">
        <f>"4279016719438774"</f>
        <v>4279016719438774</v>
      </c>
      <c r="E251" t="str">
        <f t="shared" si="39"/>
        <v>2021-05-31</v>
      </c>
      <c r="F251" t="str">
        <f t="shared" si="38"/>
        <v>+</v>
      </c>
      <c r="G251" t="str">
        <f t="shared" si="38"/>
        <v>+</v>
      </c>
      <c r="H251" t="str">
        <f>"40817810016992404616"</f>
        <v>40817810016992404616</v>
      </c>
      <c r="I251" t="str">
        <f>"8647"</f>
        <v>8647</v>
      </c>
      <c r="J251" t="str">
        <f>"0189"</f>
        <v>0189</v>
      </c>
      <c r="K251" t="str">
        <f>"40000.00"</f>
        <v>40000.00</v>
      </c>
      <c r="L251" t="str">
        <f>"627750 ОБЛ ТЮМЕНСКАЯ   Г ИШИМ   УЛ ЧЕРНЫШЕВСКОГО д. 4 кв. 24"</f>
        <v>627750 ОБЛ ТЮМЕНСКАЯ   Г ИШИМ   УЛ ЧЕРНЫШЕВСКОГО д. 4 кв. 24</v>
      </c>
      <c r="M251" t="str">
        <f t="shared" si="29"/>
        <v>2019-08-24</v>
      </c>
      <c r="N251" t="str">
        <f>"НЕ РАБОТАЕТ"</f>
        <v>НЕ РАБОТАЕТ</v>
      </c>
      <c r="O251" t="str">
        <f>"627750"</f>
        <v>627750</v>
      </c>
      <c r="P251" t="str">
        <f>"ОБЛ ТЮМЕНСКАЯ"</f>
        <v>ОБЛ ТЮМЕНСКАЯ</v>
      </c>
      <c r="Q251" t="str">
        <f>""</f>
        <v/>
      </c>
      <c r="R251" t="str">
        <f>"Г ИШИМ"</f>
        <v>Г ИШИМ</v>
      </c>
      <c r="S251" t="str">
        <f>""</f>
        <v/>
      </c>
      <c r="T251" t="str">
        <f>"УЛ ЧЕРНЫШЕВСКОГО"</f>
        <v>УЛ ЧЕРНЫШЕВСКОГО</v>
      </c>
      <c r="U251" s="1" t="str">
        <f>"4"</f>
        <v>4</v>
      </c>
      <c r="V251" s="1" t="str">
        <f>""</f>
        <v/>
      </c>
      <c r="W251" s="1" t="str">
        <f>""</f>
        <v/>
      </c>
      <c r="X251" s="1" t="str">
        <f>""</f>
        <v/>
      </c>
      <c r="Y251" s="1" t="str">
        <f>"24"</f>
        <v>24</v>
      </c>
      <c r="Z251" t="str">
        <f>""</f>
        <v/>
      </c>
      <c r="AA251" t="str">
        <f>"9048777636"</f>
        <v>9048777636</v>
      </c>
      <c r="AB251" t="str">
        <f>"9048777636"</f>
        <v>9048777636</v>
      </c>
      <c r="AC251" t="str">
        <f>"9223955580"</f>
        <v>9223955580</v>
      </c>
      <c r="AD251" t="str">
        <f>"9048777636"</f>
        <v>9048777636</v>
      </c>
      <c r="AE251" t="str">
        <f>""</f>
        <v/>
      </c>
    </row>
    <row r="252" spans="1:31" x14ac:dyDescent="0.45">
      <c r="A252" t="str">
        <f>"НУГУМАНОВ РАИЛЬ НАИЛЕВИЧ"</f>
        <v>НУГУМАНОВ РАИЛЬ НАИЛЕВИЧ</v>
      </c>
      <c r="B252" t="str">
        <f>"1986-03-09"</f>
        <v>1986-03-09</v>
      </c>
      <c r="C252" t="str">
        <f>"80 05 568614"</f>
        <v>80 05 568614</v>
      </c>
      <c r="D252" t="str">
        <f>"4279011641324291"</f>
        <v>4279011641324291</v>
      </c>
      <c r="E252" t="str">
        <f t="shared" si="39"/>
        <v>2021-05-31</v>
      </c>
      <c r="F252" t="str">
        <f t="shared" si="38"/>
        <v>+</v>
      </c>
      <c r="G252" t="str">
        <f t="shared" si="38"/>
        <v>+</v>
      </c>
      <c r="H252" t="str">
        <f>"40817810116991419162"</f>
        <v>40817810116991419162</v>
      </c>
      <c r="I252" t="str">
        <f>"8598"</f>
        <v>8598</v>
      </c>
      <c r="J252" t="str">
        <f>"0497"</f>
        <v>0497</v>
      </c>
      <c r="K252" t="str">
        <f>"68000.00"</f>
        <v>68000.00</v>
      </c>
      <c r="L252" t="str">
        <f>"450000 РЕСП БАШКОРТОСТАН   Г ДЮРТЮЛИ   УЛ ЛЕНИНА д. 23"</f>
        <v>450000 РЕСП БАШКОРТОСТАН   Г ДЮРТЮЛИ   УЛ ЛЕНИНА д. 23</v>
      </c>
      <c r="M252" t="str">
        <f t="shared" si="29"/>
        <v>2019-08-24</v>
      </c>
      <c r="N252" t="str">
        <f>"ООО БАШНЕФТЬПЕТРОТЕСТ"</f>
        <v>ООО БАШНЕФТЬПЕТРОТЕСТ</v>
      </c>
      <c r="O252" t="str">
        <f>"450000"</f>
        <v>450000</v>
      </c>
      <c r="P252" t="str">
        <f>"РЕСП БАШКОРТОСТАН"</f>
        <v>РЕСП БАШКОРТОСТАН</v>
      </c>
      <c r="Q252" t="str">
        <f>""</f>
        <v/>
      </c>
      <c r="R252" t="str">
        <f>"Г ДЮРТЮЛИ"</f>
        <v>Г ДЮРТЮЛИ</v>
      </c>
      <c r="S252" t="str">
        <f>""</f>
        <v/>
      </c>
      <c r="T252" t="str">
        <f>"УЛ ВАСИЛИЯ ГОРШКОВА"</f>
        <v>УЛ ВАСИЛИЯ ГОРШКОВА</v>
      </c>
      <c r="U252" s="1" t="str">
        <f>"15"</f>
        <v>15</v>
      </c>
      <c r="V252" s="1" t="str">
        <f>""</f>
        <v/>
      </c>
      <c r="W252" s="1" t="str">
        <f>""</f>
        <v/>
      </c>
      <c r="X252" s="1" t="str">
        <f>""</f>
        <v/>
      </c>
      <c r="Y252" s="1" t="str">
        <f>"44"</f>
        <v>44</v>
      </c>
      <c r="Z252" t="str">
        <f>"9870998907"</f>
        <v>9870998907</v>
      </c>
      <c r="AA252" t="str">
        <f>"9870998907"</f>
        <v>9870998907</v>
      </c>
      <c r="AB252" t="str">
        <f>"9870998907"</f>
        <v>9870998907</v>
      </c>
      <c r="AC252" t="str">
        <f>"9870998907"</f>
        <v>9870998907</v>
      </c>
      <c r="AD252" t="str">
        <f>"9870998907"</f>
        <v>9870998907</v>
      </c>
      <c r="AE252" t="str">
        <f>"9870998907"</f>
        <v>9870998907</v>
      </c>
    </row>
    <row r="253" spans="1:31" x14ac:dyDescent="0.45">
      <c r="A253" t="str">
        <f>"СУБАЧЕВ ОЛЕГ ИГОРЕВИЧ"</f>
        <v>СУБАЧЕВ ОЛЕГ ИГОРЕВИЧ</v>
      </c>
      <c r="B253" t="str">
        <f>"1960-06-23"</f>
        <v>1960-06-23</v>
      </c>
      <c r="C253" t="str">
        <f>"65 05 549422"</f>
        <v>65 05 549422</v>
      </c>
      <c r="D253" t="str">
        <f>"4279011680075481"</f>
        <v>4279011680075481</v>
      </c>
      <c r="E253" t="str">
        <f t="shared" si="39"/>
        <v>2021-05-31</v>
      </c>
      <c r="F253" t="str">
        <f t="shared" si="38"/>
        <v>+</v>
      </c>
      <c r="G253" t="str">
        <f t="shared" si="38"/>
        <v>+</v>
      </c>
      <c r="H253" t="str">
        <f>"40817810416991419163"</f>
        <v>40817810416991419163</v>
      </c>
      <c r="I253" t="str">
        <f>"7003"</f>
        <v>7003</v>
      </c>
      <c r="J253" t="str">
        <f>"0441"</f>
        <v>0441</v>
      </c>
      <c r="K253" t="str">
        <f>"220000.00"</f>
        <v>220000.00</v>
      </c>
      <c r="L253" t="str">
        <f>"620000 ОБЛ СВЕРДЛОВСКАЯ   Г ЕКАТЕРИНБУРГ   УЛ ТОКАРЕЙ д. 62 кв. 38"</f>
        <v>620000 ОБЛ СВЕРДЛОВСКАЯ   Г ЕКАТЕРИНБУРГ   УЛ ТОКАРЕЙ д. 62 кв. 38</v>
      </c>
      <c r="M253" t="str">
        <f t="shared" si="29"/>
        <v>2019-08-24</v>
      </c>
      <c r="N253" t="str">
        <f>"ИП СУБАЧЕВ ОЛЕГ ИГОРЕВИЧ"</f>
        <v>ИП СУБАЧЕВ ОЛЕГ ИГОРЕВИЧ</v>
      </c>
      <c r="O253" t="str">
        <f>"620000"</f>
        <v>620000</v>
      </c>
      <c r="P253" t="str">
        <f>"ОБЛ СВЕРДЛОВСКАЯ"</f>
        <v>ОБЛ СВЕРДЛОВСКАЯ</v>
      </c>
      <c r="Q253" t="str">
        <f>""</f>
        <v/>
      </c>
      <c r="R253" t="str">
        <f>"Г ЕКАТЕРИНБУРГ"</f>
        <v>Г ЕКАТЕРИНБУРГ</v>
      </c>
      <c r="S253" t="str">
        <f>""</f>
        <v/>
      </c>
      <c r="T253" t="str">
        <f>"УЛ ТОКАРЕЙ"</f>
        <v>УЛ ТОКАРЕЙ</v>
      </c>
      <c r="U253" s="1" t="str">
        <f>"62"</f>
        <v>62</v>
      </c>
      <c r="V253" s="1" t="str">
        <f>""</f>
        <v/>
      </c>
      <c r="W253" s="1" t="str">
        <f>""</f>
        <v/>
      </c>
      <c r="X253" s="1" t="str">
        <f>""</f>
        <v/>
      </c>
      <c r="Y253" s="1" t="str">
        <f>"38"</f>
        <v>38</v>
      </c>
      <c r="Z253" t="str">
        <f>"343 2451563"</f>
        <v>343 2451563</v>
      </c>
      <c r="AA253" t="str">
        <f>"9122639319"</f>
        <v>9122639319</v>
      </c>
      <c r="AB253" t="str">
        <f>"9122639319"</f>
        <v>9122639319</v>
      </c>
      <c r="AC253" t="str">
        <f>"9122639319"</f>
        <v>9122639319</v>
      </c>
      <c r="AD253" t="str">
        <f>"9122639319"</f>
        <v>9122639319</v>
      </c>
      <c r="AE253" t="str">
        <f>""</f>
        <v/>
      </c>
    </row>
    <row r="254" spans="1:31" x14ac:dyDescent="0.45">
      <c r="A254" t="str">
        <f>"ШВЕЦОВА ЛИЛИЯ ПАВЛОВНА"</f>
        <v>ШВЕЦОВА ЛИЛИЯ ПАВЛОВНА</v>
      </c>
      <c r="B254" t="str">
        <f>"1983-10-22"</f>
        <v>1983-10-22</v>
      </c>
      <c r="C254" t="str">
        <f>"65 10 940924"</f>
        <v>65 10 940924</v>
      </c>
      <c r="D254" t="str">
        <f>"4279011667864576"</f>
        <v>4279011667864576</v>
      </c>
      <c r="E254" t="str">
        <f t="shared" si="39"/>
        <v>2021-05-31</v>
      </c>
      <c r="F254" t="str">
        <f t="shared" si="38"/>
        <v>+</v>
      </c>
      <c r="G254" t="str">
        <f t="shared" si="38"/>
        <v>+</v>
      </c>
      <c r="H254" t="str">
        <f>"40817810716991419164"</f>
        <v>40817810716991419164</v>
      </c>
      <c r="I254" t="str">
        <f>"7003"</f>
        <v>7003</v>
      </c>
      <c r="J254" t="str">
        <f>"0659"</f>
        <v>0659</v>
      </c>
      <c r="K254" t="str">
        <f>"15000.00"</f>
        <v>15000.00</v>
      </c>
      <c r="L254" t="str">
        <f>"620000 ОБЛ СВЕРДЛОВСКАЯ   Г КРАСНОУФИМСК   УЛ ОЗЕРНАЯ д. 13"</f>
        <v>620000 ОБЛ СВЕРДЛОВСКАЯ   Г КРАСНОУФИМСК   УЛ ОЗЕРНАЯ д. 13</v>
      </c>
      <c r="M254" t="str">
        <f t="shared" si="29"/>
        <v>2019-08-24</v>
      </c>
      <c r="N254" t="str">
        <f>"ИП ШВЕЦОВА Л.П."</f>
        <v>ИП ШВЕЦОВА Л.П.</v>
      </c>
      <c r="O254" t="str">
        <f>"620000"</f>
        <v>620000</v>
      </c>
      <c r="P254" t="str">
        <f>"ОБЛ СВЕРДЛОВСКАЯ"</f>
        <v>ОБЛ СВЕРДЛОВСКАЯ</v>
      </c>
      <c r="Q254" t="str">
        <f>""</f>
        <v/>
      </c>
      <c r="R254" t="str">
        <f>"Г КРАСНОУФИМСК"</f>
        <v>Г КРАСНОУФИМСК</v>
      </c>
      <c r="S254" t="str">
        <f>""</f>
        <v/>
      </c>
      <c r="T254" t="str">
        <f>"УЛ СПОРТИВНАЯ"</f>
        <v>УЛ СПОРТИВНАЯ</v>
      </c>
      <c r="U254" s="1" t="str">
        <f>"9"</f>
        <v>9</v>
      </c>
      <c r="V254" s="1" t="str">
        <f>""</f>
        <v/>
      </c>
      <c r="W254" s="1" t="str">
        <f>""</f>
        <v/>
      </c>
      <c r="X254" s="1" t="str">
        <f>""</f>
        <v/>
      </c>
      <c r="Y254" s="1" t="str">
        <f>"2"</f>
        <v>2</v>
      </c>
      <c r="Z254" t="str">
        <f>"9502048351"</f>
        <v>9502048351</v>
      </c>
      <c r="AA254" t="str">
        <f>"9502048351"</f>
        <v>9502048351</v>
      </c>
      <c r="AB254" t="str">
        <f>"9502048351"</f>
        <v>9502048351</v>
      </c>
      <c r="AC254" t="str">
        <f>"9502048351"</f>
        <v>9502048351</v>
      </c>
      <c r="AD254" t="str">
        <f>"9502048351"</f>
        <v>9502048351</v>
      </c>
      <c r="AE254" t="str">
        <f>"9502048351"</f>
        <v>9502048351</v>
      </c>
    </row>
    <row r="255" spans="1:31" x14ac:dyDescent="0.45">
      <c r="A255" t="str">
        <f>"АКНАЗАРОВА ИЛЬГИНА ВЕНЕРОВНА"</f>
        <v>АКНАЗАРОВА ИЛЬГИНА ВЕНЕРОВНА</v>
      </c>
      <c r="B255" t="str">
        <f>"1994-02-18"</f>
        <v>1994-02-18</v>
      </c>
      <c r="C255" t="str">
        <f>"80 14 936841"</f>
        <v>80 14 936841</v>
      </c>
      <c r="D255" t="str">
        <f>"4276011645586773"</f>
        <v>4276011645586773</v>
      </c>
      <c r="E255" t="str">
        <f t="shared" si="39"/>
        <v>2021-05-31</v>
      </c>
      <c r="F255" t="str">
        <f t="shared" si="38"/>
        <v>+</v>
      </c>
      <c r="G255" t="str">
        <f t="shared" si="38"/>
        <v>+</v>
      </c>
      <c r="H255" t="str">
        <f>"40817810016991419165"</f>
        <v>40817810016991419165</v>
      </c>
      <c r="I255" t="str">
        <f>"8598"</f>
        <v>8598</v>
      </c>
      <c r="J255" t="str">
        <f>"0726"</f>
        <v>0726</v>
      </c>
      <c r="K255" t="str">
        <f>"100000.00"</f>
        <v>100000.00</v>
      </c>
      <c r="L255" t="str">
        <f>"453837 РЕСП БАШКОРТОСТАН   Г СИБАЙ   УЛ ЛЕНИНА д. 17"</f>
        <v>453837 РЕСП БАШКОРТОСТАН   Г СИБАЙ   УЛ ЛЕНИНА д. 17</v>
      </c>
      <c r="M255" t="str">
        <f t="shared" si="29"/>
        <v>2019-08-24</v>
      </c>
      <c r="N255" t="str">
        <f>"СБЕРБАНК РОССИИ"</f>
        <v>СБЕРБАНК РОССИИ</v>
      </c>
      <c r="O255" t="str">
        <f>"453837"</f>
        <v>453837</v>
      </c>
      <c r="P255" t="str">
        <f>"РЕСП БАШКОРТОСТАН"</f>
        <v>РЕСП БАШКОРТОСТАН</v>
      </c>
      <c r="Q255" t="str">
        <f>""</f>
        <v/>
      </c>
      <c r="R255" t="str">
        <f>"Г СИБАЙ"</f>
        <v>Г СИБАЙ</v>
      </c>
      <c r="S255" t="str">
        <f>""</f>
        <v/>
      </c>
      <c r="T255" t="str">
        <f>"УЛ БИИШЕВОЙ"</f>
        <v>УЛ БИИШЕВОЙ</v>
      </c>
      <c r="U255" s="1" t="str">
        <f>"34"</f>
        <v>34</v>
      </c>
      <c r="V255" s="1" t="str">
        <f>""</f>
        <v/>
      </c>
      <c r="W255" s="1" t="str">
        <f>""</f>
        <v/>
      </c>
      <c r="X255" s="1" t="str">
        <f>""</f>
        <v/>
      </c>
      <c r="Y255" s="1" t="str">
        <f>""</f>
        <v/>
      </c>
      <c r="Z255" t="str">
        <f>"3477522503"</f>
        <v>3477522503</v>
      </c>
      <c r="AA255" t="str">
        <f>"9377808409"</f>
        <v>9377808409</v>
      </c>
      <c r="AB255" t="str">
        <f>"9377808409"</f>
        <v>9377808409</v>
      </c>
      <c r="AC255" t="str">
        <f>""</f>
        <v/>
      </c>
      <c r="AD255" t="str">
        <f>"9377808409"</f>
        <v>9377808409</v>
      </c>
      <c r="AE255" t="str">
        <f>"3477522503"</f>
        <v>3477522503</v>
      </c>
    </row>
    <row r="256" spans="1:31" x14ac:dyDescent="0.45">
      <c r="A256" t="str">
        <f>"ЛЕОНОВА ЮЛИЯ ВЛАДИМИРОВНА"</f>
        <v>ЛЕОНОВА ЮЛИЯ ВЛАДИМИРОВНА</v>
      </c>
      <c r="B256" t="str">
        <f>"1977-01-28"</f>
        <v>1977-01-28</v>
      </c>
      <c r="C256" t="str">
        <f>"75 01 258697"</f>
        <v>75 01 258697</v>
      </c>
      <c r="D256" t="str">
        <f>"4276011658782756"</f>
        <v>4276011658782756</v>
      </c>
      <c r="E256" t="str">
        <f t="shared" si="39"/>
        <v>2021-05-31</v>
      </c>
      <c r="F256" t="str">
        <f t="shared" si="38"/>
        <v>+</v>
      </c>
      <c r="G256" t="str">
        <f t="shared" si="38"/>
        <v>+</v>
      </c>
      <c r="H256" t="str">
        <f>"40817810316991419166"</f>
        <v>40817810316991419166</v>
      </c>
      <c r="I256" t="str">
        <f>"8597"</f>
        <v>8597</v>
      </c>
      <c r="J256" t="str">
        <f>"0270"</f>
        <v>0270</v>
      </c>
      <c r="K256" t="str">
        <f>"100000.00"</f>
        <v>100000.00</v>
      </c>
      <c r="L256" t="str">
        <f>"454000 ОБЛ ЧЕЛЯБИНСКАЯ   Г ЧЕЛЯБИНСК   ПР-КТ ЛЕНИНА д. 55 стр. А офис 505"</f>
        <v>454000 ОБЛ ЧЕЛЯБИНСКАЯ   Г ЧЕЛЯБИНСК   ПР-КТ ЛЕНИНА д. 55 стр. А офис 505</v>
      </c>
      <c r="M256" t="str">
        <f t="shared" si="29"/>
        <v>2019-08-24</v>
      </c>
      <c r="N256" t="str">
        <f>"ИП КОНОРЕВ ПЕТР НИКОЛАЕВИЧ"</f>
        <v>ИП КОНОРЕВ ПЕТР НИКОЛАЕВИЧ</v>
      </c>
      <c r="O256" t="str">
        <f>"454000"</f>
        <v>454000</v>
      </c>
      <c r="P256" t="str">
        <f>"ОБЛ ЧЕЛЯБИНСКАЯ"</f>
        <v>ОБЛ ЧЕЛЯБИНСКАЯ</v>
      </c>
      <c r="Q256" t="str">
        <f>""</f>
        <v/>
      </c>
      <c r="R256" t="str">
        <f>"Г ЧЕЛЯБИНСК"</f>
        <v>Г ЧЕЛЯБИНСК</v>
      </c>
      <c r="S256" t="str">
        <f>""</f>
        <v/>
      </c>
      <c r="T256" t="str">
        <f>"ПР-КТ КОМСОМОЛЬСКИЙ"</f>
        <v>ПР-КТ КОМСОМОЛЬСКИЙ</v>
      </c>
      <c r="U256" s="1" t="str">
        <f>"112"</f>
        <v>112</v>
      </c>
      <c r="V256" s="1" t="str">
        <f>""</f>
        <v/>
      </c>
      <c r="W256" s="1" t="str">
        <f>""</f>
        <v/>
      </c>
      <c r="X256" s="1" t="str">
        <f>""</f>
        <v/>
      </c>
      <c r="Y256" s="1" t="str">
        <f>"8"</f>
        <v>8</v>
      </c>
      <c r="Z256" t="str">
        <f>"3517767631"</f>
        <v>3517767631</v>
      </c>
      <c r="AA256" t="str">
        <f>"3517951764"</f>
        <v>3517951764</v>
      </c>
      <c r="AB256" t="str">
        <f>"9043086830"</f>
        <v>9043086830</v>
      </c>
      <c r="AC256" t="str">
        <f>""</f>
        <v/>
      </c>
      <c r="AD256" t="str">
        <f>"9043086830"</f>
        <v>9043086830</v>
      </c>
      <c r="AE256" t="str">
        <f>"3517767631"</f>
        <v>3517767631</v>
      </c>
    </row>
    <row r="257" spans="1:31" x14ac:dyDescent="0.45">
      <c r="A257" t="str">
        <f>"ГРЕБЕННИК ИВАН АЛЕКСАНДРОВИЧ"</f>
        <v>ГРЕБЕННИК ИВАН АЛЕКСАНДРОВИЧ</v>
      </c>
      <c r="B257" t="str">
        <f>"1985-11-03"</f>
        <v>1985-11-03</v>
      </c>
      <c r="C257" t="str">
        <f>"75 18 030985"</f>
        <v>75 18 030985</v>
      </c>
      <c r="D257" t="str">
        <f>"5469011604787291"</f>
        <v>5469011604787291</v>
      </c>
      <c r="E257" t="str">
        <f t="shared" si="39"/>
        <v>2021-05-31</v>
      </c>
      <c r="F257" t="str">
        <f>"K"</f>
        <v>K</v>
      </c>
      <c r="G257" t="str">
        <f t="shared" si="38"/>
        <v>+</v>
      </c>
      <c r="H257" t="str">
        <f>"40817810616991419167"</f>
        <v>40817810616991419167</v>
      </c>
      <c r="I257" t="str">
        <f>"8597"</f>
        <v>8597</v>
      </c>
      <c r="J257" t="str">
        <f>"0297"</f>
        <v>0297</v>
      </c>
      <c r="K257" t="str">
        <f>"100000.00"</f>
        <v>100000.00</v>
      </c>
      <c r="L257" t="str">
        <f>"456618 ОБЛ ЧЕЛЯБИНСКАЯ   Г КОПЕЙСК   ПР-КТ КОММУНИСТИЧЕСКИЙ д. 22"</f>
        <v>456618 ОБЛ ЧЕЛЯБИНСКАЯ   Г КОПЕЙСК   ПР-КТ КОММУНИСТИЧЕСКИЙ д. 22</v>
      </c>
      <c r="M257" t="str">
        <f t="shared" si="29"/>
        <v>2019-08-24</v>
      </c>
      <c r="N257" t="str">
        <f>"ООО ПКФ ИНСИТ"</f>
        <v>ООО ПКФ ИНСИТ</v>
      </c>
      <c r="O257" t="str">
        <f>"456657"</f>
        <v>456657</v>
      </c>
      <c r="P257" t="str">
        <f>"ОБЛ ЧЕЛЯБИНСКАЯ"</f>
        <v>ОБЛ ЧЕЛЯБИНСКАЯ</v>
      </c>
      <c r="Q257" t="str">
        <f>""</f>
        <v/>
      </c>
      <c r="R257" t="str">
        <f>"Г КОПЕЙСК"</f>
        <v>Г КОПЕЙСК</v>
      </c>
      <c r="S257" t="str">
        <f>""</f>
        <v/>
      </c>
      <c r="T257" t="str">
        <f>"УЛ ПАРХОМЕНКО"</f>
        <v>УЛ ПАРХОМЕНКО</v>
      </c>
      <c r="U257" s="1" t="str">
        <f>"5"</f>
        <v>5</v>
      </c>
      <c r="V257" s="1" t="str">
        <f>""</f>
        <v/>
      </c>
      <c r="W257" s="1" t="str">
        <f>""</f>
        <v/>
      </c>
      <c r="X257" s="1" t="str">
        <f>""</f>
        <v/>
      </c>
      <c r="Y257" s="1" t="str">
        <f>"1"</f>
        <v>1</v>
      </c>
      <c r="Z257" t="str">
        <f>""</f>
        <v/>
      </c>
      <c r="AA257" t="str">
        <f>""</f>
        <v/>
      </c>
      <c r="AB257" t="str">
        <f>"9220153556"</f>
        <v>9220153556</v>
      </c>
      <c r="AC257" t="str">
        <f>""</f>
        <v/>
      </c>
      <c r="AD257" t="str">
        <f>"9220153556"</f>
        <v>9220153556</v>
      </c>
      <c r="AE257" t="str">
        <f>""</f>
        <v/>
      </c>
    </row>
    <row r="258" spans="1:31" x14ac:dyDescent="0.45">
      <c r="A258" t="str">
        <f>"РОКУТОВА НАТАЛЬЯ АЛЕКСАНДРОВНА"</f>
        <v>РОКУТОВА НАТАЛЬЯ АЛЕКСАНДРОВНА</v>
      </c>
      <c r="B258" t="str">
        <f>"1963-12-19"</f>
        <v>1963-12-19</v>
      </c>
      <c r="C258" t="str">
        <f>"75 08 347215"</f>
        <v>75 08 347215</v>
      </c>
      <c r="D258" t="str">
        <f>"4279011635513719"</f>
        <v>4279011635513719</v>
      </c>
      <c r="E258" t="str">
        <f t="shared" si="39"/>
        <v>2021-05-31</v>
      </c>
      <c r="F258" t="str">
        <f t="shared" ref="F258:G269" si="40">"+"</f>
        <v>+</v>
      </c>
      <c r="G258" t="str">
        <f t="shared" si="38"/>
        <v>+</v>
      </c>
      <c r="H258" t="str">
        <f>"40817810916991419168"</f>
        <v>40817810916991419168</v>
      </c>
      <c r="I258" t="str">
        <f>"8597"</f>
        <v>8597</v>
      </c>
      <c r="J258" t="str">
        <f>"0330"</f>
        <v>0330</v>
      </c>
      <c r="K258" t="str">
        <f>"33000.00"</f>
        <v>33000.00</v>
      </c>
      <c r="L258" t="str">
        <f>"454000 ОБЛ ЧЕЛЯБИНСКАЯ Р-Н АШИНСКИЙ   П КРОПАЧЁВО УЛ СОВЕТСКАЯ д. 59"</f>
        <v>454000 ОБЛ ЧЕЛЯБИНСКАЯ Р-Н АШИНСКИЙ   П КРОПАЧЁВО УЛ СОВЕТСКАЯ д. 59</v>
      </c>
      <c r="M258" t="str">
        <f t="shared" ref="M258:M321" si="41">"2019-08-24"</f>
        <v>2019-08-24</v>
      </c>
      <c r="N258" t="str">
        <f>"ПЕНСИОНЕР"</f>
        <v>ПЕНСИОНЕР</v>
      </c>
      <c r="O258" t="str">
        <f>"454000"</f>
        <v>454000</v>
      </c>
      <c r="P258" t="str">
        <f>"ОБЛ ЧЕЛЯБИНСКАЯ"</f>
        <v>ОБЛ ЧЕЛЯБИНСКАЯ</v>
      </c>
      <c r="Q258" t="str">
        <f>"Р-Н АШИНСКИЙ"</f>
        <v>Р-Н АШИНСКИЙ</v>
      </c>
      <c r="R258" t="str">
        <f>""</f>
        <v/>
      </c>
      <c r="S258" t="str">
        <f>"ПГТ КРОПАЧЁВО"</f>
        <v>ПГТ КРОПАЧЁВО</v>
      </c>
      <c r="T258" t="str">
        <f>"УЛ СОВЕТСКАЯ"</f>
        <v>УЛ СОВЕТСКАЯ</v>
      </c>
      <c r="U258" s="1" t="str">
        <f>"59"</f>
        <v>59</v>
      </c>
      <c r="V258" s="1" t="str">
        <f>""</f>
        <v/>
      </c>
      <c r="W258" s="1" t="str">
        <f>""</f>
        <v/>
      </c>
      <c r="X258" s="1" t="str">
        <f>""</f>
        <v/>
      </c>
      <c r="Y258" s="1" t="str">
        <f>""</f>
        <v/>
      </c>
      <c r="Z258" t="str">
        <f>""</f>
        <v/>
      </c>
      <c r="AA258" t="str">
        <f>"+7 (919) 3351223"</f>
        <v>+7 (919) 3351223</v>
      </c>
      <c r="AB258" t="str">
        <f>"+7 (919) 3351223"</f>
        <v>+7 (919) 3351223</v>
      </c>
      <c r="AC258" t="str">
        <f>"9193351223"</f>
        <v>9193351223</v>
      </c>
      <c r="AD258" t="str">
        <f>"9193351223"</f>
        <v>9193351223</v>
      </c>
      <c r="AE258" t="str">
        <f>""</f>
        <v/>
      </c>
    </row>
    <row r="259" spans="1:31" x14ac:dyDescent="0.45">
      <c r="A259" t="str">
        <f>"ГИМАЕВА АЙГУЛЬ МУХТАРОВНА"</f>
        <v>ГИМАЕВА АЙГУЛЬ МУХТАРОВНА</v>
      </c>
      <c r="B259" t="str">
        <f>"1974-02-21"</f>
        <v>1974-02-21</v>
      </c>
      <c r="C259" t="str">
        <f>"80 18 916300"</f>
        <v>80 18 916300</v>
      </c>
      <c r="D259" t="str">
        <f>"4279011689507823"</f>
        <v>4279011689507823</v>
      </c>
      <c r="E259" t="str">
        <f t="shared" si="39"/>
        <v>2021-05-31</v>
      </c>
      <c r="F259" t="str">
        <f t="shared" si="40"/>
        <v>+</v>
      </c>
      <c r="G259" t="str">
        <f t="shared" si="38"/>
        <v>+</v>
      </c>
      <c r="H259" t="str">
        <f>"40817810616991419170"</f>
        <v>40817810616991419170</v>
      </c>
      <c r="I259" t="str">
        <f>"8598"</f>
        <v>8598</v>
      </c>
      <c r="J259" t="str">
        <f>"0321"</f>
        <v>0321</v>
      </c>
      <c r="K259" t="str">
        <f>"160000.00"</f>
        <v>160000.00</v>
      </c>
      <c r="L259" t="str">
        <f>"450000 РЕСП БАШКОРТОСТАН   Г УЧАЛЫ   УЛ К. МАРКСА д. 20"</f>
        <v>450000 РЕСП БАШКОРТОСТАН   Г УЧАЛЫ   УЛ К. МАРКСА д. 20</v>
      </c>
      <c r="M259" t="str">
        <f t="shared" si="41"/>
        <v>2019-08-24</v>
      </c>
      <c r="N259" t="str">
        <f>"ЦИК РБ"</f>
        <v>ЦИК РБ</v>
      </c>
      <c r="O259" t="str">
        <f>"450000"</f>
        <v>450000</v>
      </c>
      <c r="P259" t="str">
        <f>"РЕСП БАШКОРТОСТАН"</f>
        <v>РЕСП БАШКОРТОСТАН</v>
      </c>
      <c r="Q259" t="str">
        <f>""</f>
        <v/>
      </c>
      <c r="R259" t="str">
        <f>"Г УЧАЛЫ"</f>
        <v>Г УЧАЛЫ</v>
      </c>
      <c r="S259" t="str">
        <f>""</f>
        <v/>
      </c>
      <c r="T259" t="str">
        <f>"УЛ МИРА"</f>
        <v>УЛ МИРА</v>
      </c>
      <c r="U259" s="1" t="str">
        <f>"28"</f>
        <v>28</v>
      </c>
      <c r="V259" s="1" t="str">
        <f>""</f>
        <v/>
      </c>
      <c r="W259" s="1" t="str">
        <f>"Б"</f>
        <v>Б</v>
      </c>
      <c r="X259" s="1" t="str">
        <f>""</f>
        <v/>
      </c>
      <c r="Y259" s="1" t="str">
        <f>"16"</f>
        <v>16</v>
      </c>
      <c r="Z259" t="str">
        <f>""</f>
        <v/>
      </c>
      <c r="AA259" t="str">
        <f>"9649544650"</f>
        <v>9649544650</v>
      </c>
      <c r="AB259" t="str">
        <f>"9051819421"</f>
        <v>9051819421</v>
      </c>
      <c r="AC259" t="str">
        <f>"9649544650"</f>
        <v>9649544650</v>
      </c>
      <c r="AD259" t="str">
        <f>"9051819421"</f>
        <v>9051819421</v>
      </c>
      <c r="AE259" t="str">
        <f>""</f>
        <v/>
      </c>
    </row>
    <row r="260" spans="1:31" x14ac:dyDescent="0.45">
      <c r="A260" t="str">
        <f>"АХМЕДОВ АРТУР АЛИМЖАНОВИЧ"</f>
        <v>АХМЕДОВ АРТУР АЛИМЖАНОВИЧ</v>
      </c>
      <c r="B260" t="str">
        <f>"1986-05-30"</f>
        <v>1986-05-30</v>
      </c>
      <c r="C260" t="str">
        <f>"75 13 296659"</f>
        <v>75 13 296659</v>
      </c>
      <c r="D260" t="str">
        <f>"4279011646733389"</f>
        <v>4279011646733389</v>
      </c>
      <c r="E260" t="str">
        <f t="shared" si="39"/>
        <v>2021-05-31</v>
      </c>
      <c r="F260" t="str">
        <f t="shared" si="40"/>
        <v>+</v>
      </c>
      <c r="G260" t="str">
        <f t="shared" si="38"/>
        <v>+</v>
      </c>
      <c r="H260" t="str">
        <f>"40817810916991419171"</f>
        <v>40817810916991419171</v>
      </c>
      <c r="I260" t="str">
        <f>"8597"</f>
        <v>8597</v>
      </c>
      <c r="J260" t="str">
        <f>"0323"</f>
        <v>0323</v>
      </c>
      <c r="K260" t="str">
        <f>"28000.00"</f>
        <v>28000.00</v>
      </c>
      <c r="L260" t="str">
        <f>"456043 ОБЛ ЧЕЛЯБИНСКАЯ   Г УСТЬ-КАТАВ   УЛ СОЦИАЛИСТИЧЕСКАЯ д. 38 кв. 18"</f>
        <v>456043 ОБЛ ЧЕЛЯБИНСКАЯ   Г УСТЬ-КАТАВ   УЛ СОЦИАЛИСТИЧЕСКАЯ д. 38 кв. 18</v>
      </c>
      <c r="M260" t="str">
        <f t="shared" si="41"/>
        <v>2019-08-24</v>
      </c>
      <c r="N260" t="str">
        <f>"ИП АХМЕДОВ АРТУР АЛИМЖАНОВИЧ"</f>
        <v>ИП АХМЕДОВ АРТУР АЛИМЖАНОВИЧ</v>
      </c>
      <c r="O260" t="str">
        <f>"456043"</f>
        <v>456043</v>
      </c>
      <c r="P260" t="str">
        <f>"ОБЛ ЧЕЛЯБИНСКАЯ"</f>
        <v>ОБЛ ЧЕЛЯБИНСКАЯ</v>
      </c>
      <c r="Q260" t="str">
        <f>""</f>
        <v/>
      </c>
      <c r="R260" t="str">
        <f>"Г УСТЬ-КАТАВ"</f>
        <v>Г УСТЬ-КАТАВ</v>
      </c>
      <c r="S260" t="str">
        <f>""</f>
        <v/>
      </c>
      <c r="T260" t="str">
        <f>"УЛ СОЦИАЛИСТИЧЕСКАЯ"</f>
        <v>УЛ СОЦИАЛИСТИЧЕСКАЯ</v>
      </c>
      <c r="U260" s="1" t="str">
        <f>"38"</f>
        <v>38</v>
      </c>
      <c r="V260" s="1" t="str">
        <f>""</f>
        <v/>
      </c>
      <c r="W260" s="1" t="str">
        <f>""</f>
        <v/>
      </c>
      <c r="X260" s="1" t="str">
        <f>""</f>
        <v/>
      </c>
      <c r="Y260" s="1" t="str">
        <f>"18"</f>
        <v>18</v>
      </c>
      <c r="Z260" t="str">
        <f>"9823578880"</f>
        <v>9823578880</v>
      </c>
      <c r="AA260" t="str">
        <f>"9823578880"</f>
        <v>9823578880</v>
      </c>
      <c r="AB260" t="str">
        <f>"9823578880"</f>
        <v>9823578880</v>
      </c>
      <c r="AC260" t="str">
        <f>"9823578880"</f>
        <v>9823578880</v>
      </c>
      <c r="AD260" t="str">
        <f>"9823578880"</f>
        <v>9823578880</v>
      </c>
      <c r="AE260" t="str">
        <f>"9823578880"</f>
        <v>9823578880</v>
      </c>
    </row>
    <row r="261" spans="1:31" x14ac:dyDescent="0.45">
      <c r="A261" t="str">
        <f>"ВЫПРИЦКИХ НАДЕЖДА ЮРЬЕВНА"</f>
        <v>ВЫПРИЦКИХ НАДЕЖДА ЮРЬЕВНА</v>
      </c>
      <c r="B261" t="str">
        <f>"1968-01-03"</f>
        <v>1968-01-03</v>
      </c>
      <c r="C261" t="str">
        <f>"75 12 143294"</f>
        <v>75 12 143294</v>
      </c>
      <c r="D261" t="str">
        <f>"4279011636743299"</f>
        <v>4279011636743299</v>
      </c>
      <c r="E261" t="str">
        <f t="shared" si="39"/>
        <v>2021-05-31</v>
      </c>
      <c r="F261" t="str">
        <f t="shared" si="40"/>
        <v>+</v>
      </c>
      <c r="G261" t="str">
        <f t="shared" si="38"/>
        <v>+</v>
      </c>
      <c r="H261" t="str">
        <f>"40817810216991419172"</f>
        <v>40817810216991419172</v>
      </c>
      <c r="I261" t="str">
        <f>"8597"</f>
        <v>8597</v>
      </c>
      <c r="J261" t="str">
        <f>"0561"</f>
        <v>0561</v>
      </c>
      <c r="K261" t="str">
        <f>"23000.00"</f>
        <v>23000.00</v>
      </c>
      <c r="L261" t="str">
        <f>"454000 ОБЛ ЧЕЛЯБИНСКАЯ   Г ЧЕЛЯБИНСК   ПР-КТ КРАСНОПОЛЬСКИЙ д. 1Ж"</f>
        <v>454000 ОБЛ ЧЕЛЯБИНСКАЯ   Г ЧЕЛЯБИНСК   ПР-КТ КРАСНОПОЛЬСКИЙ д. 1Ж</v>
      </c>
      <c r="M261" t="str">
        <f t="shared" si="41"/>
        <v>2019-08-24</v>
      </c>
      <c r="N261" t="str">
        <f>"МДОУ ОЦ №2"</f>
        <v>МДОУ ОЦ №2</v>
      </c>
      <c r="O261" t="str">
        <f>"454000"</f>
        <v>454000</v>
      </c>
      <c r="P261" t="str">
        <f>"ОБЛ ЧЕЛЯБИНСКАЯ"</f>
        <v>ОБЛ ЧЕЛЯБИНСКАЯ</v>
      </c>
      <c r="Q261" t="str">
        <f>""</f>
        <v/>
      </c>
      <c r="R261" t="str">
        <f>"Г ЧЕЛЯБИНСК"</f>
        <v>Г ЧЕЛЯБИНСК</v>
      </c>
      <c r="S261" t="str">
        <f>""</f>
        <v/>
      </c>
      <c r="T261" t="str">
        <f>"УЛ АЛЕКСАНДРА ШМАКОВА"</f>
        <v>УЛ АЛЕКСАНДРА ШМАКОВА</v>
      </c>
      <c r="U261" s="1" t="str">
        <f>"16"</f>
        <v>16</v>
      </c>
      <c r="V261" s="1" t="str">
        <f>""</f>
        <v/>
      </c>
      <c r="W261" s="1" t="str">
        <f>""</f>
        <v/>
      </c>
      <c r="X261" s="1" t="str">
        <f>""</f>
        <v/>
      </c>
      <c r="Y261" s="1" t="str">
        <f>"28"</f>
        <v>28</v>
      </c>
      <c r="Z261" t="str">
        <f>""</f>
        <v/>
      </c>
      <c r="AA261" t="str">
        <f>"9517978640"</f>
        <v>9517978640</v>
      </c>
      <c r="AB261" t="str">
        <f>"9080433084"</f>
        <v>9080433084</v>
      </c>
      <c r="AC261" t="str">
        <f>"9517978640"</f>
        <v>9517978640</v>
      </c>
      <c r="AD261" t="str">
        <f>"9080433084"</f>
        <v>9080433084</v>
      </c>
      <c r="AE261" t="str">
        <f>""</f>
        <v/>
      </c>
    </row>
    <row r="262" spans="1:31" x14ac:dyDescent="0.45">
      <c r="A262" t="str">
        <f>"РАЗЯПОВА СВЕТЛАНА РАВИЛЕВНА"</f>
        <v>РАЗЯПОВА СВЕТЛАНА РАВИЛЕВНА</v>
      </c>
      <c r="B262" t="str">
        <f>"1977-10-25"</f>
        <v>1977-10-25</v>
      </c>
      <c r="C262" t="str">
        <f>"80 02 123018"</f>
        <v>80 02 123018</v>
      </c>
      <c r="D262" t="str">
        <f>"4279011629244081"</f>
        <v>4279011629244081</v>
      </c>
      <c r="E262" t="str">
        <f t="shared" si="39"/>
        <v>2021-05-31</v>
      </c>
      <c r="F262" t="str">
        <f t="shared" si="40"/>
        <v>+</v>
      </c>
      <c r="G262" t="str">
        <f t="shared" si="38"/>
        <v>+</v>
      </c>
      <c r="H262" t="str">
        <f>"40817810516991419173"</f>
        <v>40817810516991419173</v>
      </c>
      <c r="I262" t="str">
        <f>"8598"</f>
        <v>8598</v>
      </c>
      <c r="J262" t="str">
        <f>"0694"</f>
        <v>0694</v>
      </c>
      <c r="K262" t="str">
        <f>"25000.00"</f>
        <v>25000.00</v>
      </c>
      <c r="L262" t="str">
        <f>"450000 РЕСП БАШКОРТОСТАН   Г КУМЕРТАУ   УЛ БАБАЕВСКАЯ д. 12"</f>
        <v>450000 РЕСП БАШКОРТОСТАН   Г КУМЕРТАУ   УЛ БАБАЕВСКАЯ д. 12</v>
      </c>
      <c r="M262" t="str">
        <f t="shared" si="41"/>
        <v>2019-08-24</v>
      </c>
      <c r="N262" t="str">
        <f>"ЗАО ТАНДЕР"</f>
        <v>ЗАО ТАНДЕР</v>
      </c>
      <c r="O262" t="str">
        <f>"450000"</f>
        <v>450000</v>
      </c>
      <c r="P262" t="str">
        <f>"РЕСП БАШКОРТОСТАН"</f>
        <v>РЕСП БАШКОРТОСТАН</v>
      </c>
      <c r="Q262" t="str">
        <f>""</f>
        <v/>
      </c>
      <c r="R262" t="str">
        <f>"Г КУМЕРТАУ"</f>
        <v>Г КУМЕРТАУ</v>
      </c>
      <c r="S262" t="str">
        <f>""</f>
        <v/>
      </c>
      <c r="T262" t="str">
        <f>"УЛ МАШИНОСТРОИТЕЛЕЙ"</f>
        <v>УЛ МАШИНОСТРОИТЕЛЕЙ</v>
      </c>
      <c r="U262" s="1" t="str">
        <f>"7"</f>
        <v>7</v>
      </c>
      <c r="V262" s="1" t="str">
        <f>""</f>
        <v/>
      </c>
      <c r="W262" s="1" t="str">
        <f>"В"</f>
        <v>В</v>
      </c>
      <c r="X262" s="1" t="str">
        <f>""</f>
        <v/>
      </c>
      <c r="Y262" s="1" t="str">
        <f>"45"</f>
        <v>45</v>
      </c>
      <c r="Z262" t="str">
        <f>"9273080775"</f>
        <v>9273080775</v>
      </c>
      <c r="AA262" t="str">
        <f>"9273080775"</f>
        <v>9273080775</v>
      </c>
      <c r="AB262" t="str">
        <f>"9273080775"</f>
        <v>9273080775</v>
      </c>
      <c r="AC262" t="str">
        <f>"9273080775"</f>
        <v>9273080775</v>
      </c>
      <c r="AD262" t="str">
        <f>"9273080775"</f>
        <v>9273080775</v>
      </c>
      <c r="AE262" t="str">
        <f>"9273080775"</f>
        <v>9273080775</v>
      </c>
    </row>
    <row r="263" spans="1:31" x14ac:dyDescent="0.45">
      <c r="A263" t="str">
        <f>"КОЛОДЯЖНАЯ СВЕТЛАНА АНАТОЛЬЕВНА"</f>
        <v>КОЛОДЯЖНАЯ СВЕТЛАНА АНАТОЛЬЕВНА</v>
      </c>
      <c r="B263" t="str">
        <f>"1984-11-22"</f>
        <v>1984-11-22</v>
      </c>
      <c r="C263" t="str">
        <f>"65 08 469542"</f>
        <v>65 08 469542</v>
      </c>
      <c r="D263" t="str">
        <f>"4279011667995263"</f>
        <v>4279011667995263</v>
      </c>
      <c r="E263" t="str">
        <f t="shared" si="39"/>
        <v>2021-05-31</v>
      </c>
      <c r="F263" t="str">
        <f t="shared" si="40"/>
        <v>+</v>
      </c>
      <c r="G263" t="str">
        <f t="shared" si="38"/>
        <v>+</v>
      </c>
      <c r="H263" t="str">
        <f>"40817810816991419174"</f>
        <v>40817810816991419174</v>
      </c>
      <c r="I263" t="str">
        <f>"7003"</f>
        <v>7003</v>
      </c>
      <c r="J263" t="str">
        <f>"0637"</f>
        <v>0637</v>
      </c>
      <c r="K263" t="str">
        <f>"50000.00"</f>
        <v>50000.00</v>
      </c>
      <c r="L263" t="str">
        <f>"620000 ОБЛ СВЕРДЛОВСКАЯ   Г АСБЕСТ   УЛ ШЕВЧЕНКО д. 36"</f>
        <v>620000 ОБЛ СВЕРДЛОВСКАЯ   Г АСБЕСТ   УЛ ШЕВЧЕНКО д. 36</v>
      </c>
      <c r="M263" t="str">
        <f t="shared" si="41"/>
        <v>2019-08-24</v>
      </c>
      <c r="N263" t="str">
        <f>"ИП ТОЛСТЫХ Е.Г"</f>
        <v>ИП ТОЛСТЫХ Е.Г</v>
      </c>
      <c r="O263" t="str">
        <f>"620000"</f>
        <v>620000</v>
      </c>
      <c r="P263" t="str">
        <f>"ОБЛ СВЕРДЛОВСКАЯ"</f>
        <v>ОБЛ СВЕРДЛОВСКАЯ</v>
      </c>
      <c r="Q263" t="str">
        <f>""</f>
        <v/>
      </c>
      <c r="R263" t="str">
        <f>"Г АСБЕСТ"</f>
        <v>Г АСБЕСТ</v>
      </c>
      <c r="S263" t="str">
        <f>""</f>
        <v/>
      </c>
      <c r="T263" t="str">
        <f>"УЛ МАМИНА-СИБИРЯКА"</f>
        <v>УЛ МАМИНА-СИБИРЯКА</v>
      </c>
      <c r="U263" s="1" t="str">
        <f>"8"</f>
        <v>8</v>
      </c>
      <c r="V263" s="1" t="str">
        <f>""</f>
        <v/>
      </c>
      <c r="W263" s="1" t="str">
        <f>""</f>
        <v/>
      </c>
      <c r="X263" s="1" t="str">
        <f>""</f>
        <v/>
      </c>
      <c r="Y263" s="1" t="str">
        <f>""</f>
        <v/>
      </c>
      <c r="Z263" t="str">
        <f>""</f>
        <v/>
      </c>
      <c r="AA263" t="str">
        <f>"9527420094"</f>
        <v>9527420094</v>
      </c>
      <c r="AB263" t="str">
        <f>"9538286553"</f>
        <v>9538286553</v>
      </c>
      <c r="AC263" t="str">
        <f>"9527420094"</f>
        <v>9527420094</v>
      </c>
      <c r="AD263" t="str">
        <f>"9538286553"</f>
        <v>9538286553</v>
      </c>
      <c r="AE263" t="str">
        <f>""</f>
        <v/>
      </c>
    </row>
    <row r="264" spans="1:31" x14ac:dyDescent="0.45">
      <c r="A264" t="str">
        <f>"ПАЛИЦИН АЛЕКСЕЙ АРКАДЬЕВИЧ"</f>
        <v>ПАЛИЦИН АЛЕКСЕЙ АРКАДЬЕВИЧ</v>
      </c>
      <c r="B264" t="str">
        <f>"1974-05-21"</f>
        <v>1974-05-21</v>
      </c>
      <c r="C264" t="str">
        <f>"65 02 564480"</f>
        <v>65 02 564480</v>
      </c>
      <c r="D264" t="str">
        <f>"4279011665504380"</f>
        <v>4279011665504380</v>
      </c>
      <c r="E264" t="str">
        <f t="shared" si="39"/>
        <v>2021-05-31</v>
      </c>
      <c r="F264" t="str">
        <f t="shared" si="40"/>
        <v>+</v>
      </c>
      <c r="G264" t="str">
        <f t="shared" si="40"/>
        <v>+</v>
      </c>
      <c r="H264" t="str">
        <f>"40817810116991419175"</f>
        <v>40817810116991419175</v>
      </c>
      <c r="I264" t="str">
        <f>"7003"</f>
        <v>7003</v>
      </c>
      <c r="J264" t="str">
        <f>"0793"</f>
        <v>0793</v>
      </c>
      <c r="K264" t="str">
        <f>"55000.00"</f>
        <v>55000.00</v>
      </c>
      <c r="L264" t="str">
        <f>"620000 ОБЛ СВЕРДЛОВСКАЯ   Г БЕРЕЗОВСКИЙ   УЛ ЧАПАЕВА д. 39"</f>
        <v>620000 ОБЛ СВЕРДЛОВСКАЯ   Г БЕРЕЗОВСКИЙ   УЛ ЧАПАЕВА д. 39</v>
      </c>
      <c r="M264" t="str">
        <f t="shared" si="41"/>
        <v>2019-08-24</v>
      </c>
      <c r="N264" t="str">
        <f>"ООО ТЕХНОЛОГИЯ"</f>
        <v>ООО ТЕХНОЛОГИЯ</v>
      </c>
      <c r="O264" t="str">
        <f>"620000"</f>
        <v>620000</v>
      </c>
      <c r="P264" t="str">
        <f>"ОБЛ СВЕРДЛОВСКАЯ"</f>
        <v>ОБЛ СВЕРДЛОВСКАЯ</v>
      </c>
      <c r="Q264" t="str">
        <f>""</f>
        <v/>
      </c>
      <c r="R264" t="str">
        <f>"Г БЕРЕЗОВСКИЙ"</f>
        <v>Г БЕРЕЗОВСКИЙ</v>
      </c>
      <c r="S264" t="str">
        <f>""</f>
        <v/>
      </c>
      <c r="T264" t="str">
        <f>"УЛ ЛЕНИНА"</f>
        <v>УЛ ЛЕНИНА</v>
      </c>
      <c r="U264" s="1" t="str">
        <f>"18"</f>
        <v>18</v>
      </c>
      <c r="V264" s="1" t="str">
        <f>""</f>
        <v/>
      </c>
      <c r="W264" s="1" t="str">
        <f>""</f>
        <v/>
      </c>
      <c r="X264" s="1" t="str">
        <f>""</f>
        <v/>
      </c>
      <c r="Y264" s="1" t="str">
        <f>"1"</f>
        <v>1</v>
      </c>
      <c r="Z264" t="str">
        <f>"9923460493"</f>
        <v>9923460493</v>
      </c>
      <c r="AA264" t="str">
        <f>"9923460493"</f>
        <v>9923460493</v>
      </c>
      <c r="AB264" t="str">
        <f>"9923460493"</f>
        <v>9923460493</v>
      </c>
      <c r="AC264" t="str">
        <f>"9923460493"</f>
        <v>9923460493</v>
      </c>
      <c r="AD264" t="str">
        <f>"9923460493"</f>
        <v>9923460493</v>
      </c>
      <c r="AE264" t="str">
        <f>"9923460493"</f>
        <v>9923460493</v>
      </c>
    </row>
    <row r="265" spans="1:31" x14ac:dyDescent="0.45">
      <c r="A265" t="str">
        <f>"СЕРКОВА НАТАЛЬЯ АЛЕКСАНДРОВНА"</f>
        <v>СЕРКОВА НАТАЛЬЯ АЛЕКСАНДРОВНА</v>
      </c>
      <c r="B265" t="str">
        <f>"1986-09-15"</f>
        <v>1986-09-15</v>
      </c>
      <c r="C265" t="str">
        <f>"65 08 457268"</f>
        <v>65 08 457268</v>
      </c>
      <c r="D265" t="str">
        <f>"4279011622311564"</f>
        <v>4279011622311564</v>
      </c>
      <c r="E265" t="str">
        <f t="shared" si="39"/>
        <v>2021-05-31</v>
      </c>
      <c r="F265" t="str">
        <f t="shared" si="40"/>
        <v>+</v>
      </c>
      <c r="G265" t="str">
        <f t="shared" si="40"/>
        <v>+</v>
      </c>
      <c r="H265" t="str">
        <f>"40817810416991419176"</f>
        <v>40817810416991419176</v>
      </c>
      <c r="I265" t="str">
        <f>"7003"</f>
        <v>7003</v>
      </c>
      <c r="J265" t="str">
        <f>"0763"</f>
        <v>0763</v>
      </c>
      <c r="K265" t="str">
        <f>"76000.00"</f>
        <v>76000.00</v>
      </c>
      <c r="L265" t="str">
        <f>"620000 ОБЛ СВЕРДЛОВСКАЯ   Г ИРБИТ   УЛ МАРШАЛА ЖУКОВА д. 12"</f>
        <v>620000 ОБЛ СВЕРДЛОВСКАЯ   Г ИРБИТ   УЛ МАРШАЛА ЖУКОВА д. 12</v>
      </c>
      <c r="M265" t="str">
        <f t="shared" si="41"/>
        <v>2019-08-24</v>
      </c>
      <c r="N265" t="str">
        <f>"НЕ РАБОТАЕТ"</f>
        <v>НЕ РАБОТАЕТ</v>
      </c>
      <c r="O265" t="str">
        <f>"620000"</f>
        <v>620000</v>
      </c>
      <c r="P265" t="str">
        <f>"ОБЛ СВЕРДЛОВСКАЯ"</f>
        <v>ОБЛ СВЕРДЛОВСКАЯ</v>
      </c>
      <c r="Q265" t="str">
        <f>""</f>
        <v/>
      </c>
      <c r="R265" t="str">
        <f>"Г ИРБИТ"</f>
        <v>Г ИРБИТ</v>
      </c>
      <c r="S265" t="str">
        <f>""</f>
        <v/>
      </c>
      <c r="T265" t="str">
        <f>"УЛ КОМСОМОЛЬСКАЯ"</f>
        <v>УЛ КОМСОМОЛЬСКАЯ</v>
      </c>
      <c r="U265" s="1" t="str">
        <f>"39"</f>
        <v>39</v>
      </c>
      <c r="V265" s="1" t="str">
        <f>""</f>
        <v/>
      </c>
      <c r="W265" s="1" t="str">
        <f>""</f>
        <v/>
      </c>
      <c r="X265" s="1" t="str">
        <f>""</f>
        <v/>
      </c>
      <c r="Y265" s="1" t="str">
        <f>"38"</f>
        <v>38</v>
      </c>
      <c r="Z265" t="str">
        <f>""</f>
        <v/>
      </c>
      <c r="AA265" t="str">
        <f>"+7 (34355) 31215"</f>
        <v>+7 (34355) 31215</v>
      </c>
      <c r="AB265" t="str">
        <f>"+7 (902) 2785185"</f>
        <v>+7 (902) 2785185</v>
      </c>
      <c r="AC265" t="str">
        <f>"9022785185"</f>
        <v>9022785185</v>
      </c>
      <c r="AD265" t="str">
        <f>"9022785185"</f>
        <v>9022785185</v>
      </c>
      <c r="AE265" t="str">
        <f>""</f>
        <v/>
      </c>
    </row>
    <row r="266" spans="1:31" x14ac:dyDescent="0.45">
      <c r="A266" t="str">
        <f>"КАСПИРОВИЧ ИГОРЬ АЛЕКСАНДРОВИЧ"</f>
        <v>КАСПИРОВИЧ ИГОРЬ АЛЕКСАНДРОВИЧ</v>
      </c>
      <c r="B266" t="str">
        <f>"1983-04-28"</f>
        <v>1983-04-28</v>
      </c>
      <c r="C266" t="str">
        <f>"65 12 479555"</f>
        <v>65 12 479555</v>
      </c>
      <c r="D266" t="str">
        <f>"5484011604665704"</f>
        <v>5484011604665704</v>
      </c>
      <c r="E266" t="str">
        <f t="shared" ref="E266:E273" si="42">"2021-06-30"</f>
        <v>2021-06-30</v>
      </c>
      <c r="F266" t="str">
        <f t="shared" si="40"/>
        <v>+</v>
      </c>
      <c r="G266" t="str">
        <f t="shared" si="40"/>
        <v>+</v>
      </c>
      <c r="H266" t="str">
        <f>"40817810416991443294"</f>
        <v>40817810416991443294</v>
      </c>
      <c r="I266" t="str">
        <f>"7003"</f>
        <v>7003</v>
      </c>
      <c r="J266" t="str">
        <f>"0897"</f>
        <v>0897</v>
      </c>
      <c r="K266" t="str">
        <f>"200000.00"</f>
        <v>200000.00</v>
      </c>
      <c r="L266" t="str">
        <f>"620000 ОБЛ СВЕРДЛОВСКАЯ   Г ЕКАТЕРИНБУРГ   УЛ ГОРЬКОГО д. 45"</f>
        <v>620000 ОБЛ СВЕРДЛОВСКАЯ   Г ЕКАТЕРИНБУРГ   УЛ ГОРЬКОГО д. 45</v>
      </c>
      <c r="M266" t="str">
        <f t="shared" si="41"/>
        <v>2019-08-24</v>
      </c>
      <c r="N266" t="s">
        <v>41</v>
      </c>
      <c r="O266" t="str">
        <f>"620000"</f>
        <v>620000</v>
      </c>
      <c r="P266" t="str">
        <f>"ОБЛ СВЕРДЛОВСКАЯ"</f>
        <v>ОБЛ СВЕРДЛОВСКАЯ</v>
      </c>
      <c r="Q266" t="str">
        <f>""</f>
        <v/>
      </c>
      <c r="R266" t="str">
        <f>"Г ЕКАТЕРИНБУРГ"</f>
        <v>Г ЕКАТЕРИНБУРГ</v>
      </c>
      <c r="S266" t="str">
        <f>""</f>
        <v/>
      </c>
      <c r="T266" t="str">
        <f>"УЛ КЛЮЧЕВСКАЯ"</f>
        <v>УЛ КЛЮЧЕВСКАЯ</v>
      </c>
      <c r="U266" s="1" t="str">
        <f>"15"</f>
        <v>15</v>
      </c>
      <c r="V266" s="1" t="str">
        <f>""</f>
        <v/>
      </c>
      <c r="W266" s="1" t="str">
        <f>""</f>
        <v/>
      </c>
      <c r="X266" s="1" t="str">
        <f>""</f>
        <v/>
      </c>
      <c r="Y266" s="1" t="str">
        <f>"122"</f>
        <v>122</v>
      </c>
      <c r="Z266" t="str">
        <f>""</f>
        <v/>
      </c>
      <c r="AA266" t="str">
        <f>"9120448500"</f>
        <v>9120448500</v>
      </c>
      <c r="AB266" t="str">
        <f>"9120448500"</f>
        <v>9120448500</v>
      </c>
      <c r="AC266" t="str">
        <f>"9120448500"</f>
        <v>9120448500</v>
      </c>
      <c r="AD266" t="str">
        <f>"9120448500"</f>
        <v>9120448500</v>
      </c>
      <c r="AE266" t="str">
        <f>""</f>
        <v/>
      </c>
    </row>
    <row r="267" spans="1:31" x14ac:dyDescent="0.45">
      <c r="A267" t="str">
        <f>"БОРОДУЛИНА ОЛЬГА НИКОЛАЕВНА"</f>
        <v>БОРОДУЛИНА ОЛЬГА НИКОЛАЕВНА</v>
      </c>
      <c r="B267" t="str">
        <f>"1961-07-06"</f>
        <v>1961-07-06</v>
      </c>
      <c r="C267" t="str">
        <f>"65 06 966962"</f>
        <v>65 06 966962</v>
      </c>
      <c r="D267" t="str">
        <f>"4279011677551171"</f>
        <v>4279011677551171</v>
      </c>
      <c r="E267" t="str">
        <f t="shared" si="42"/>
        <v>2021-06-30</v>
      </c>
      <c r="F267" t="str">
        <f t="shared" si="40"/>
        <v>+</v>
      </c>
      <c r="G267" t="str">
        <f t="shared" si="40"/>
        <v>+</v>
      </c>
      <c r="H267" t="str">
        <f>"40817810716991443295"</f>
        <v>40817810716991443295</v>
      </c>
      <c r="I267" t="str">
        <f>"7003"</f>
        <v>7003</v>
      </c>
      <c r="J267" t="str">
        <f>"7770"</f>
        <v>7770</v>
      </c>
      <c r="K267" t="str">
        <f>"49000.00"</f>
        <v>49000.00</v>
      </c>
      <c r="L267" t="str">
        <f>"624006 ОБЛ СВЕРДЛОВСКАЯ Р-Н СЫСЕРТСКИЙ   П БОЛЬШОЙ ИСТОК УЛ СТЕПАНА РАЗИНА д. 2А"</f>
        <v>624006 ОБЛ СВЕРДЛОВСКАЯ Р-Н СЫСЕРТСКИЙ   П БОЛЬШОЙ ИСТОК УЛ СТЕПАНА РАЗИНА д. 2А</v>
      </c>
      <c r="M267" t="str">
        <f t="shared" si="41"/>
        <v>2019-08-24</v>
      </c>
      <c r="N267" t="str">
        <f>"ШКОЛА № 11 П. БОЛЬШОЙ ИСТОК"</f>
        <v>ШКОЛА № 11 П. БОЛЬШОЙ ИСТОК</v>
      </c>
      <c r="O267" t="str">
        <f>"624006"</f>
        <v>624006</v>
      </c>
      <c r="P267" t="str">
        <f>"ОБЛ СВЕРДЛОВСКАЯ"</f>
        <v>ОБЛ СВЕРДЛОВСКАЯ</v>
      </c>
      <c r="Q267" t="str">
        <f>"Р-Н СЫСЕРТСКИЙ"</f>
        <v>Р-Н СЫСЕРТСКИЙ</v>
      </c>
      <c r="R267" t="str">
        <f>""</f>
        <v/>
      </c>
      <c r="S267" t="str">
        <f>"П БОЛЬШОЙ ИСТОК"</f>
        <v>П БОЛЬШОЙ ИСТОК</v>
      </c>
      <c r="T267" t="str">
        <f>"УЛ ДЕКАБРИСТОВ"</f>
        <v>УЛ ДЕКАБРИСТОВ</v>
      </c>
      <c r="U267" s="1" t="str">
        <f>"16"</f>
        <v>16</v>
      </c>
      <c r="V267" s="1" t="str">
        <f>""</f>
        <v/>
      </c>
      <c r="W267" s="1" t="str">
        <f>""</f>
        <v/>
      </c>
      <c r="X267" s="1" t="str">
        <f>""</f>
        <v/>
      </c>
      <c r="Y267" s="1" t="str">
        <f>""</f>
        <v/>
      </c>
      <c r="Z267" t="str">
        <f>"3437472252"</f>
        <v>3437472252</v>
      </c>
      <c r="AA267" t="str">
        <f>"9030807920"</f>
        <v>9030807920</v>
      </c>
      <c r="AB267" t="str">
        <f>"9030807920"</f>
        <v>9030807920</v>
      </c>
      <c r="AC267" t="str">
        <f>"9030807920"</f>
        <v>9030807920</v>
      </c>
      <c r="AD267" t="str">
        <f>"9030807920"</f>
        <v>9030807920</v>
      </c>
      <c r="AE267" t="str">
        <f>"3437472252"</f>
        <v>3437472252</v>
      </c>
    </row>
    <row r="268" spans="1:31" x14ac:dyDescent="0.45">
      <c r="A268" t="str">
        <f>"ГАНИЕВА ЛИДИЯ САГИЛОВНА"</f>
        <v>ГАНИЕВА ЛИДИЯ САГИЛОВНА</v>
      </c>
      <c r="B268" t="str">
        <f>"1967-05-30"</f>
        <v>1967-05-30</v>
      </c>
      <c r="C268" t="str">
        <f>"80 11 506881"</f>
        <v>80 11 506881</v>
      </c>
      <c r="D268" t="str">
        <f>"4279011672691162"</f>
        <v>4279011672691162</v>
      </c>
      <c r="E268" t="str">
        <f t="shared" si="42"/>
        <v>2021-06-30</v>
      </c>
      <c r="F268" t="str">
        <f t="shared" si="40"/>
        <v>+</v>
      </c>
      <c r="G268" t="str">
        <f t="shared" si="40"/>
        <v>+</v>
      </c>
      <c r="H268" t="str">
        <f>"40817810016991443296"</f>
        <v>40817810016991443296</v>
      </c>
      <c r="I268" t="str">
        <f>"8598"</f>
        <v>8598</v>
      </c>
      <c r="J268" t="str">
        <f>"0176"</f>
        <v>0176</v>
      </c>
      <c r="K268" t="str">
        <f>"50000.00"</f>
        <v>50000.00</v>
      </c>
      <c r="L268" t="str">
        <f>"450000 РЕСП БАШКОРТОСТАН   Г УФА   УЛ АХМЕТОВА д. 322"</f>
        <v>450000 РЕСП БАШКОРТОСТАН   Г УФА   УЛ АХМЕТОВА д. 322</v>
      </c>
      <c r="M268" t="str">
        <f t="shared" si="41"/>
        <v>2019-08-24</v>
      </c>
      <c r="N268" t="str">
        <f>"ООО ФФ ИЛЬЯ"</f>
        <v>ООО ФФ ИЛЬЯ</v>
      </c>
      <c r="O268" t="str">
        <f>"450519"</f>
        <v>450519</v>
      </c>
      <c r="P268" t="str">
        <f>"РЕСП БАШКОРТОСТАН"</f>
        <v>РЕСП БАШКОРТОСТАН</v>
      </c>
      <c r="Q268" t="str">
        <f>"Р-Н УФИМСКИЙ"</f>
        <v>Р-Н УФИМСКИЙ</v>
      </c>
      <c r="R268" t="str">
        <f>""</f>
        <v/>
      </c>
      <c r="S268" t="str">
        <f>"С МИЛОВКА"</f>
        <v>С МИЛОВКА</v>
      </c>
      <c r="T268" t="str">
        <f>"УЛ ТРАКТОВАЯ"</f>
        <v>УЛ ТРАКТОВАЯ</v>
      </c>
      <c r="U268" s="1" t="str">
        <f>"3"</f>
        <v>3</v>
      </c>
      <c r="V268" s="1" t="str">
        <f>""</f>
        <v/>
      </c>
      <c r="W268" s="1" t="str">
        <f>""</f>
        <v/>
      </c>
      <c r="X268" s="1" t="str">
        <f>""</f>
        <v/>
      </c>
      <c r="Y268" s="1" t="str">
        <f>""</f>
        <v/>
      </c>
      <c r="Z268" t="str">
        <f>""</f>
        <v/>
      </c>
      <c r="AA268" t="str">
        <f>"9373051627"</f>
        <v>9373051627</v>
      </c>
      <c r="AB268" t="str">
        <f>"9373051627"</f>
        <v>9373051627</v>
      </c>
      <c r="AC268" t="str">
        <f>"9373051627"</f>
        <v>9373051627</v>
      </c>
      <c r="AD268" t="str">
        <f>"9373051627"</f>
        <v>9373051627</v>
      </c>
      <c r="AE268" t="str">
        <f>""</f>
        <v/>
      </c>
    </row>
    <row r="269" spans="1:31" x14ac:dyDescent="0.45">
      <c r="A269" t="str">
        <f>"ШАРОВА АЛЕВТИНА НИКОЛАЕВНА"</f>
        <v>ШАРОВА АЛЕВТИНА НИКОЛАЕВНА</v>
      </c>
      <c r="B269" t="str">
        <f>"1953-11-16"</f>
        <v>1953-11-16</v>
      </c>
      <c r="C269" t="str">
        <f>"75 02 960050"</f>
        <v>75 02 960050</v>
      </c>
      <c r="D269" t="str">
        <f>"4279011634925054"</f>
        <v>4279011634925054</v>
      </c>
      <c r="E269" t="str">
        <f t="shared" si="42"/>
        <v>2021-06-30</v>
      </c>
      <c r="F269" t="str">
        <f t="shared" si="40"/>
        <v>+</v>
      </c>
      <c r="G269" t="str">
        <f t="shared" si="40"/>
        <v>+</v>
      </c>
      <c r="H269" t="str">
        <f>"40817810616991443298"</f>
        <v>40817810616991443298</v>
      </c>
      <c r="I269" t="str">
        <f>"8597"</f>
        <v>8597</v>
      </c>
      <c r="J269" t="str">
        <f>"0514"</f>
        <v>0514</v>
      </c>
      <c r="K269" t="str">
        <f>"50000.00"</f>
        <v>50000.00</v>
      </c>
      <c r="L269" t="str">
        <f>"454000 ОБЛ ЧЕЛЯБИНСКАЯ   Г САТКА   УЛ 50 ЛЕТ ВЛКСМ д. 15 кв. 85"</f>
        <v>454000 ОБЛ ЧЕЛЯБИНСКАЯ   Г САТКА   УЛ 50 ЛЕТ ВЛКСМ д. 15 кв. 85</v>
      </c>
      <c r="M269" t="str">
        <f t="shared" si="41"/>
        <v>2019-08-24</v>
      </c>
      <c r="N269" t="str">
        <f>"ПЕНСИОНЕР"</f>
        <v>ПЕНСИОНЕР</v>
      </c>
      <c r="O269" t="str">
        <f>"454000"</f>
        <v>454000</v>
      </c>
      <c r="P269" t="str">
        <f>"ОБЛ ЧЕЛЯБИНСКАЯ"</f>
        <v>ОБЛ ЧЕЛЯБИНСКАЯ</v>
      </c>
      <c r="Q269" t="str">
        <f>""</f>
        <v/>
      </c>
      <c r="R269" t="str">
        <f>"Г САТКА"</f>
        <v>Г САТКА</v>
      </c>
      <c r="S269" t="str">
        <f>""</f>
        <v/>
      </c>
      <c r="T269" t="str">
        <f>"УЛ 50 ЛЕТ ВЛКСМ"</f>
        <v>УЛ 50 ЛЕТ ВЛКСМ</v>
      </c>
      <c r="U269" s="1" t="str">
        <f>"15"</f>
        <v>15</v>
      </c>
      <c r="V269" s="1" t="str">
        <f>""</f>
        <v/>
      </c>
      <c r="W269" s="1" t="str">
        <f>""</f>
        <v/>
      </c>
      <c r="X269" s="1" t="str">
        <f>""</f>
        <v/>
      </c>
      <c r="Y269" s="1" t="str">
        <f>"2"</f>
        <v>2</v>
      </c>
      <c r="Z269" t="str">
        <f>""</f>
        <v/>
      </c>
      <c r="AA269" t="str">
        <f>"9068603749"</f>
        <v>9068603749</v>
      </c>
      <c r="AB269" t="str">
        <f>"9068603749"</f>
        <v>9068603749</v>
      </c>
      <c r="AC269" t="str">
        <f>"9068603749"</f>
        <v>9068603749</v>
      </c>
      <c r="AD269" t="str">
        <f>"9068603749"</f>
        <v>9068603749</v>
      </c>
      <c r="AE269" t="str">
        <f>""</f>
        <v/>
      </c>
    </row>
    <row r="270" spans="1:31" x14ac:dyDescent="0.45">
      <c r="A270" t="str">
        <f>"ПАХАРЕНКО ТАМАРА ПАВЛОВНА"</f>
        <v>ПАХАРЕНКО ТАМАРА ПАВЛОВНА</v>
      </c>
      <c r="B270" t="str">
        <f>"1958-05-05"</f>
        <v>1958-05-05</v>
      </c>
      <c r="C270" t="str">
        <f>"71 04 252778"</f>
        <v>71 04 252778</v>
      </c>
      <c r="D270" t="str">
        <f>"4279016731377505"</f>
        <v>4279016731377505</v>
      </c>
      <c r="E270" t="str">
        <f t="shared" si="42"/>
        <v>2021-06-30</v>
      </c>
      <c r="F270" t="str">
        <f>"Y"</f>
        <v>Y</v>
      </c>
      <c r="G270" t="str">
        <f>"Q"</f>
        <v>Q</v>
      </c>
      <c r="H270" t="str">
        <f>"40817810916992401256"</f>
        <v>40817810916992401256</v>
      </c>
      <c r="I270" t="str">
        <f>"8647"</f>
        <v>8647</v>
      </c>
      <c r="J270" t="str">
        <f>"0186"</f>
        <v>0186</v>
      </c>
      <c r="K270" t="str">
        <f>"0.00"</f>
        <v>0.00</v>
      </c>
      <c r="L270" t="str">
        <f>"627610 ОБЛ ТЮМЕНСКАЯ Р-Н СЛАДКОВСКИЙ   С СЛАДКОВО УЛ ЛЕНИНА д. 104А"</f>
        <v>627610 ОБЛ ТЮМЕНСКАЯ Р-Н СЛАДКОВСКИЙ   С СЛАДКОВО УЛ ЛЕНИНА д. 104А</v>
      </c>
      <c r="M270" t="str">
        <f t="shared" si="41"/>
        <v>2019-08-24</v>
      </c>
      <c r="N270" t="str">
        <f>"МУСЗН КАЗАНСКИЙ, СЛАДКОВСКИЙ РАЙОНЫ"</f>
        <v>МУСЗН КАЗАНСКИЙ, СЛАДКОВСКИЙ РАЙОНЫ</v>
      </c>
      <c r="O270" t="str">
        <f>"627610"</f>
        <v>627610</v>
      </c>
      <c r="P270" t="str">
        <f t="shared" ref="P270:P282" si="43">"ОБЛ ТЮМЕНСКАЯ"</f>
        <v>ОБЛ ТЮМЕНСКАЯ</v>
      </c>
      <c r="Q270" t="str">
        <f>"Р-Н СЛАДКОВСКИЙ"</f>
        <v>Р-Н СЛАДКОВСКИЙ</v>
      </c>
      <c r="R270" t="str">
        <f>""</f>
        <v/>
      </c>
      <c r="S270" t="str">
        <f>"С СЛАДКОВО"</f>
        <v>С СЛАДКОВО</v>
      </c>
      <c r="T270" t="str">
        <f>"УЛ СОВЕТСКАЯ"</f>
        <v>УЛ СОВЕТСКАЯ</v>
      </c>
      <c r="U270" s="1" t="str">
        <f>"10"</f>
        <v>10</v>
      </c>
      <c r="V270" s="1" t="str">
        <f>""</f>
        <v/>
      </c>
      <c r="W270" s="1" t="str">
        <f>""</f>
        <v/>
      </c>
      <c r="X270" s="1" t="str">
        <f>""</f>
        <v/>
      </c>
      <c r="Y270" s="1" t="str">
        <f>"1"</f>
        <v>1</v>
      </c>
      <c r="Z270" t="str">
        <f>"3455341886"</f>
        <v>3455341886</v>
      </c>
      <c r="AA270" t="str">
        <f>"3455523541"</f>
        <v>3455523541</v>
      </c>
      <c r="AB270" t="str">
        <f>"9526899419"</f>
        <v>9526899419</v>
      </c>
      <c r="AC270" t="str">
        <f>"9526899419"</f>
        <v>9526899419</v>
      </c>
      <c r="AD270" t="str">
        <f>"9526899419"</f>
        <v>9526899419</v>
      </c>
      <c r="AE270" t="str">
        <f>"3455341886"</f>
        <v>3455341886</v>
      </c>
    </row>
    <row r="271" spans="1:31" x14ac:dyDescent="0.45">
      <c r="A271" t="str">
        <f>"ПОЛЯКОВА АННА ШАКИРОВНА"</f>
        <v>ПОЛЯКОВА АННА ШАКИРОВНА</v>
      </c>
      <c r="B271" t="str">
        <f>"1984-05-29"</f>
        <v>1984-05-29</v>
      </c>
      <c r="C271" t="str">
        <f>"71 09 770558"</f>
        <v>71 09 770558</v>
      </c>
      <c r="D271" t="str">
        <f>"4279016741390571"</f>
        <v>4279016741390571</v>
      </c>
      <c r="E271" t="str">
        <f t="shared" si="42"/>
        <v>2021-06-30</v>
      </c>
      <c r="F271" t="str">
        <f t="shared" ref="F271:G273" si="44">"+"</f>
        <v>+</v>
      </c>
      <c r="G271" t="str">
        <f t="shared" si="44"/>
        <v>+</v>
      </c>
      <c r="H271" t="str">
        <f>"40817810816992401314"</f>
        <v>40817810816992401314</v>
      </c>
      <c r="I271" t="str">
        <f>"8647"</f>
        <v>8647</v>
      </c>
      <c r="J271" t="str">
        <f>"0088"</f>
        <v>0088</v>
      </c>
      <c r="K271" t="str">
        <f>"125000.00"</f>
        <v>125000.00</v>
      </c>
      <c r="L271" t="str">
        <f>"625000 ОБЛ ТЮМЕНСКАЯ   Г ТЮМЕНЬ   УЛ ЛЕНИНА д. 4А"</f>
        <v>625000 ОБЛ ТЮМЕНСКАЯ   Г ТЮМЕНЬ   УЛ ЛЕНИНА д. 4А</v>
      </c>
      <c r="M271" t="str">
        <f t="shared" si="41"/>
        <v>2019-08-24</v>
      </c>
      <c r="N271" t="str">
        <f>"ООО ЗКЦ"</f>
        <v>ООО ЗКЦ</v>
      </c>
      <c r="O271" t="str">
        <f>"625000"</f>
        <v>625000</v>
      </c>
      <c r="P271" t="str">
        <f t="shared" si="43"/>
        <v>ОБЛ ТЮМЕНСКАЯ</v>
      </c>
      <c r="Q271" t="str">
        <f>""</f>
        <v/>
      </c>
      <c r="R271" t="str">
        <f>"Г ТЮМЕНЬ"</f>
        <v>Г ТЮМЕНЬ</v>
      </c>
      <c r="S271" t="str">
        <f>""</f>
        <v/>
      </c>
      <c r="T271" t="str">
        <f>"УЛ ДРУЖБЫ"</f>
        <v>УЛ ДРУЖБЫ</v>
      </c>
      <c r="U271" s="1" t="str">
        <f>"159"</f>
        <v>159</v>
      </c>
      <c r="V271" s="1" t="str">
        <f>""</f>
        <v/>
      </c>
      <c r="W271" s="1" t="str">
        <f>""</f>
        <v/>
      </c>
      <c r="X271" s="1" t="str">
        <f>""</f>
        <v/>
      </c>
      <c r="Y271" s="1" t="str">
        <f>"26"</f>
        <v>26</v>
      </c>
      <c r="Z271" t="str">
        <f>""</f>
        <v/>
      </c>
      <c r="AA271" t="str">
        <f>"9091941480"</f>
        <v>9091941480</v>
      </c>
      <c r="AB271" t="str">
        <f>"9199326002"</f>
        <v>9199326002</v>
      </c>
      <c r="AC271" t="str">
        <f>"9091941480"</f>
        <v>9091941480</v>
      </c>
      <c r="AD271" t="str">
        <f>"9199326002"</f>
        <v>9199326002</v>
      </c>
      <c r="AE271" t="str">
        <f>""</f>
        <v/>
      </c>
    </row>
    <row r="272" spans="1:31" x14ac:dyDescent="0.45">
      <c r="A272" t="str">
        <f>"САПАРОВ РАДИК РАШИДОВИЧ"</f>
        <v>САПАРОВ РАДИК РАШИДОВИЧ</v>
      </c>
      <c r="B272" t="str">
        <f>"1978-10-09"</f>
        <v>1978-10-09</v>
      </c>
      <c r="C272" t="str">
        <f>"67 09 980682"</f>
        <v>67 09 980682</v>
      </c>
      <c r="D272" t="str">
        <f>"4279016728896327"</f>
        <v>4279016728896327</v>
      </c>
      <c r="E272" t="str">
        <f t="shared" si="42"/>
        <v>2021-06-30</v>
      </c>
      <c r="F272" t="str">
        <f t="shared" si="44"/>
        <v>+</v>
      </c>
      <c r="G272" t="str">
        <f t="shared" si="44"/>
        <v>+</v>
      </c>
      <c r="H272" t="str">
        <f>"40817810116992401386"</f>
        <v>40817810116992401386</v>
      </c>
      <c r="I272" t="str">
        <f>"1791"</f>
        <v>1791</v>
      </c>
      <c r="J272" t="str">
        <f>"0100"</f>
        <v>0100</v>
      </c>
      <c r="K272" t="str">
        <f>"400000.00"</f>
        <v>400000.00</v>
      </c>
      <c r="L272" t="str">
        <f>"628181 ОБЛ ТЮМЕНСКАЯ   Г НЯГАНЬ   УЛ СИБИРСКАЯ д. 24"</f>
        <v>628181 ОБЛ ТЮМЕНСКАЯ   Г НЯГАНЬ   УЛ СИБИРСКАЯ д. 24</v>
      </c>
      <c r="M272" t="str">
        <f t="shared" si="41"/>
        <v>2019-08-24</v>
      </c>
      <c r="N272" t="str">
        <f>"ООО ЭЛЛИЯ"</f>
        <v>ООО ЭЛЛИЯ</v>
      </c>
      <c r="O272" t="str">
        <f>"628181"</f>
        <v>628181</v>
      </c>
      <c r="P272" t="str">
        <f t="shared" si="43"/>
        <v>ОБЛ ТЮМЕНСКАЯ</v>
      </c>
      <c r="Q272" t="str">
        <f>""</f>
        <v/>
      </c>
      <c r="R272" t="str">
        <f>"Г НЯГАНЬ"</f>
        <v>Г НЯГАНЬ</v>
      </c>
      <c r="S272" t="str">
        <f>""</f>
        <v/>
      </c>
      <c r="T272" t="str">
        <f>"УЛ ГАГАРИНА"</f>
        <v>УЛ ГАГАРИНА</v>
      </c>
      <c r="U272" s="1" t="str">
        <f>"55"</f>
        <v>55</v>
      </c>
      <c r="V272" s="1" t="str">
        <f>""</f>
        <v/>
      </c>
      <c r="W272" s="1" t="str">
        <f>""</f>
        <v/>
      </c>
      <c r="X272" s="1" t="str">
        <f>""</f>
        <v/>
      </c>
      <c r="Y272" s="1" t="str">
        <f>""</f>
        <v/>
      </c>
      <c r="Z272" t="str">
        <f>"9124185587"</f>
        <v>9124185587</v>
      </c>
      <c r="AA272" t="str">
        <f>"9822027152"</f>
        <v>9822027152</v>
      </c>
      <c r="AB272" t="str">
        <f>"9088880929"</f>
        <v>9088880929</v>
      </c>
      <c r="AC272" t="str">
        <f>"9822027152"</f>
        <v>9822027152</v>
      </c>
      <c r="AD272" t="str">
        <f>"9088880929"</f>
        <v>9088880929</v>
      </c>
      <c r="AE272" t="str">
        <f>"9124185587"</f>
        <v>9124185587</v>
      </c>
    </row>
    <row r="273" spans="1:31" x14ac:dyDescent="0.45">
      <c r="A273" t="str">
        <f>"СИЗОВА НАТАЛЬЯ МИХАЙЛОВНА"</f>
        <v>СИЗОВА НАТАЛЬЯ МИХАЙЛОВНА</v>
      </c>
      <c r="B273" t="str">
        <f>"1963-02-09"</f>
        <v>1963-02-09</v>
      </c>
      <c r="C273" t="str">
        <f>"71 09 773633"</f>
        <v>71 09 773633</v>
      </c>
      <c r="D273" t="str">
        <f>"4279016721790832"</f>
        <v>4279016721790832</v>
      </c>
      <c r="E273" t="str">
        <f t="shared" si="42"/>
        <v>2021-06-30</v>
      </c>
      <c r="F273" t="str">
        <f t="shared" si="44"/>
        <v>+</v>
      </c>
      <c r="G273" t="str">
        <f t="shared" si="44"/>
        <v>+</v>
      </c>
      <c r="H273" t="str">
        <f>"40817810616992093595"</f>
        <v>40817810616992093595</v>
      </c>
      <c r="I273" t="str">
        <f>"8647"</f>
        <v>8647</v>
      </c>
      <c r="J273" t="str">
        <f>"0069"</f>
        <v>0069</v>
      </c>
      <c r="K273" t="str">
        <f>"40000.00"</f>
        <v>40000.00</v>
      </c>
      <c r="L273" t="str">
        <f>"625000 ОБЛ ТЮМЕНСКАЯ   Г ТЮМЕНЬ   УЛ 50 ЛЕТ ОКТЯБРЯ д. 21 кв. 56"</f>
        <v>625000 ОБЛ ТЮМЕНСКАЯ   Г ТЮМЕНЬ   УЛ 50 ЛЕТ ОКТЯБРЯ д. 21 кв. 56</v>
      </c>
      <c r="M273" t="str">
        <f t="shared" si="41"/>
        <v>2019-08-24</v>
      </c>
      <c r="N273" t="str">
        <f>"ПЕНСИОННЫЙ ФОНД"</f>
        <v>ПЕНСИОННЫЙ ФОНД</v>
      </c>
      <c r="O273" t="str">
        <f>"625000"</f>
        <v>625000</v>
      </c>
      <c r="P273" t="str">
        <f t="shared" si="43"/>
        <v>ОБЛ ТЮМЕНСКАЯ</v>
      </c>
      <c r="Q273" t="str">
        <f>""</f>
        <v/>
      </c>
      <c r="R273" t="str">
        <f>"Г ТЮМЕНЬ"</f>
        <v>Г ТЮМЕНЬ</v>
      </c>
      <c r="S273" t="str">
        <f>""</f>
        <v/>
      </c>
      <c r="T273" t="str">
        <f>"УЛ 50 ЛЕТ ОКТЯБРЯ"</f>
        <v>УЛ 50 ЛЕТ ОКТЯБРЯ</v>
      </c>
      <c r="U273" s="1" t="str">
        <f>"21"</f>
        <v>21</v>
      </c>
      <c r="V273" s="1" t="str">
        <f>""</f>
        <v/>
      </c>
      <c r="W273" s="1" t="str">
        <f>""</f>
        <v/>
      </c>
      <c r="X273" s="1" t="str">
        <f>""</f>
        <v/>
      </c>
      <c r="Y273" s="1" t="str">
        <f>"56"</f>
        <v>56</v>
      </c>
      <c r="Z273" t="str">
        <f>""</f>
        <v/>
      </c>
      <c r="AA273" t="str">
        <f>"+7 (952) 6852025"</f>
        <v>+7 (952) 6852025</v>
      </c>
      <c r="AB273" t="str">
        <f>"+7 (919) 0785561"</f>
        <v>+7 (919) 0785561</v>
      </c>
      <c r="AC273" t="str">
        <f>"9526852025"</f>
        <v>9526852025</v>
      </c>
      <c r="AD273" t="str">
        <f>"9190785561"</f>
        <v>9190785561</v>
      </c>
      <c r="AE273" t="str">
        <f>""</f>
        <v/>
      </c>
    </row>
    <row r="274" spans="1:31" x14ac:dyDescent="0.45">
      <c r="A274" t="str">
        <f>"РУДАЛЕВА ЛАРИСА ИГНАТЬЕВНА"</f>
        <v>РУДАЛЕВА ЛАРИСА ИГНАТЬЕВНА</v>
      </c>
      <c r="B274" t="str">
        <f>"1970-05-18"</f>
        <v>1970-05-18</v>
      </c>
      <c r="C274" t="str">
        <f>"67 17 625720"</f>
        <v>67 17 625720</v>
      </c>
      <c r="D274" t="str">
        <f>"4279016729631442"</f>
        <v>4279016729631442</v>
      </c>
      <c r="E274" t="str">
        <f t="shared" ref="E274:E281" si="45">"2021-05-31"</f>
        <v>2021-05-31</v>
      </c>
      <c r="F274" t="str">
        <f>"+"</f>
        <v>+</v>
      </c>
      <c r="G274" t="str">
        <f>"W"</f>
        <v>W</v>
      </c>
      <c r="H274" t="str">
        <f>"40817810316992011961"</f>
        <v>40817810316992011961</v>
      </c>
      <c r="I274" t="str">
        <f>"5940"</f>
        <v>5940</v>
      </c>
      <c r="J274" t="str">
        <f>"0086"</f>
        <v>0086</v>
      </c>
      <c r="K274" t="str">
        <f>"100000.00"</f>
        <v>100000.00</v>
      </c>
      <c r="L274" t="str">
        <f>"628400 ОБЛ ТЮМЕНСКАЯ   Г СУРГУТ   УЛ АЭРОФЛОТСКАЯ д. 47"</f>
        <v>628400 ОБЛ ТЮМЕНСКАЯ   Г СУРГУТ   УЛ АЭРОФЛОТСКАЯ д. 47</v>
      </c>
      <c r="M274" t="str">
        <f t="shared" si="41"/>
        <v>2019-08-24</v>
      </c>
      <c r="N274" t="str">
        <f>"ОАО АЭРОПОРТ СУРГУТ"</f>
        <v>ОАО АЭРОПОРТ СУРГУТ</v>
      </c>
      <c r="O274" t="str">
        <f>"628400"</f>
        <v>628400</v>
      </c>
      <c r="P274" t="str">
        <f t="shared" si="43"/>
        <v>ОБЛ ТЮМЕНСКАЯ</v>
      </c>
      <c r="Q274" t="str">
        <f>""</f>
        <v/>
      </c>
      <c r="R274" t="str">
        <f>"Г СУРГУТ"</f>
        <v>Г СУРГУТ</v>
      </c>
      <c r="S274" t="str">
        <f>"П ДОРОЖНЫЙ"</f>
        <v>П ДОРОЖНЫЙ</v>
      </c>
      <c r="T274" t="str">
        <f>"УЛ 0"</f>
        <v>УЛ 0</v>
      </c>
      <c r="U274" s="1" t="str">
        <f>"1"</f>
        <v>1</v>
      </c>
      <c r="V274" s="1" t="str">
        <f>""</f>
        <v/>
      </c>
      <c r="W274" s="1" t="str">
        <f>""</f>
        <v/>
      </c>
      <c r="X274" s="1" t="str">
        <f>""</f>
        <v/>
      </c>
      <c r="Y274" s="1" t="str">
        <f>"11"</f>
        <v>11</v>
      </c>
      <c r="Z274" t="str">
        <f>"3462770157"</f>
        <v>3462770157</v>
      </c>
      <c r="AA274" t="str">
        <f>"3462770157"</f>
        <v>3462770157</v>
      </c>
      <c r="AB274" t="str">
        <f>"9526905282"</f>
        <v>9526905282</v>
      </c>
      <c r="AC274" t="str">
        <f>"3462770157"</f>
        <v>3462770157</v>
      </c>
      <c r="AD274" t="str">
        <f>"9526905282"</f>
        <v>9526905282</v>
      </c>
      <c r="AE274" t="str">
        <f>"3462770157"</f>
        <v>3462770157</v>
      </c>
    </row>
    <row r="275" spans="1:31" x14ac:dyDescent="0.45">
      <c r="A275" t="str">
        <f>"АЛЕЕВА АЛСУ АХАТОВНА"</f>
        <v>АЛЕЕВА АЛСУ АХАТОВНА</v>
      </c>
      <c r="B275" t="str">
        <f>"1996-03-12"</f>
        <v>1996-03-12</v>
      </c>
      <c r="C275" t="str">
        <f>"71 15 196719"</f>
        <v>71 15 196719</v>
      </c>
      <c r="D275" t="str">
        <f>"4279016721815415"</f>
        <v>4279016721815415</v>
      </c>
      <c r="E275" t="str">
        <f t="shared" si="45"/>
        <v>2021-05-31</v>
      </c>
      <c r="F275" t="str">
        <f>"K"</f>
        <v>K</v>
      </c>
      <c r="G275" t="str">
        <f>"Q"</f>
        <v>Q</v>
      </c>
      <c r="H275" t="str">
        <f>"40817810116992014812"</f>
        <v>40817810116992014812</v>
      </c>
      <c r="I275" t="str">
        <f>"5940"</f>
        <v>5940</v>
      </c>
      <c r="J275" t="str">
        <f>"0083"</f>
        <v>0083</v>
      </c>
      <c r="K275" t="str">
        <f>"0.00"</f>
        <v>0.00</v>
      </c>
      <c r="L275" t="str">
        <f>"628400 ОБЛ ТЮМЕНСКАЯ   Г СУРГУТ   ТРАКТ ЮГОРСКИЙ д. 2"</f>
        <v>628400 ОБЛ ТЮМЕНСКАЯ   Г СУРГУТ   ТРАКТ ЮГОРСКИЙ д. 2</v>
      </c>
      <c r="M275" t="str">
        <f t="shared" si="41"/>
        <v>2019-08-24</v>
      </c>
      <c r="N275" t="str">
        <f>"ООО ЛЕНТА"</f>
        <v>ООО ЛЕНТА</v>
      </c>
      <c r="O275" t="str">
        <f>"628400"</f>
        <v>628400</v>
      </c>
      <c r="P275" t="str">
        <f t="shared" si="43"/>
        <v>ОБЛ ТЮМЕНСКАЯ</v>
      </c>
      <c r="Q275" t="str">
        <f>"Р-Н ВАГАЙСКИЙ"</f>
        <v>Р-Н ВАГАЙСКИЙ</v>
      </c>
      <c r="R275" t="str">
        <f>""</f>
        <v/>
      </c>
      <c r="S275" t="str">
        <f>"Д ВЕРШИНСКАЯ"</f>
        <v>Д ВЕРШИНСКАЯ</v>
      </c>
      <c r="T275" t="str">
        <f>"УЛ АГИТСКАЯ"</f>
        <v>УЛ АГИТСКАЯ</v>
      </c>
      <c r="U275" s="1" t="str">
        <f>"1"</f>
        <v>1</v>
      </c>
      <c r="V275" s="1" t="str">
        <f>""</f>
        <v/>
      </c>
      <c r="W275" s="1" t="str">
        <f>""</f>
        <v/>
      </c>
      <c r="X275" s="1" t="str">
        <f>""</f>
        <v/>
      </c>
      <c r="Y275" s="1" t="str">
        <f>""</f>
        <v/>
      </c>
      <c r="Z275" t="str">
        <f>""</f>
        <v/>
      </c>
      <c r="AA275" t="str">
        <f>"9923001996"</f>
        <v>9923001996</v>
      </c>
      <c r="AB275" t="str">
        <f>"9923557021"</f>
        <v>9923557021</v>
      </c>
      <c r="AC275" t="str">
        <f>"9923001996"</f>
        <v>9923001996</v>
      </c>
      <c r="AD275" t="str">
        <f>"9923557021"</f>
        <v>9923557021</v>
      </c>
      <c r="AE275" t="str">
        <f>""</f>
        <v/>
      </c>
    </row>
    <row r="276" spans="1:31" x14ac:dyDescent="0.45">
      <c r="A276" t="str">
        <f>"КРАСНИКОВА ЕЛЕНА ВЛАДИМИРОВНА"</f>
        <v>КРАСНИКОВА ЕЛЕНА ВЛАДИМИРОВНА</v>
      </c>
      <c r="B276" t="str">
        <f>"1960-05-14"</f>
        <v>1960-05-14</v>
      </c>
      <c r="C276" t="str">
        <f>"67 04 442237"</f>
        <v>67 04 442237</v>
      </c>
      <c r="D276" t="str">
        <f>"4279016729256588"</f>
        <v>4279016729256588</v>
      </c>
      <c r="E276" t="str">
        <f t="shared" si="45"/>
        <v>2021-05-31</v>
      </c>
      <c r="F276" t="str">
        <f>"+"</f>
        <v>+</v>
      </c>
      <c r="G276" t="str">
        <f>"+"</f>
        <v>+</v>
      </c>
      <c r="H276" t="str">
        <f>"40817810416992014910"</f>
        <v>40817810416992014910</v>
      </c>
      <c r="I276" t="str">
        <f>"5940"</f>
        <v>5940</v>
      </c>
      <c r="J276" t="str">
        <f>"0036"</f>
        <v>0036</v>
      </c>
      <c r="K276" t="str">
        <f>"190000.00"</f>
        <v>190000.00</v>
      </c>
      <c r="L276" t="str">
        <f>"628400 ОБЛ ТЮМЕНСКАЯ   Г СУРГУТ   УЛ 30 ЛЕТ ПОБЕДЫ д. 19 корп. А кв. 0"</f>
        <v>628400 ОБЛ ТЮМЕНСКАЯ   Г СУРГУТ   УЛ 30 ЛЕТ ПОБЕДЫ д. 19 корп. А кв. 0</v>
      </c>
      <c r="M276" t="str">
        <f t="shared" si="41"/>
        <v>2019-08-24</v>
      </c>
      <c r="N276" t="str">
        <f>"ПЕНСИОННЫЙ ФОНД"</f>
        <v>ПЕНСИОННЫЙ ФОНД</v>
      </c>
      <c r="O276" t="str">
        <f>"628456"</f>
        <v>628456</v>
      </c>
      <c r="P276" t="str">
        <f t="shared" si="43"/>
        <v>ОБЛ ТЮМЕНСКАЯ</v>
      </c>
      <c r="Q276" t="str">
        <f>"Р-Н СУРГУТСКИЙ"</f>
        <v>Р-Н СУРГУТСКИЙ</v>
      </c>
      <c r="R276" t="str">
        <f>""</f>
        <v/>
      </c>
      <c r="S276" t="str">
        <f>"П ФЕДОРОВСКИЙ"</f>
        <v>П ФЕДОРОВСКИЙ</v>
      </c>
      <c r="T276" t="str">
        <f>"УЛ СТРОИТЕЛЕЙ"</f>
        <v>УЛ СТРОИТЕЛЕЙ</v>
      </c>
      <c r="U276" s="1" t="str">
        <f>"19"</f>
        <v>19</v>
      </c>
      <c r="V276" s="1" t="str">
        <f>""</f>
        <v/>
      </c>
      <c r="W276" s="1" t="str">
        <f>"1"</f>
        <v>1</v>
      </c>
      <c r="X276" s="1" t="str">
        <f>""</f>
        <v/>
      </c>
      <c r="Y276" s="1" t="str">
        <f>"34"</f>
        <v>34</v>
      </c>
      <c r="Z276" t="str">
        <f>""</f>
        <v/>
      </c>
      <c r="AA276" t="str">
        <f>"3462212800"</f>
        <v>3462212800</v>
      </c>
      <c r="AB276" t="str">
        <f>"9825937166"</f>
        <v>9825937166</v>
      </c>
      <c r="AC276" t="str">
        <f>"3462212800"</f>
        <v>3462212800</v>
      </c>
      <c r="AD276" t="str">
        <f>"9048805625"</f>
        <v>9048805625</v>
      </c>
      <c r="AE276" t="str">
        <f>""</f>
        <v/>
      </c>
    </row>
    <row r="277" spans="1:31" x14ac:dyDescent="0.45">
      <c r="A277" t="str">
        <f>"КУЛИКОВ ВИКТОР СТАНИСЛАВОВИЧ"</f>
        <v>КУЛИКОВ ВИКТОР СТАНИСЛАВОВИЧ</v>
      </c>
      <c r="B277" t="str">
        <f>"1992-09-16"</f>
        <v>1992-09-16</v>
      </c>
      <c r="C277" t="str">
        <f>"71 12 957748"</f>
        <v>71 12 957748</v>
      </c>
      <c r="D277" t="str">
        <f>"4279016730225531"</f>
        <v>4279016730225531</v>
      </c>
      <c r="E277" t="str">
        <f t="shared" si="45"/>
        <v>2021-05-31</v>
      </c>
      <c r="F277" t="str">
        <f>"+"</f>
        <v>+</v>
      </c>
      <c r="G277" t="str">
        <f>"+"</f>
        <v>+</v>
      </c>
      <c r="H277" t="str">
        <f>"40817810316992401995"</f>
        <v>40817810316992401995</v>
      </c>
      <c r="I277" t="str">
        <f>"8647"</f>
        <v>8647</v>
      </c>
      <c r="J277" t="str">
        <f>"0174"</f>
        <v>0174</v>
      </c>
      <c r="K277" t="str">
        <f>"200000.00"</f>
        <v>200000.00</v>
      </c>
      <c r="L277" t="str">
        <f>"625000 ОБЛ ТЮМЕНСКАЯ   Г ТЮМЕНЬ   УЛ НАРОДНАЯ д. 7"</f>
        <v>625000 ОБЛ ТЮМЕНСКАЯ   Г ТЮМЕНЬ   УЛ НАРОДНАЯ д. 7</v>
      </c>
      <c r="M277" t="str">
        <f t="shared" si="41"/>
        <v>2019-08-24</v>
      </c>
      <c r="N277" t="s">
        <v>42</v>
      </c>
      <c r="O277" t="str">
        <f>"625000"</f>
        <v>625000</v>
      </c>
      <c r="P277" t="str">
        <f t="shared" si="43"/>
        <v>ОБЛ ТЮМЕНСКАЯ</v>
      </c>
      <c r="Q277" t="str">
        <f>""</f>
        <v/>
      </c>
      <c r="R277" t="str">
        <f>"Г ТЮМЕНЬ"</f>
        <v>Г ТЮМЕНЬ</v>
      </c>
      <c r="S277" t="str">
        <f>""</f>
        <v/>
      </c>
      <c r="T277" t="str">
        <f>"УЛ КОСМОНАВТОВ"</f>
        <v>УЛ КОСМОНАВТОВ</v>
      </c>
      <c r="U277" s="1" t="str">
        <f>"6"</f>
        <v>6</v>
      </c>
      <c r="V277" s="1" t="str">
        <f>""</f>
        <v/>
      </c>
      <c r="W277" s="1" t="str">
        <f>"1"</f>
        <v>1</v>
      </c>
      <c r="X277" s="1" t="str">
        <f>""</f>
        <v/>
      </c>
      <c r="Y277" s="1" t="str">
        <f>"13"</f>
        <v>13</v>
      </c>
      <c r="Z277" t="str">
        <f>""</f>
        <v/>
      </c>
      <c r="AA277" t="str">
        <f>"9829801280"</f>
        <v>9829801280</v>
      </c>
      <c r="AB277" t="str">
        <f>"9923098459"</f>
        <v>9923098459</v>
      </c>
      <c r="AC277" t="str">
        <f>"9829801280"</f>
        <v>9829801280</v>
      </c>
      <c r="AD277" t="str">
        <f>"9923098459"</f>
        <v>9923098459</v>
      </c>
      <c r="AE277" t="str">
        <f>""</f>
        <v/>
      </c>
    </row>
    <row r="278" spans="1:31" x14ac:dyDescent="0.45">
      <c r="A278" t="str">
        <f>"БЕДНЫЙ СТАНИСЛАВ ВЛАДИМИРОВИЧ"</f>
        <v>БЕДНЫЙ СТАНИСЛАВ ВЛАДИМИРОВИЧ</v>
      </c>
      <c r="B278" t="str">
        <f>"1972-01-28"</f>
        <v>1972-01-28</v>
      </c>
      <c r="C278" t="str">
        <f>"67 16 601524"</f>
        <v>67 16 601524</v>
      </c>
      <c r="D278" t="str">
        <f>"4279016724365020"</f>
        <v>4279016724365020</v>
      </c>
      <c r="E278" t="str">
        <f t="shared" si="45"/>
        <v>2021-05-31</v>
      </c>
      <c r="F278" t="str">
        <f>"Y"</f>
        <v>Y</v>
      </c>
      <c r="G278" t="str">
        <f>"+"</f>
        <v>+</v>
      </c>
      <c r="H278" t="str">
        <f>"40817810716992402109"</f>
        <v>40817810716992402109</v>
      </c>
      <c r="I278" t="str">
        <f>"5940"</f>
        <v>5940</v>
      </c>
      <c r="J278" t="str">
        <f>"0091"</f>
        <v>0091</v>
      </c>
      <c r="K278" t="str">
        <f>"70000.00"</f>
        <v>70000.00</v>
      </c>
      <c r="L278" t="str">
        <f>"628331 ОБЛ ТЮМЕНСКАЯ Р-Н НЕФТЕЮГАНСКИЙ   ПГТ ПОЙКОВСКИЙ УЛ ПРОМЗОНА д. 19 стр. А"</f>
        <v>628331 ОБЛ ТЮМЕНСКАЯ Р-Н НЕФТЕЮГАНСКИЙ   ПГТ ПОЙКОВСКИЙ УЛ ПРОМЗОНА д. 19 стр. А</v>
      </c>
      <c r="M278" t="str">
        <f t="shared" si="41"/>
        <v>2019-08-24</v>
      </c>
      <c r="N278" t="str">
        <f>"АО РЭС"</f>
        <v>АО РЭС</v>
      </c>
      <c r="O278" t="str">
        <f>"628331"</f>
        <v>628331</v>
      </c>
      <c r="P278" t="str">
        <f t="shared" si="43"/>
        <v>ОБЛ ТЮМЕНСКАЯ</v>
      </c>
      <c r="Q278" t="str">
        <f>"Р-Н НЕФТЕЮГАНСКИЙ"</f>
        <v>Р-Н НЕФТЕЮГАНСКИЙ</v>
      </c>
      <c r="R278" t="str">
        <f>""</f>
        <v/>
      </c>
      <c r="S278" t="str">
        <f>"ПГТ ПОЙКОВСКИЙ"</f>
        <v>ПГТ ПОЙКОВСКИЙ</v>
      </c>
      <c r="T278" t="str">
        <f>"МКР 4"</f>
        <v>МКР 4</v>
      </c>
      <c r="U278" s="1" t="str">
        <f>"6"</f>
        <v>6</v>
      </c>
      <c r="V278" s="1" t="str">
        <f>""</f>
        <v/>
      </c>
      <c r="W278" s="1" t="str">
        <f>""</f>
        <v/>
      </c>
      <c r="X278" s="1" t="str">
        <f>""</f>
        <v/>
      </c>
      <c r="Y278" s="1" t="str">
        <f>"24"</f>
        <v>24</v>
      </c>
      <c r="Z278" t="str">
        <f>"9825929926"</f>
        <v>9825929926</v>
      </c>
      <c r="AA278" t="str">
        <f>"9825684853"</f>
        <v>9825684853</v>
      </c>
      <c r="AB278" t="str">
        <f>"9825929926"</f>
        <v>9825929926</v>
      </c>
      <c r="AC278" t="str">
        <f>"9825684853"</f>
        <v>9825684853</v>
      </c>
      <c r="AD278" t="str">
        <f>"9825929926"</f>
        <v>9825929926</v>
      </c>
      <c r="AE278" t="str">
        <f>"9825929926"</f>
        <v>9825929926</v>
      </c>
    </row>
    <row r="279" spans="1:31" x14ac:dyDescent="0.45">
      <c r="A279" t="str">
        <f>"МЕЛЬНИКОВ ДМИТРИЙ ВЛАДИМИРОВИЧ"</f>
        <v>МЕЛЬНИКОВ ДМИТРИЙ ВЛАДИМИРОВИЧ</v>
      </c>
      <c r="B279" t="str">
        <f>"1981-02-25"</f>
        <v>1981-02-25</v>
      </c>
      <c r="C279" t="str">
        <f>"71 08 644088"</f>
        <v>71 08 644088</v>
      </c>
      <c r="D279" t="str">
        <f>"4817810035713111"</f>
        <v>4817810035713111</v>
      </c>
      <c r="E279" t="str">
        <f t="shared" si="45"/>
        <v>2021-05-31</v>
      </c>
      <c r="F279" t="str">
        <f>"+"</f>
        <v>+</v>
      </c>
      <c r="G279" t="str">
        <f>"+"</f>
        <v>+</v>
      </c>
      <c r="H279" t="str">
        <f>"40817810016992402197"</f>
        <v>40817810016992402197</v>
      </c>
      <c r="I279" t="str">
        <f>"5940"</f>
        <v>5940</v>
      </c>
      <c r="J279" t="str">
        <f>"0135"</f>
        <v>0135</v>
      </c>
      <c r="K279" t="str">
        <f>"600000.00"</f>
        <v>600000.00</v>
      </c>
      <c r="L279" t="str">
        <f>"628600 ОБЛ ТЮМЕНСКАЯ АО ХМАО Г НИЖНЕВАРТОВСК   УЛ ИНДУСТРИАЛЬНАЯ д. 36 стр. 16"</f>
        <v>628600 ОБЛ ТЮМЕНСКАЯ АО ХМАО Г НИЖНЕВАРТОВСК   УЛ ИНДУСТРИАЛЬНАЯ д. 36 стр. 16</v>
      </c>
      <c r="M279" t="str">
        <f t="shared" si="41"/>
        <v>2019-08-24</v>
      </c>
      <c r="N279" t="str">
        <f>"НОРД-СЕРВИС"</f>
        <v>НОРД-СЕРВИС</v>
      </c>
      <c r="O279" t="str">
        <f>"628600"</f>
        <v>628600</v>
      </c>
      <c r="P279" t="str">
        <f t="shared" si="43"/>
        <v>ОБЛ ТЮМЕНСКАЯ</v>
      </c>
      <c r="Q279" t="str">
        <f>"АО ХМАО"</f>
        <v>АО ХМАО</v>
      </c>
      <c r="R279" t="str">
        <f>"Г НИЖНЕВАРТОВСК"</f>
        <v>Г НИЖНЕВАРТОВСК</v>
      </c>
      <c r="S279" t="str">
        <f>""</f>
        <v/>
      </c>
      <c r="T279" t="str">
        <f>"УЛ ЛЕНИНА"</f>
        <v>УЛ ЛЕНИНА</v>
      </c>
      <c r="U279" s="1" t="str">
        <f>"46"</f>
        <v>46</v>
      </c>
      <c r="V279" s="1" t="str">
        <f>""</f>
        <v/>
      </c>
      <c r="W279" s="1" t="str">
        <f>""</f>
        <v/>
      </c>
      <c r="X279" s="1" t="str">
        <f>""</f>
        <v/>
      </c>
      <c r="Y279" s="1" t="str">
        <f>"191"</f>
        <v>191</v>
      </c>
      <c r="Z279" t="str">
        <f>"3466614308"</f>
        <v>3466614308</v>
      </c>
      <c r="AA279" t="str">
        <f>"9827543007"</f>
        <v>9827543007</v>
      </c>
      <c r="AB279" t="str">
        <f>"9125343054"</f>
        <v>9125343054</v>
      </c>
      <c r="AC279" t="str">
        <f>"9827543007"</f>
        <v>9827543007</v>
      </c>
      <c r="AD279" t="str">
        <f>"9125343054"</f>
        <v>9125343054</v>
      </c>
      <c r="AE279" t="str">
        <f>"3466614308"</f>
        <v>3466614308</v>
      </c>
    </row>
    <row r="280" spans="1:31" x14ac:dyDescent="0.45">
      <c r="A280" t="str">
        <f>"МАГАДЕЕВА РЕГИНА РАХИМОВНА"</f>
        <v>МАГАДЕЕВА РЕГИНА РАХИМОВНА</v>
      </c>
      <c r="B280" t="str">
        <f>"1988-02-17"</f>
        <v>1988-02-17</v>
      </c>
      <c r="C280" t="str">
        <f>"67 19 828337"</f>
        <v>67 19 828337</v>
      </c>
      <c r="D280" t="str">
        <f>"4279016746060716"</f>
        <v>4279016746060716</v>
      </c>
      <c r="E280" t="str">
        <f t="shared" si="45"/>
        <v>2021-05-31</v>
      </c>
      <c r="F280" t="str">
        <f>"K"</f>
        <v>K</v>
      </c>
      <c r="G280" t="str">
        <f>"Q"</f>
        <v>Q</v>
      </c>
      <c r="H280" t="str">
        <f>"40817810516992014959"</f>
        <v>40817810516992014959</v>
      </c>
      <c r="I280" t="str">
        <f>"5940"</f>
        <v>5940</v>
      </c>
      <c r="J280" t="str">
        <f>"0117"</f>
        <v>0117</v>
      </c>
      <c r="K280" t="str">
        <f>"0.00"</f>
        <v>0.00</v>
      </c>
      <c r="L280" t="str">
        <f>"628600 ОБЛ ТЮМЕНСКАЯ   Г НИЖНЕВАРТОВСК   УЛ ЛЕНИНА д. 9П офис 22"</f>
        <v>628600 ОБЛ ТЮМЕНСКАЯ   Г НИЖНЕВАРТОВСК   УЛ ЛЕНИНА д. 9П офис 22</v>
      </c>
      <c r="M280" t="str">
        <f t="shared" si="41"/>
        <v>2019-08-24</v>
      </c>
      <c r="N280" t="str">
        <f>"АО ОТП БАНК"</f>
        <v>АО ОТП БАНК</v>
      </c>
      <c r="O280" t="str">
        <f>"628600"</f>
        <v>628600</v>
      </c>
      <c r="P280" t="str">
        <f t="shared" si="43"/>
        <v>ОБЛ ТЮМЕНСКАЯ</v>
      </c>
      <c r="Q280" t="str">
        <f>""</f>
        <v/>
      </c>
      <c r="R280" t="str">
        <f>"Г НИЖНЕВАРТОВСК"</f>
        <v>Г НИЖНЕВАРТОВСК</v>
      </c>
      <c r="S280" t="str">
        <f>""</f>
        <v/>
      </c>
      <c r="T280" t="str">
        <f>"УЛ НЕФТЯНИКОВ"</f>
        <v>УЛ НЕФТЯНИКОВ</v>
      </c>
      <c r="U280" s="1" t="str">
        <f>"27"</f>
        <v>27</v>
      </c>
      <c r="V280" s="1" t="str">
        <f>""</f>
        <v/>
      </c>
      <c r="W280" s="1" t="str">
        <f>""</f>
        <v/>
      </c>
      <c r="X280" s="1" t="str">
        <f>""</f>
        <v/>
      </c>
      <c r="Y280" s="1" t="str">
        <f>"1"</f>
        <v>1</v>
      </c>
      <c r="Z280" t="str">
        <f>"+7 (3466) 623132"</f>
        <v>+7 (3466) 623132</v>
      </c>
      <c r="AA280" t="str">
        <f>""</f>
        <v/>
      </c>
      <c r="AB280" t="str">
        <f>"9129332140"</f>
        <v>9129332140</v>
      </c>
      <c r="AC280" t="str">
        <f>"9050020166"</f>
        <v>9050020166</v>
      </c>
      <c r="AD280" t="str">
        <f>"9129332140"</f>
        <v>9129332140</v>
      </c>
      <c r="AE280" t="str">
        <f>"3462525328"</f>
        <v>3462525328</v>
      </c>
    </row>
    <row r="281" spans="1:31" x14ac:dyDescent="0.45">
      <c r="A281" t="str">
        <f>"РОМБЕЛЬСКАЯ ИРИНА ЭВАЛЬДОВНА"</f>
        <v>РОМБЕЛЬСКАЯ ИРИНА ЭВАЛЬДОВНА</v>
      </c>
      <c r="B281" t="str">
        <f>"1959-01-29"</f>
        <v>1959-01-29</v>
      </c>
      <c r="C281" t="str">
        <f>"74 04 475338"</f>
        <v>74 04 475338</v>
      </c>
      <c r="D281" t="str">
        <f>"4279016736097843"</f>
        <v>4279016736097843</v>
      </c>
      <c r="E281" t="str">
        <f t="shared" si="45"/>
        <v>2021-05-31</v>
      </c>
      <c r="F281" t="str">
        <f t="shared" ref="F281:G283" si="46">"+"</f>
        <v>+</v>
      </c>
      <c r="G281" t="str">
        <f t="shared" si="46"/>
        <v>+</v>
      </c>
      <c r="H281" t="str">
        <f>"40817810616992605598"</f>
        <v>40817810616992605598</v>
      </c>
      <c r="I281" t="str">
        <f>"8369"</f>
        <v>8369</v>
      </c>
      <c r="J281" t="str">
        <f>"0022"</f>
        <v>0022</v>
      </c>
      <c r="K281" t="str">
        <f>"180000.00"</f>
        <v>180000.00</v>
      </c>
      <c r="L281" t="str">
        <f>"629800 ОБЛ ТЮМЕНСКАЯ АО ЯНАО Г НОЯБРЬСК   УЛ СИБИРСКАЯ д. 192 кв. 10"</f>
        <v>629800 ОБЛ ТЮМЕНСКАЯ АО ЯНАО Г НОЯБРЬСК   УЛ СИБИРСКАЯ д. 192 кв. 10</v>
      </c>
      <c r="M281" t="str">
        <f t="shared" si="41"/>
        <v>2019-08-24</v>
      </c>
      <c r="N281" t="str">
        <f>"ПЕНСИОНЕР"</f>
        <v>ПЕНСИОНЕР</v>
      </c>
      <c r="O281" t="str">
        <f>"629804"</f>
        <v>629804</v>
      </c>
      <c r="P281" t="str">
        <f t="shared" si="43"/>
        <v>ОБЛ ТЮМЕНСКАЯ</v>
      </c>
      <c r="Q281" t="str">
        <f>""</f>
        <v/>
      </c>
      <c r="R281" t="str">
        <f>"Г НОЯБРЬСК"</f>
        <v>Г НОЯБРЬСК</v>
      </c>
      <c r="S281" t="str">
        <f>""</f>
        <v/>
      </c>
      <c r="T281" t="str">
        <f>"УЛ СИБИРСКАЯ"</f>
        <v>УЛ СИБИРСКАЯ</v>
      </c>
      <c r="U281" s="1" t="str">
        <f>"192"</f>
        <v>192</v>
      </c>
      <c r="V281" s="1" t="str">
        <f>""</f>
        <v/>
      </c>
      <c r="W281" s="1" t="str">
        <f>""</f>
        <v/>
      </c>
      <c r="X281" s="1" t="str">
        <f>""</f>
        <v/>
      </c>
      <c r="Y281" s="1" t="str">
        <f>"10"</f>
        <v>10</v>
      </c>
      <c r="Z281" t="str">
        <f>""</f>
        <v/>
      </c>
      <c r="AA281" t="str">
        <f>"9124382947"</f>
        <v>9124382947</v>
      </c>
      <c r="AB281" t="str">
        <f>"9124382947"</f>
        <v>9124382947</v>
      </c>
      <c r="AC281" t="str">
        <f>"3496396145"</f>
        <v>3496396145</v>
      </c>
      <c r="AD281" t="str">
        <f>"9124382947"</f>
        <v>9124382947</v>
      </c>
      <c r="AE281" t="str">
        <f>""</f>
        <v/>
      </c>
    </row>
    <row r="282" spans="1:31" x14ac:dyDescent="0.45">
      <c r="A282" t="str">
        <f>"УТКИНА ЛИДИЯ ДАВИДОВНА"</f>
        <v>УТКИНА ЛИДИЯ ДАВИДОВНА</v>
      </c>
      <c r="B282" t="str">
        <f>"1956-02-22"</f>
        <v>1956-02-22</v>
      </c>
      <c r="C282" t="str">
        <f>"71 01 401222"</f>
        <v>71 01 401222</v>
      </c>
      <c r="D282" t="str">
        <f>"4854630300736215"</f>
        <v>4854630300736215</v>
      </c>
      <c r="E282" t="str">
        <f>"2020-04-30"</f>
        <v>2020-04-30</v>
      </c>
      <c r="F282" t="str">
        <f t="shared" si="46"/>
        <v>+</v>
      </c>
      <c r="G282" t="str">
        <f t="shared" si="46"/>
        <v>+</v>
      </c>
      <c r="H282" t="str">
        <f>"40817810516992235181"</f>
        <v>40817810516992235181</v>
      </c>
      <c r="I282" t="str">
        <f>"8647"</f>
        <v>8647</v>
      </c>
      <c r="J282" t="str">
        <f>"0260"</f>
        <v>0260</v>
      </c>
      <c r="K282" t="str">
        <f>"20000.00"</f>
        <v>20000.00</v>
      </c>
      <c r="L282" t="str">
        <f>"627070 ОБЛ ТЮМЕНСКАЯ Р-Н ОМУТИНСКИЙ   С ОМУТИНСКОЕ УЛ ВАГАЙСКАЯ д. 1 кв. 3"</f>
        <v>627070 ОБЛ ТЮМЕНСКАЯ Р-Н ОМУТИНСКИЙ   С ОМУТИНСКОЕ УЛ ВАГАЙСКАЯ д. 1 кв. 3</v>
      </c>
      <c r="M282" t="str">
        <f t="shared" si="41"/>
        <v>2019-08-24</v>
      </c>
      <c r="N282" t="str">
        <f>"УПФР В ГОЛЫШМАНОВСКОМ РАЙОНЕ ТЮМЕНСКОЙ ОБЛАСТИ"</f>
        <v>УПФР В ГОЛЫШМАНОВСКОМ РАЙОНЕ ТЮМЕНСКОЙ ОБЛАСТИ</v>
      </c>
      <c r="O282" t="str">
        <f>"627070"</f>
        <v>627070</v>
      </c>
      <c r="P282" t="str">
        <f t="shared" si="43"/>
        <v>ОБЛ ТЮМЕНСКАЯ</v>
      </c>
      <c r="Q282" t="str">
        <f>"Р-Н ОМУТИНСКИЙ"</f>
        <v>Р-Н ОМУТИНСКИЙ</v>
      </c>
      <c r="R282" t="str">
        <f>""</f>
        <v/>
      </c>
      <c r="S282" t="str">
        <f>"С ОМУТИНСКОЕ"</f>
        <v>С ОМУТИНСКОЕ</v>
      </c>
      <c r="T282" t="str">
        <f>"УЛ ВАГАЙСКАЯ"</f>
        <v>УЛ ВАГАЙСКАЯ</v>
      </c>
      <c r="U282" s="1" t="str">
        <f>"1"</f>
        <v>1</v>
      </c>
      <c r="V282" s="1" t="str">
        <f>""</f>
        <v/>
      </c>
      <c r="W282" s="1" t="str">
        <f>""</f>
        <v/>
      </c>
      <c r="X282" s="1" t="str">
        <f>""</f>
        <v/>
      </c>
      <c r="Y282" s="1" t="str">
        <f>"3"</f>
        <v>3</v>
      </c>
      <c r="Z282" t="str">
        <f>"+7 (34544) 33470"</f>
        <v>+7 (34544) 33470</v>
      </c>
      <c r="AA282" t="str">
        <f>"+7 (34544) 31661"</f>
        <v>+7 (34544) 31661</v>
      </c>
      <c r="AB282" t="str">
        <f>"+7 (902) 6236097"</f>
        <v>+7 (902) 6236097</v>
      </c>
      <c r="AC282" t="str">
        <f>"9026236097"</f>
        <v>9026236097</v>
      </c>
      <c r="AD282" t="str">
        <f>"9026236097"</f>
        <v>9026236097</v>
      </c>
      <c r="AE282" t="str">
        <f>"3454433470"</f>
        <v>3454433470</v>
      </c>
    </row>
    <row r="283" spans="1:31" x14ac:dyDescent="0.45">
      <c r="A283" t="str">
        <f>"АНТИПОВ СЕРГЕЙ АЛЕКСАНДРОВИЧ"</f>
        <v>АНТИПОВ СЕРГЕЙ АЛЕКСАНДРОВИЧ</v>
      </c>
      <c r="B283" t="str">
        <f>"1956-10-05"</f>
        <v>1956-10-05</v>
      </c>
      <c r="C283" t="str">
        <f>"75 03 591318"</f>
        <v>75 03 591318</v>
      </c>
      <c r="D283" t="str">
        <f>"4854630413729313"</f>
        <v>4854630413729313</v>
      </c>
      <c r="E283" t="str">
        <f>"2020-04-30"</f>
        <v>2020-04-30</v>
      </c>
      <c r="F283" t="str">
        <f t="shared" si="46"/>
        <v>+</v>
      </c>
      <c r="G283" t="str">
        <f t="shared" si="46"/>
        <v>+</v>
      </c>
      <c r="H283" t="str">
        <f>"40817810216991427355"</f>
        <v>40817810216991427355</v>
      </c>
      <c r="I283" t="str">
        <f>"8597"</f>
        <v>8597</v>
      </c>
      <c r="J283" t="str">
        <f>"0549"</f>
        <v>0549</v>
      </c>
      <c r="K283" t="str">
        <f>"85000.00"</f>
        <v>85000.00</v>
      </c>
      <c r="L283" t="str">
        <f>"454000 ОБЛ ЧЕЛЯБИНСКАЯ Р-Н ЧЕБАРКУЛЬСКИЙ   Д ШАБУНИНО УЛ КОЛХОЗНАЯ д. 1А кв. 1"</f>
        <v>454000 ОБЛ ЧЕЛЯБИНСКАЯ Р-Н ЧЕБАРКУЛЬСКИЙ   Д ШАБУНИНО УЛ КОЛХОЗНАЯ д. 1А кв. 1</v>
      </c>
      <c r="M283" t="str">
        <f t="shared" si="41"/>
        <v>2019-08-24</v>
      </c>
      <c r="N283" t="str">
        <f>"ПЕНСИОНЕР"</f>
        <v>ПЕНСИОНЕР</v>
      </c>
      <c r="O283" t="str">
        <f>"454000"</f>
        <v>454000</v>
      </c>
      <c r="P283" t="str">
        <f>"ОБЛ ЧЕЛЯБИНСКАЯ"</f>
        <v>ОБЛ ЧЕЛЯБИНСКАЯ</v>
      </c>
      <c r="Q283" t="str">
        <f>""</f>
        <v/>
      </c>
      <c r="R283" t="str">
        <f>"Г ЧЕЛЯБИНСК"</f>
        <v>Г ЧЕЛЯБИНСК</v>
      </c>
      <c r="S283" t="str">
        <f>""</f>
        <v/>
      </c>
      <c r="T283" t="str">
        <f>"УЛ НОВОРОССИЙСКАЯ"</f>
        <v>УЛ НОВОРОССИЙСКАЯ</v>
      </c>
      <c r="U283" s="1" t="str">
        <f>"89"</f>
        <v>89</v>
      </c>
      <c r="V283" s="1" t="str">
        <f>""</f>
        <v/>
      </c>
      <c r="W283" s="1" t="str">
        <f>""</f>
        <v/>
      </c>
      <c r="X283" s="1" t="str">
        <f>""</f>
        <v/>
      </c>
      <c r="Y283" s="1" t="str">
        <f>"23"</f>
        <v>23</v>
      </c>
      <c r="Z283" t="str">
        <f>""</f>
        <v/>
      </c>
      <c r="AA283" t="str">
        <f>"9512405066"</f>
        <v>9512405066</v>
      </c>
      <c r="AB283" t="str">
        <f>"9080954059"</f>
        <v>9080954059</v>
      </c>
      <c r="AC283" t="str">
        <f>"9512405066"</f>
        <v>9512405066</v>
      </c>
      <c r="AD283" t="str">
        <f>"9080954059"</f>
        <v>9080954059</v>
      </c>
      <c r="AE283" t="str">
        <f>""</f>
        <v/>
      </c>
    </row>
    <row r="284" spans="1:31" x14ac:dyDescent="0.45">
      <c r="A284" t="str">
        <f>"ГРИГОРЬЕВ АЛЕКСАНДР АНАТОЛЬЕВИЧ"</f>
        <v>ГРИГОРЬЕВ АЛЕКСАНДР АНАТОЛЬЕВИЧ</v>
      </c>
      <c r="B284" t="str">
        <f>"1973-10-25"</f>
        <v>1973-10-25</v>
      </c>
      <c r="C284" t="str">
        <f>"67 18 776238"</f>
        <v>67 18 776238</v>
      </c>
      <c r="D284" t="str">
        <f>"4279016727359442"</f>
        <v>4279016727359442</v>
      </c>
      <c r="E284" t="str">
        <f>"2021-05-31"</f>
        <v>2021-05-31</v>
      </c>
      <c r="F284" t="str">
        <f>"Q"</f>
        <v>Q</v>
      </c>
      <c r="G284" t="str">
        <f>"Q"</f>
        <v>Q</v>
      </c>
      <c r="H284" t="str">
        <f>"40817810067720689682"</f>
        <v>40817810067720689682</v>
      </c>
      <c r="I284" t="str">
        <f>"5940"</f>
        <v>5940</v>
      </c>
      <c r="J284" t="str">
        <f>"0087"</f>
        <v>0087</v>
      </c>
      <c r="K284" t="str">
        <f t="shared" ref="K284:K285" si="47">"0.00"</f>
        <v>0.00</v>
      </c>
      <c r="L284" t="str">
        <f>"628400 ОБЛ ТЮМЕНСКАЯ   Г СУРГУТ   УЛ ЗАПАДНАЯ д. 5"</f>
        <v>628400 ОБЛ ТЮМЕНСКАЯ   Г СУРГУТ   УЛ ЗАПАДНАЯ д. 5</v>
      </c>
      <c r="M284" t="str">
        <f t="shared" si="41"/>
        <v>2019-08-24</v>
      </c>
      <c r="N284" t="str">
        <f>"ОАО СУРГУТНЕФТЕГАЗ"</f>
        <v>ОАО СУРГУТНЕФТЕГАЗ</v>
      </c>
      <c r="O284" t="str">
        <f>"628400"</f>
        <v>628400</v>
      </c>
      <c r="P284" t="str">
        <f>"ОБЛ ТЮМЕНСКАЯ"</f>
        <v>ОБЛ ТЮМЕНСКАЯ</v>
      </c>
      <c r="Q284" t="str">
        <f>""</f>
        <v/>
      </c>
      <c r="R284" t="str">
        <f>""</f>
        <v/>
      </c>
      <c r="S284" t="str">
        <f>"П ЛОКОСОВО"</f>
        <v>П ЛОКОСОВО</v>
      </c>
      <c r="T284" t="str">
        <f>"УЛ ВАЛУЕВА"</f>
        <v>УЛ ВАЛУЕВА</v>
      </c>
      <c r="U284" s="1" t="str">
        <f>"26"</f>
        <v>26</v>
      </c>
      <c r="V284" s="1" t="str">
        <f>""</f>
        <v/>
      </c>
      <c r="W284" s="1" t="str">
        <f>""</f>
        <v/>
      </c>
      <c r="X284" s="1" t="str">
        <f>""</f>
        <v/>
      </c>
      <c r="Y284" s="1" t="str">
        <f>"10"</f>
        <v>10</v>
      </c>
      <c r="Z284" t="str">
        <f>""</f>
        <v/>
      </c>
      <c r="AA284" t="str">
        <f>"3462739135"</f>
        <v>3462739135</v>
      </c>
      <c r="AB284" t="str">
        <f>"9822016045"</f>
        <v>9822016045</v>
      </c>
      <c r="AC284" t="str">
        <f>"9824109257"</f>
        <v>9824109257</v>
      </c>
      <c r="AD284" t="str">
        <f>"9822016045"</f>
        <v>9822016045</v>
      </c>
      <c r="AE284" t="str">
        <f>""</f>
        <v/>
      </c>
    </row>
    <row r="285" spans="1:31" x14ac:dyDescent="0.45">
      <c r="A285" t="str">
        <f>"ИЛЬЮЩЕНКОВ АЛЕКСАНДР ЛЕОНИДОВИЧ"</f>
        <v>ИЛЬЮЩЕНКОВ АЛЕКСАНДР ЛЕОНИДОВИЧ</v>
      </c>
      <c r="B285" t="str">
        <f>"1964-04-17"</f>
        <v>1964-04-17</v>
      </c>
      <c r="C285" t="str">
        <f>"67 08 897588"</f>
        <v>67 08 897588</v>
      </c>
      <c r="D285" t="str">
        <f>"4279016726067244"</f>
        <v>4279016726067244</v>
      </c>
      <c r="E285" t="str">
        <f>"2021-05-31"</f>
        <v>2021-05-31</v>
      </c>
      <c r="F285" t="str">
        <f>"Q"</f>
        <v>Q</v>
      </c>
      <c r="G285" t="str">
        <f>"Q"</f>
        <v>Q</v>
      </c>
      <c r="H285" t="str">
        <f>"40817810967720689805"</f>
        <v>40817810967720689805</v>
      </c>
      <c r="I285" t="str">
        <f>"0029"</f>
        <v>0029</v>
      </c>
      <c r="J285" t="str">
        <f>"0080"</f>
        <v>0080</v>
      </c>
      <c r="K285" t="str">
        <f t="shared" si="47"/>
        <v>0.00</v>
      </c>
      <c r="L285" t="str">
        <f>"625000 ОБЛ ТЮМЕНСКАЯ   Г ТЮМЕНЬ   УЛ МИХАИЛА СПЕРАНСКОГО д. 17 кв. 189"</f>
        <v>625000 ОБЛ ТЮМЕНСКАЯ   Г ТЮМЕНЬ   УЛ МИХАИЛА СПЕРАНСКОГО д. 17 кв. 189</v>
      </c>
      <c r="M285" t="str">
        <f t="shared" si="41"/>
        <v>2019-08-24</v>
      </c>
      <c r="N285" t="str">
        <f>"БЕЗРАБОТНЫЙ"</f>
        <v>БЕЗРАБОТНЫЙ</v>
      </c>
      <c r="O285" t="str">
        <f>"625000"</f>
        <v>625000</v>
      </c>
      <c r="P285" t="str">
        <f>"ОБЛ ТЮМЕНСКАЯ"</f>
        <v>ОБЛ ТЮМЕНСКАЯ</v>
      </c>
      <c r="Q285" t="str">
        <f>""</f>
        <v/>
      </c>
      <c r="R285" t="str">
        <f>"Г ТЮМЕНЬ"</f>
        <v>Г ТЮМЕНЬ</v>
      </c>
      <c r="S285" t="str">
        <f>""</f>
        <v/>
      </c>
      <c r="T285" t="str">
        <f>"УЛ МИХАИЛА СПЕРАНСКОГО"</f>
        <v>УЛ МИХАИЛА СПЕРАНСКОГО</v>
      </c>
      <c r="U285" s="1" t="str">
        <f>"17"</f>
        <v>17</v>
      </c>
      <c r="V285" s="1" t="str">
        <f>""</f>
        <v/>
      </c>
      <c r="W285" s="1" t="str">
        <f>""</f>
        <v/>
      </c>
      <c r="X285" s="1" t="str">
        <f>""</f>
        <v/>
      </c>
      <c r="Y285" s="1" t="str">
        <f>"189"</f>
        <v>189</v>
      </c>
      <c r="Z285" t="str">
        <f>"+7 (800) 7000240"</f>
        <v>+7 (800) 7000240</v>
      </c>
      <c r="AA285" t="str">
        <f>"9821354856"</f>
        <v>9821354856</v>
      </c>
      <c r="AB285" t="str">
        <f>"9044870715"</f>
        <v>9044870715</v>
      </c>
      <c r="AC285" t="str">
        <f>"9821354856"</f>
        <v>9821354856</v>
      </c>
      <c r="AD285" t="str">
        <f>"9044870715"</f>
        <v>9044870715</v>
      </c>
      <c r="AE285" t="str">
        <f>""</f>
        <v/>
      </c>
    </row>
    <row r="286" spans="1:31" x14ac:dyDescent="0.45">
      <c r="A286" t="str">
        <f>"КЕЙЛЬ АЛЕКСАНДРА ВИКТОРОВНА"</f>
        <v>КЕЙЛЬ АЛЕКСАНДРА ВИКТОРОВНА</v>
      </c>
      <c r="B286" t="str">
        <f>"1983-11-20"</f>
        <v>1983-11-20</v>
      </c>
      <c r="C286" t="str">
        <f>"74 13 851332"</f>
        <v>74 13 851332</v>
      </c>
      <c r="D286" t="str">
        <f>"4279016738226978"</f>
        <v>4279016738226978</v>
      </c>
      <c r="E286" t="str">
        <f>"2021-05-31"</f>
        <v>2021-05-31</v>
      </c>
      <c r="F286" t="str">
        <f>"+"</f>
        <v>+</v>
      </c>
      <c r="G286" t="str">
        <f>"3"</f>
        <v>3</v>
      </c>
      <c r="H286" t="str">
        <f>"40817810516992015110"</f>
        <v>40817810516992015110</v>
      </c>
      <c r="I286" t="str">
        <f>"1790"</f>
        <v>1790</v>
      </c>
      <c r="J286" t="str">
        <f>"0039"</f>
        <v>0039</v>
      </c>
      <c r="K286" t="str">
        <f>"205000.00"</f>
        <v>205000.00</v>
      </c>
      <c r="L286" t="str">
        <f>"629000 АО ЯМАЛО-НЕНЕЦКИЙ Р-Н ЯНАО Г САЛЕХАРД   УЛ МАТРОСОВА д. 29"</f>
        <v>629000 АО ЯМАЛО-НЕНЕЦКИЙ Р-Н ЯНАО Г САЛЕХАРД   УЛ МАТРОСОВА д. 29</v>
      </c>
      <c r="M286" t="str">
        <f t="shared" si="41"/>
        <v>2019-08-24</v>
      </c>
      <c r="N286" t="str">
        <f>"ГКУ ЯНАО НЕДРА ЯМАЛА"</f>
        <v>ГКУ ЯНАО НЕДРА ЯМАЛА</v>
      </c>
      <c r="O286" t="str">
        <f>"629000"</f>
        <v>629000</v>
      </c>
      <c r="P286" t="str">
        <f>"АО ЯМАЛО-НЕНЕЦКИЙ"</f>
        <v>АО ЯМАЛО-НЕНЕЦКИЙ</v>
      </c>
      <c r="Q286" t="str">
        <f>""</f>
        <v/>
      </c>
      <c r="R286" t="str">
        <f>"Г САЛЕХАРД"</f>
        <v>Г САЛЕХАРД</v>
      </c>
      <c r="S286" t="str">
        <f>""</f>
        <v/>
      </c>
      <c r="T286" t="str">
        <f>"УЛ ЯМАЛЬСКАЯ"</f>
        <v>УЛ ЯМАЛЬСКАЯ</v>
      </c>
      <c r="U286" s="1" t="str">
        <f>"40"</f>
        <v>40</v>
      </c>
      <c r="V286" s="1" t="str">
        <f>""</f>
        <v/>
      </c>
      <c r="W286" s="1" t="str">
        <f>""</f>
        <v/>
      </c>
      <c r="X286" s="1" t="str">
        <f>""</f>
        <v/>
      </c>
      <c r="Y286" s="1" t="str">
        <f>"12"</f>
        <v>12</v>
      </c>
      <c r="Z286" t="str">
        <f>"+7 (34922) 49165"</f>
        <v>+7 (34922) 49165</v>
      </c>
      <c r="AA286" t="str">
        <f>"+7 (909) 1989911"</f>
        <v>+7 (909) 1989911</v>
      </c>
      <c r="AB286" t="str">
        <f>"+7 (909) 1989911"</f>
        <v>+7 (909) 1989911</v>
      </c>
      <c r="AC286" t="str">
        <f>"3492246715"</f>
        <v>3492246715</v>
      </c>
      <c r="AD286" t="str">
        <f>"9091989911"</f>
        <v>9091989911</v>
      </c>
      <c r="AE286" t="str">
        <f>""</f>
        <v/>
      </c>
    </row>
    <row r="287" spans="1:31" x14ac:dyDescent="0.45">
      <c r="A287" t="str">
        <f>"СУХИХ АЛЕКСАНДР ЮРЬЕВИЧ"</f>
        <v>СУХИХ АЛЕКСАНДР ЮРЬЕВИЧ</v>
      </c>
      <c r="B287" t="str">
        <f>"1983-02-16"</f>
        <v>1983-02-16</v>
      </c>
      <c r="C287" t="str">
        <f>"65 16 286868"</f>
        <v>65 16 286868</v>
      </c>
      <c r="D287" t="str">
        <f>"4854630236389618"</f>
        <v>4854630236389618</v>
      </c>
      <c r="E287" t="str">
        <f>"2021-04-30"</f>
        <v>2021-04-30</v>
      </c>
      <c r="F287" t="str">
        <f>"M"</f>
        <v>M</v>
      </c>
      <c r="G287" t="str">
        <f>"+"</f>
        <v>+</v>
      </c>
      <c r="H287" t="str">
        <f>"40817810516991427356"</f>
        <v>40817810516991427356</v>
      </c>
      <c r="I287" t="str">
        <f>"7003"</f>
        <v>7003</v>
      </c>
      <c r="J287" t="str">
        <f>"0484"</f>
        <v>0484</v>
      </c>
      <c r="K287" t="str">
        <f>"82000.00"</f>
        <v>82000.00</v>
      </c>
      <c r="L287" t="str">
        <f>"620000 ОБЛ СВЕРДЛОВСКАЯ   Г АРАМИЛЬ   УЛ КЛУБНАЯ д. 57"</f>
        <v>620000 ОБЛ СВЕРДЛОВСКАЯ   Г АРАМИЛЬ   УЛ КЛУБНАЯ д. 57</v>
      </c>
      <c r="M287" t="str">
        <f t="shared" si="41"/>
        <v>2019-08-24</v>
      </c>
      <c r="N287" t="str">
        <f>"ООО ТСК УРАЛ"</f>
        <v>ООО ТСК УРАЛ</v>
      </c>
      <c r="O287" t="str">
        <f>"620000"</f>
        <v>620000</v>
      </c>
      <c r="P287" t="str">
        <f>"ОБЛ СВЕРДЛОВСКАЯ"</f>
        <v>ОБЛ СВЕРДЛОВСКАЯ</v>
      </c>
      <c r="Q287" t="str">
        <f>""</f>
        <v/>
      </c>
      <c r="R287" t="str">
        <f>"Г АРАМИЛЬ"</f>
        <v>Г АРАМИЛЬ</v>
      </c>
      <c r="S287" t="str">
        <f>""</f>
        <v/>
      </c>
      <c r="T287" t="str">
        <f>"УЛ ЗЕВЕТЫ ИЛЬИЧА"</f>
        <v>УЛ ЗЕВЕТЫ ИЛЬИЧА</v>
      </c>
      <c r="U287" s="1" t="str">
        <f>"27"</f>
        <v>27</v>
      </c>
      <c r="V287" s="1" t="str">
        <f>""</f>
        <v/>
      </c>
      <c r="W287" s="1" t="str">
        <f>""</f>
        <v/>
      </c>
      <c r="X287" s="1" t="str">
        <f>""</f>
        <v/>
      </c>
      <c r="Y287" s="1" t="str">
        <f>"12"</f>
        <v>12</v>
      </c>
      <c r="Z287" t="str">
        <f>""</f>
        <v/>
      </c>
      <c r="AA287" t="str">
        <f>"9049808140"</f>
        <v>9049808140</v>
      </c>
      <c r="AB287" t="str">
        <f>"9530430083"</f>
        <v>9530430083</v>
      </c>
      <c r="AC287" t="str">
        <f>"9049808140"</f>
        <v>9049808140</v>
      </c>
      <c r="AD287" t="str">
        <f>"9530430083"</f>
        <v>9530430083</v>
      </c>
      <c r="AE287" t="str">
        <f>""</f>
        <v/>
      </c>
    </row>
    <row r="288" spans="1:31" x14ac:dyDescent="0.45">
      <c r="A288" t="str">
        <f>"СТРЕБКОВА АННА ИВАНОВНА"</f>
        <v>СТРЕБКОВА АННА ИВАНОВНА</v>
      </c>
      <c r="B288" t="str">
        <f>"1978-09-23"</f>
        <v>1978-09-23</v>
      </c>
      <c r="C288" t="str">
        <f>"75 06 017360"</f>
        <v>75 06 017360</v>
      </c>
      <c r="D288" t="str">
        <f>"4854630367028753"</f>
        <v>4854630367028753</v>
      </c>
      <c r="E288" t="str">
        <f>"2021-04-30"</f>
        <v>2021-04-30</v>
      </c>
      <c r="F288" t="str">
        <f>"K"</f>
        <v>K</v>
      </c>
      <c r="G288" t="str">
        <f>"+"</f>
        <v>+</v>
      </c>
      <c r="H288" t="str">
        <f>"40817810816991427357"</f>
        <v>40817810816991427357</v>
      </c>
      <c r="I288" t="str">
        <f>"8597"</f>
        <v>8597</v>
      </c>
      <c r="J288" t="str">
        <f>"0308"</f>
        <v>0308</v>
      </c>
      <c r="K288" t="str">
        <f>"15000.00"</f>
        <v>15000.00</v>
      </c>
      <c r="L288" t="str">
        <f>"456660 ОБЛ ЧЕЛЯБИНСКАЯ Р-Н КРАСНОАРМЕЙСКИЙ   С МИАССКОЕ УЛ КИРОВА д. 1 стр. Б"</f>
        <v>456660 ОБЛ ЧЕЛЯБИНСКАЯ Р-Н КРАСНОАРМЕЙСКИЙ   С МИАССКОЕ УЛ КИРОВА д. 1 стр. Б</v>
      </c>
      <c r="M288" t="str">
        <f t="shared" si="41"/>
        <v>2019-08-24</v>
      </c>
      <c r="N288" t="str">
        <f>"ГЛАВНОЕ УПРАВЛЕНИЕ ЮСТИЦИИ ПО ЧЕЛЯБИНСКОЙ ОБЛАСТИ"</f>
        <v>ГЛАВНОЕ УПРАВЛЕНИЕ ЮСТИЦИИ ПО ЧЕЛЯБИНСКОЙ ОБЛАСТИ</v>
      </c>
      <c r="O288" t="str">
        <f>"456660"</f>
        <v>456660</v>
      </c>
      <c r="P288" t="str">
        <f>"ОБЛ ЧЕЛЯБИНСКАЯ"</f>
        <v>ОБЛ ЧЕЛЯБИНСКАЯ</v>
      </c>
      <c r="Q288" t="str">
        <f>"Р-Н КРАСНОАРМЕЙСКИЙ"</f>
        <v>Р-Н КРАСНОАРМЕЙСКИЙ</v>
      </c>
      <c r="R288" t="str">
        <f>""</f>
        <v/>
      </c>
      <c r="S288" t="str">
        <f>"С МИАССКОЕ"</f>
        <v>С МИАССКОЕ</v>
      </c>
      <c r="T288" t="str">
        <f>"УЛ КИРОВА"</f>
        <v>УЛ КИРОВА</v>
      </c>
      <c r="U288" s="1" t="str">
        <f>"65"</f>
        <v>65</v>
      </c>
      <c r="V288" s="1" t="str">
        <f>""</f>
        <v/>
      </c>
      <c r="W288" s="1" t="str">
        <f>""</f>
        <v/>
      </c>
      <c r="X288" s="1" t="str">
        <f>""</f>
        <v/>
      </c>
      <c r="Y288" s="1" t="str">
        <f>""</f>
        <v/>
      </c>
      <c r="Z288" t="str">
        <f>"3515020728"</f>
        <v>3515020728</v>
      </c>
      <c r="AA288" t="str">
        <f>"9514876957"</f>
        <v>9514876957</v>
      </c>
      <c r="AB288" t="str">
        <f>"9514876957"</f>
        <v>9514876957</v>
      </c>
      <c r="AC288" t="str">
        <f>"9514876957"</f>
        <v>9514876957</v>
      </c>
      <c r="AD288" t="str">
        <f>"9514876957"</f>
        <v>9514876957</v>
      </c>
      <c r="AE288" t="str">
        <f>"3515020728"</f>
        <v>3515020728</v>
      </c>
    </row>
    <row r="289" spans="1:31" x14ac:dyDescent="0.45">
      <c r="A289" t="str">
        <f>"КОРКИНА ОЛЕСЯ ВАЛЕРЬЕВНА"</f>
        <v>КОРКИНА ОЛЕСЯ ВАЛЕРЬЕВНА</v>
      </c>
      <c r="B289" t="str">
        <f>"1990-02-12"</f>
        <v>1990-02-12</v>
      </c>
      <c r="C289" t="str">
        <f>"71 18 379965"</f>
        <v>71 18 379965</v>
      </c>
      <c r="D289" t="str">
        <f>"4279016710005176"</f>
        <v>4279016710005176</v>
      </c>
      <c r="E289" t="str">
        <f t="shared" ref="E289:E296" si="48">"2021-05-31"</f>
        <v>2021-05-31</v>
      </c>
      <c r="F289" t="str">
        <f>"+"</f>
        <v>+</v>
      </c>
      <c r="G289" t="str">
        <f>"+"</f>
        <v>+</v>
      </c>
      <c r="H289" t="str">
        <f>"40817810416992012116"</f>
        <v>40817810416992012116</v>
      </c>
      <c r="I289" t="str">
        <f>"8647"</f>
        <v>8647</v>
      </c>
      <c r="J289" t="str">
        <f>"0053"</f>
        <v>0053</v>
      </c>
      <c r="K289" t="str">
        <f>"94000.00"</f>
        <v>94000.00</v>
      </c>
      <c r="L289" t="str">
        <f>"625000 ОБЛ ТЮМЕНСКАЯ   Г ТЮМЕНЬ   УЛ ДОМОСТРОИТЕЛЕЙ д. 16/1"</f>
        <v>625000 ОБЛ ТЮМЕНСКАЯ   Г ТЮМЕНЬ   УЛ ДОМОСТРОИТЕЛЕЙ д. 16/1</v>
      </c>
      <c r="M289" t="str">
        <f t="shared" si="41"/>
        <v>2019-08-24</v>
      </c>
      <c r="N289" t="str">
        <f>"ООО АЛЬФА ТЮМЕНЬ"</f>
        <v>ООО АЛЬФА ТЮМЕНЬ</v>
      </c>
      <c r="O289" t="str">
        <f>"625000"</f>
        <v>625000</v>
      </c>
      <c r="P289" t="str">
        <f t="shared" ref="P289:P294" si="49">"ОБЛ ТЮМЕНСКАЯ"</f>
        <v>ОБЛ ТЮМЕНСКАЯ</v>
      </c>
      <c r="Q289" t="str">
        <f>"Р-Н АРМИЗОНСКИЙ"</f>
        <v>Р-Н АРМИЗОНСКИЙ</v>
      </c>
      <c r="R289" t="str">
        <f>""</f>
        <v/>
      </c>
      <c r="S289" t="str">
        <f>"Д МЕНЩИКОВА"</f>
        <v>Д МЕНЩИКОВА</v>
      </c>
      <c r="T289" t="str">
        <f>"УЛ МЕНЩИКОВСКАЯ"</f>
        <v>УЛ МЕНЩИКОВСКАЯ</v>
      </c>
      <c r="U289" s="1" t="str">
        <f>"17"</f>
        <v>17</v>
      </c>
      <c r="V289" s="1" t="str">
        <f>""</f>
        <v/>
      </c>
      <c r="W289" s="1" t="str">
        <f>""</f>
        <v/>
      </c>
      <c r="X289" s="1" t="str">
        <f>""</f>
        <v/>
      </c>
      <c r="Y289" s="1" t="str">
        <f>""</f>
        <v/>
      </c>
      <c r="Z289" t="str">
        <f>""</f>
        <v/>
      </c>
      <c r="AA289" t="str">
        <f>"3454724818"</f>
        <v>3454724818</v>
      </c>
      <c r="AB289" t="str">
        <f>"9324819771"</f>
        <v>9324819771</v>
      </c>
      <c r="AC289" t="str">
        <f>"3454724818"</f>
        <v>3454724818</v>
      </c>
      <c r="AD289" t="str">
        <f>"9324819771"</f>
        <v>9324819771</v>
      </c>
      <c r="AE289" t="str">
        <f>""</f>
        <v/>
      </c>
    </row>
    <row r="290" spans="1:31" x14ac:dyDescent="0.45">
      <c r="A290" t="str">
        <f>"ИМЕРЛИШВИЛИ ИРИНА МИХАЙЛОВНА"</f>
        <v>ИМЕРЛИШВИЛИ ИРИНА МИХАЙЛОВНА</v>
      </c>
      <c r="B290" t="str">
        <f>"1986-11-10"</f>
        <v>1986-11-10</v>
      </c>
      <c r="C290" t="str">
        <f>"71 06 433694"</f>
        <v>71 06 433694</v>
      </c>
      <c r="D290" t="str">
        <f>"4279016719561468"</f>
        <v>4279016719561468</v>
      </c>
      <c r="E290" t="str">
        <f t="shared" si="48"/>
        <v>2021-05-31</v>
      </c>
      <c r="F290" t="str">
        <f>"Y"</f>
        <v>Y</v>
      </c>
      <c r="G290" t="str">
        <f>"Q"</f>
        <v>Q</v>
      </c>
      <c r="H290" t="str">
        <f>"40817810116992354022"</f>
        <v>40817810116992354022</v>
      </c>
      <c r="I290" t="str">
        <f>"8647"</f>
        <v>8647</v>
      </c>
      <c r="J290" t="str">
        <f>"0112"</f>
        <v>0112</v>
      </c>
      <c r="K290" t="str">
        <f>"0.00"</f>
        <v>0.00</v>
      </c>
      <c r="L290" t="str">
        <f>"625000 ОБЛ ТЮМЕНСКАЯ   Г ТЮМЕНЬ   УЛ 50 ЛЕТ ОКТЯБРЯ д. 58"</f>
        <v>625000 ОБЛ ТЮМЕНСКАЯ   Г ТЮМЕНЬ   УЛ 50 ЛЕТ ОКТЯБРЯ д. 58</v>
      </c>
      <c r="M290" t="str">
        <f t="shared" si="41"/>
        <v>2019-08-24</v>
      </c>
      <c r="N290" t="str">
        <f>"АО ТЮМЕНЬНЕФТЕГАЗ"</f>
        <v>АО ТЮМЕНЬНЕФТЕГАЗ</v>
      </c>
      <c r="O290" t="str">
        <f>"625000"</f>
        <v>625000</v>
      </c>
      <c r="P290" t="str">
        <f t="shared" si="49"/>
        <v>ОБЛ ТЮМЕНСКАЯ</v>
      </c>
      <c r="Q290" t="str">
        <f>""</f>
        <v/>
      </c>
      <c r="R290" t="str">
        <f>"Г ТЮМЕНЬ"</f>
        <v>Г ТЮМЕНЬ</v>
      </c>
      <c r="S290" t="str">
        <f>""</f>
        <v/>
      </c>
      <c r="T290" t="str">
        <f>"УЛ ФЕДЮНИНСКОГО"</f>
        <v>УЛ ФЕДЮНИНСКОГО</v>
      </c>
      <c r="U290" s="1" t="str">
        <f>"5"</f>
        <v>5</v>
      </c>
      <c r="V290" s="1" t="str">
        <f>""</f>
        <v/>
      </c>
      <c r="W290" s="1" t="str">
        <f>""</f>
        <v/>
      </c>
      <c r="X290" s="1" t="str">
        <f>""</f>
        <v/>
      </c>
      <c r="Y290" s="1" t="str">
        <f>"61"</f>
        <v>61</v>
      </c>
      <c r="Z290" t="str">
        <f>"9058508976"</f>
        <v>9058508976</v>
      </c>
      <c r="AA290" t="str">
        <f>"3452329190"</f>
        <v>3452329190</v>
      </c>
      <c r="AB290" t="str">
        <f>"9058208976"</f>
        <v>9058208976</v>
      </c>
      <c r="AC290" t="str">
        <f>"9044929949"</f>
        <v>9044929949</v>
      </c>
      <c r="AD290" t="str">
        <f>"9058508976"</f>
        <v>9058508976</v>
      </c>
      <c r="AE290" t="str">
        <f>""</f>
        <v/>
      </c>
    </row>
    <row r="291" spans="1:31" x14ac:dyDescent="0.45">
      <c r="A291" t="str">
        <f>"АЛИКИН КОНСТАНТИН ПЕТРОВИЧ"</f>
        <v>АЛИКИН КОНСТАНТИН ПЕТРОВИЧ</v>
      </c>
      <c r="B291" t="str">
        <f>"1985-08-15"</f>
        <v>1985-08-15</v>
      </c>
      <c r="C291" t="str">
        <f>"71 05 349473"</f>
        <v>71 05 349473</v>
      </c>
      <c r="D291" t="str">
        <f>"4279016713136903"</f>
        <v>4279016713136903</v>
      </c>
      <c r="E291" t="str">
        <f t="shared" si="48"/>
        <v>2021-05-31</v>
      </c>
      <c r="F291" t="str">
        <f>"+"</f>
        <v>+</v>
      </c>
      <c r="G291" t="str">
        <f>"+"</f>
        <v>+</v>
      </c>
      <c r="H291" t="str">
        <f>"40817810316992012148"</f>
        <v>40817810316992012148</v>
      </c>
      <c r="I291" t="str">
        <f>"8647"</f>
        <v>8647</v>
      </c>
      <c r="J291" t="str">
        <f>"0053"</f>
        <v>0053</v>
      </c>
      <c r="K291" t="str">
        <f>"100000.00"</f>
        <v>100000.00</v>
      </c>
      <c r="L291" t="str">
        <f>"625000 ОБЛ ТЮМЕНСКАЯ   Г ТЮМЕНЬ   УЛ КАЗАЧЬИ ЛУГА д. 2"</f>
        <v>625000 ОБЛ ТЮМЕНСКАЯ   Г ТЮМЕНЬ   УЛ КАЗАЧЬИ ЛУГА д. 2</v>
      </c>
      <c r="M291" t="str">
        <f t="shared" si="41"/>
        <v>2019-08-24</v>
      </c>
      <c r="N291" t="str">
        <f>"АО ТАНДЕР"</f>
        <v>АО ТАНДЕР</v>
      </c>
      <c r="O291" t="str">
        <f>"625000"</f>
        <v>625000</v>
      </c>
      <c r="P291" t="str">
        <f t="shared" si="49"/>
        <v>ОБЛ ТЮМЕНСКАЯ</v>
      </c>
      <c r="Q291" t="str">
        <f>""</f>
        <v/>
      </c>
      <c r="R291" t="str">
        <f>"Г ИШИМ"</f>
        <v>Г ИШИМ</v>
      </c>
      <c r="S291" t="str">
        <f>""</f>
        <v/>
      </c>
      <c r="T291" t="str">
        <f>"УЛ КАЛИНИНА"</f>
        <v>УЛ КАЛИНИНА</v>
      </c>
      <c r="U291" s="1" t="str">
        <f>"27"</f>
        <v>27</v>
      </c>
      <c r="V291" s="1" t="str">
        <f>""</f>
        <v/>
      </c>
      <c r="W291" s="1" t="str">
        <f>""</f>
        <v/>
      </c>
      <c r="X291" s="1" t="str">
        <f>""</f>
        <v/>
      </c>
      <c r="Y291" s="1" t="str">
        <f>""</f>
        <v/>
      </c>
      <c r="Z291" t="str">
        <f>""</f>
        <v/>
      </c>
      <c r="AA291" t="str">
        <f>"9829743547"</f>
        <v>9829743547</v>
      </c>
      <c r="AB291" t="str">
        <f>"9199477921"</f>
        <v>9199477921</v>
      </c>
      <c r="AC291" t="str">
        <f>"9829743547"</f>
        <v>9829743547</v>
      </c>
      <c r="AD291" t="str">
        <f>"9199477921"</f>
        <v>9199477921</v>
      </c>
      <c r="AE291" t="str">
        <f>""</f>
        <v/>
      </c>
    </row>
    <row r="292" spans="1:31" x14ac:dyDescent="0.45">
      <c r="A292" t="str">
        <f>"ВАТОЛИНА СВЕТЛАНА ВЛАДИМИРОВНА"</f>
        <v>ВАТОЛИНА СВЕТЛАНА ВЛАДИМИРОВНА</v>
      </c>
      <c r="B292" t="str">
        <f>"1977-02-05"</f>
        <v>1977-02-05</v>
      </c>
      <c r="C292" t="str">
        <f>"67 02 821594"</f>
        <v>67 02 821594</v>
      </c>
      <c r="D292" t="str">
        <f>"4279016701678908"</f>
        <v>4279016701678908</v>
      </c>
      <c r="E292" t="str">
        <f t="shared" si="48"/>
        <v>2021-05-31</v>
      </c>
      <c r="F292" t="str">
        <f>"Q"</f>
        <v>Q</v>
      </c>
      <c r="G292" t="str">
        <f>"Q"</f>
        <v>Q</v>
      </c>
      <c r="H292" t="str">
        <f>"40817810567720689687"</f>
        <v>40817810567720689687</v>
      </c>
      <c r="I292" t="str">
        <f>"5940"</f>
        <v>5940</v>
      </c>
      <c r="J292" t="str">
        <f>"0133"</f>
        <v>0133</v>
      </c>
      <c r="K292" t="str">
        <f>"0.00"</f>
        <v>0.00</v>
      </c>
      <c r="L292" t="str">
        <f>"628672 ОБЛ ТЮМЕНСКАЯ     Г ЛАНГЕПАС УЛ ПРОМЫШЛЕННАЯ ЗОНА д. 11"</f>
        <v>628672 ОБЛ ТЮМЕНСКАЯ     Г ЛАНГЕПАС УЛ ПРОМЫШЛЕННАЯ ЗОНА д. 11</v>
      </c>
      <c r="M292" t="str">
        <f t="shared" si="41"/>
        <v>2019-08-24</v>
      </c>
      <c r="N292" t="str">
        <f>"РГС"</f>
        <v>РГС</v>
      </c>
      <c r="O292" t="str">
        <f>"628672"</f>
        <v>628672</v>
      </c>
      <c r="P292" t="str">
        <f t="shared" si="49"/>
        <v>ОБЛ ТЮМЕНСКАЯ</v>
      </c>
      <c r="Q292" t="str">
        <f>""</f>
        <v/>
      </c>
      <c r="R292" t="str">
        <f>""</f>
        <v/>
      </c>
      <c r="S292" t="str">
        <f>"Г ЛАНГЕПАС"</f>
        <v>Г ЛАНГЕПАС</v>
      </c>
      <c r="T292" t="str">
        <f>"УЛ КОМСОМОЛЬСКАЯЁ"</f>
        <v>УЛ КОМСОМОЛЬСКАЯЁ</v>
      </c>
      <c r="U292" s="1" t="str">
        <f>"30"</f>
        <v>30</v>
      </c>
      <c r="V292" s="1" t="str">
        <f>""</f>
        <v/>
      </c>
      <c r="W292" s="1" t="str">
        <f>""</f>
        <v/>
      </c>
      <c r="X292" s="1" t="str">
        <f>""</f>
        <v/>
      </c>
      <c r="Y292" s="1" t="str">
        <f>"39"</f>
        <v>39</v>
      </c>
      <c r="Z292" t="str">
        <f>""</f>
        <v/>
      </c>
      <c r="AA292" t="str">
        <f>"3466928835"</f>
        <v>3466928835</v>
      </c>
      <c r="AB292" t="str">
        <f>"9044869646"</f>
        <v>9044869646</v>
      </c>
      <c r="AC292" t="str">
        <f>"3466928835"</f>
        <v>3466928835</v>
      </c>
      <c r="AD292" t="str">
        <f>"9044869646"</f>
        <v>9044869646</v>
      </c>
      <c r="AE292" t="str">
        <f>""</f>
        <v/>
      </c>
    </row>
    <row r="293" spans="1:31" x14ac:dyDescent="0.45">
      <c r="A293" t="str">
        <f>"ФИНИН ВЛАДИМИР НИКОЛАЕВИЧ"</f>
        <v>ФИНИН ВЛАДИМИР НИКОЛАЕВИЧ</v>
      </c>
      <c r="B293" t="str">
        <f>"1990-02-10"</f>
        <v>1990-02-10</v>
      </c>
      <c r="C293" t="str">
        <f>"71 09 762526"</f>
        <v>71 09 762526</v>
      </c>
      <c r="D293" t="str">
        <f>"4279016727517452"</f>
        <v>4279016727517452</v>
      </c>
      <c r="E293" t="str">
        <f t="shared" si="48"/>
        <v>2021-05-31</v>
      </c>
      <c r="F293" t="str">
        <f>"+"</f>
        <v>+</v>
      </c>
      <c r="G293" t="str">
        <f>"+"</f>
        <v>+</v>
      </c>
      <c r="H293" t="str">
        <f>"40817810716992354325"</f>
        <v>40817810716992354325</v>
      </c>
      <c r="I293" t="str">
        <f>"8647"</f>
        <v>8647</v>
      </c>
      <c r="J293" t="str">
        <f>"0174"</f>
        <v>0174</v>
      </c>
      <c r="K293" t="str">
        <f>"16000.00"</f>
        <v>16000.00</v>
      </c>
      <c r="L293" t="str">
        <f>"625000 ОБЛ ТЮМЕНСКАЯ   Г ТЮМЕНЬ   УЛ ТЮМЕНСКАЯ д. 57"</f>
        <v>625000 ОБЛ ТЮМЕНСКАЯ   Г ТЮМЕНЬ   УЛ ТЮМЕНСКАЯ д. 57</v>
      </c>
      <c r="M293" t="str">
        <f t="shared" si="41"/>
        <v>2019-08-24</v>
      </c>
      <c r="N293" t="str">
        <f>"ИП СОКОЛОВ"</f>
        <v>ИП СОКОЛОВ</v>
      </c>
      <c r="O293" t="str">
        <f>"625000"</f>
        <v>625000</v>
      </c>
      <c r="P293" t="str">
        <f t="shared" si="49"/>
        <v>ОБЛ ТЮМЕНСКАЯ</v>
      </c>
      <c r="Q293" t="str">
        <f>"Р-Н ТЮМЕНСКИЙ"</f>
        <v>Р-Н ТЮМЕНСКИЙ</v>
      </c>
      <c r="R293" t="str">
        <f>""</f>
        <v/>
      </c>
      <c r="S293" t="str">
        <f>"Д ДУДАРЕВА"</f>
        <v>Д ДУДАРЕВА</v>
      </c>
      <c r="T293" t="str">
        <f>"УЛ СОЗИДАТЕЛЕЙ"</f>
        <v>УЛ СОЗИДАТЕЛЕЙ</v>
      </c>
      <c r="U293" s="1" t="str">
        <f>"12"</f>
        <v>12</v>
      </c>
      <c r="V293" s="1" t="str">
        <f>""</f>
        <v/>
      </c>
      <c r="W293" s="1" t="str">
        <f>""</f>
        <v/>
      </c>
      <c r="X293" s="1" t="str">
        <f>""</f>
        <v/>
      </c>
      <c r="Y293" s="1" t="str">
        <f>"221"</f>
        <v>221</v>
      </c>
      <c r="Z293" t="str">
        <f>""</f>
        <v/>
      </c>
      <c r="AA293" t="str">
        <f>"9199292253"</f>
        <v>9199292253</v>
      </c>
      <c r="AB293" t="str">
        <f>"9829229214"</f>
        <v>9829229214</v>
      </c>
      <c r="AC293" t="str">
        <f>"9199292253"</f>
        <v>9199292253</v>
      </c>
      <c r="AD293" t="str">
        <f>"9829229214"</f>
        <v>9829229214</v>
      </c>
      <c r="AE293" t="str">
        <f>""</f>
        <v/>
      </c>
    </row>
    <row r="294" spans="1:31" x14ac:dyDescent="0.45">
      <c r="A294" t="str">
        <f>"ПОЛОНИКОВ АЛЕКСАНДР МИХАЙЛОВИЧ"</f>
        <v>ПОЛОНИКОВ АЛЕКСАНДР МИХАЙЛОВИЧ</v>
      </c>
      <c r="B294" t="str">
        <f>"1989-07-10"</f>
        <v>1989-07-10</v>
      </c>
      <c r="C294" t="str">
        <f>"71 09 736563"</f>
        <v>71 09 736563</v>
      </c>
      <c r="D294" t="str">
        <f>"4279016745095960"</f>
        <v>4279016745095960</v>
      </c>
      <c r="E294" t="str">
        <f t="shared" si="48"/>
        <v>2021-05-31</v>
      </c>
      <c r="F294" t="str">
        <f>"+"</f>
        <v>+</v>
      </c>
      <c r="G294" t="str">
        <f>"+"</f>
        <v>+</v>
      </c>
      <c r="H294" t="str">
        <f>"40817810916992013482"</f>
        <v>40817810916992013482</v>
      </c>
      <c r="I294" t="str">
        <f>"8647"</f>
        <v>8647</v>
      </c>
      <c r="J294" t="str">
        <f>"0102"</f>
        <v>0102</v>
      </c>
      <c r="K294" t="str">
        <f>"100000.00"</f>
        <v>100000.00</v>
      </c>
      <c r="L294" t="str">
        <f>"625000 ОБЛ ТЮМЕНСКАЯ   Г ТЮМЕНЬ   УЛ 9 ЯНВАРЯ д. 162 кв. 1"</f>
        <v>625000 ОБЛ ТЮМЕНСКАЯ   Г ТЮМЕНЬ   УЛ 9 ЯНВАРЯ д. 162 кв. 1</v>
      </c>
      <c r="M294" t="str">
        <f t="shared" si="41"/>
        <v>2019-08-24</v>
      </c>
      <c r="N294" t="str">
        <f>"ЧАСТНАЯ ПРАКТИКА"</f>
        <v>ЧАСТНАЯ ПРАКТИКА</v>
      </c>
      <c r="O294" t="str">
        <f>"625000"</f>
        <v>625000</v>
      </c>
      <c r="P294" t="str">
        <f t="shared" si="49"/>
        <v>ОБЛ ТЮМЕНСКАЯ</v>
      </c>
      <c r="Q294" t="str">
        <f>""</f>
        <v/>
      </c>
      <c r="R294" t="str">
        <f>"Г ЗАВОДОУКОВСК"</f>
        <v>Г ЗАВОДОУКОВСК</v>
      </c>
      <c r="S294" t="str">
        <f>""</f>
        <v/>
      </c>
      <c r="T294" t="str">
        <f>"УЛ СОВХОЗНАЯ"</f>
        <v>УЛ СОВХОЗНАЯ</v>
      </c>
      <c r="U294" s="1" t="str">
        <f>"145А"</f>
        <v>145А</v>
      </c>
      <c r="V294" s="1" t="str">
        <f>""</f>
        <v/>
      </c>
      <c r="W294" s="1" t="str">
        <f>""</f>
        <v/>
      </c>
      <c r="X294" s="1" t="str">
        <f>""</f>
        <v/>
      </c>
      <c r="Y294" s="1" t="str">
        <f>"2"</f>
        <v>2</v>
      </c>
      <c r="Z294" t="str">
        <f>""</f>
        <v/>
      </c>
      <c r="AA294" t="str">
        <f>"9199460966"</f>
        <v>9199460966</v>
      </c>
      <c r="AB294" t="str">
        <f>"9199460966"</f>
        <v>9199460966</v>
      </c>
      <c r="AC294" t="str">
        <f>"9048778299"</f>
        <v>9048778299</v>
      </c>
      <c r="AD294" t="str">
        <f>"9199460966"</f>
        <v>9199460966</v>
      </c>
      <c r="AE294" t="str">
        <f>""</f>
        <v/>
      </c>
    </row>
    <row r="295" spans="1:31" x14ac:dyDescent="0.45">
      <c r="A295" t="str">
        <f>"ЗАГРЕБЕЛЬНЫЙ РУСЛАН ИВАНОВИЧ"</f>
        <v>ЗАГРЕБЕЛЬНЫЙ РУСЛАН ИВАНОВИЧ</v>
      </c>
      <c r="B295" t="str">
        <f>"1972-09-16"</f>
        <v>1972-09-16</v>
      </c>
      <c r="C295" t="str">
        <f>"53 17 721032"</f>
        <v>53 17 721032</v>
      </c>
      <c r="D295" t="str">
        <f>"4279016721143701"</f>
        <v>4279016721143701</v>
      </c>
      <c r="E295" t="str">
        <f t="shared" si="48"/>
        <v>2021-05-31</v>
      </c>
      <c r="F295" t="str">
        <f>"+"</f>
        <v>+</v>
      </c>
      <c r="G295" t="str">
        <f>"W"</f>
        <v>W</v>
      </c>
      <c r="H295" t="str">
        <f>"40817810416992013571"</f>
        <v>40817810416992013571</v>
      </c>
      <c r="I295" t="str">
        <f>"8369"</f>
        <v>8369</v>
      </c>
      <c r="J295" t="str">
        <f>"0005"</f>
        <v>0005</v>
      </c>
      <c r="K295" t="str">
        <f>"225000.00"</f>
        <v>225000.00</v>
      </c>
      <c r="L295" t="str">
        <f>"450000 РЕСП БАШКОРТОСТАН   Г УФА   УЛ РЕВОЛЮЦИОННАЯ д. 9"</f>
        <v>450000 РЕСП БАШКОРТОСТАН   Г УФА   УЛ РЕВОЛЮЦИОННАЯ д. 9</v>
      </c>
      <c r="M295" t="str">
        <f t="shared" si="41"/>
        <v>2019-08-24</v>
      </c>
      <c r="N295" t="str">
        <f>"ТРЕСТ ОРДЕНА ЛЕНИНА НЕФТЕПРОВОД МОНТАЖ"</f>
        <v>ТРЕСТ ОРДЕНА ЛЕНИНА НЕФТЕПРОВОД МОНТАЖ</v>
      </c>
      <c r="O295" t="str">
        <f>"460000"</f>
        <v>460000</v>
      </c>
      <c r="P295" t="str">
        <f>"ОБЛ ОРЕНБУРГСКАЯ"</f>
        <v>ОБЛ ОРЕНБУРГСКАЯ</v>
      </c>
      <c r="Q295" t="str">
        <f>"Р-Н ОКТЯБРЬСКИЙ"</f>
        <v>Р-Н ОКТЯБРЬСКИЙ</v>
      </c>
      <c r="R295" t="str">
        <f>""</f>
        <v/>
      </c>
      <c r="S295" t="str">
        <f>"С НОВОНИКИТИНО"</f>
        <v>С НОВОНИКИТИНО</v>
      </c>
      <c r="T295" t="str">
        <f>"УЛ НАБЕРЕЖНАЯ"</f>
        <v>УЛ НАБЕРЕЖНАЯ</v>
      </c>
      <c r="U295" s="1" t="str">
        <f>"40"</f>
        <v>40</v>
      </c>
      <c r="V295" s="1" t="str">
        <f>""</f>
        <v/>
      </c>
      <c r="W295" s="1" t="str">
        <f>""</f>
        <v/>
      </c>
      <c r="X295" s="1" t="str">
        <f>""</f>
        <v/>
      </c>
      <c r="Y295" s="1" t="str">
        <f>""</f>
        <v/>
      </c>
      <c r="Z295" t="str">
        <f>""</f>
        <v/>
      </c>
      <c r="AA295" t="str">
        <f>"9198492786"</f>
        <v>9198492786</v>
      </c>
      <c r="AB295" t="str">
        <f>"9198492783"</f>
        <v>9198492783</v>
      </c>
      <c r="AC295" t="str">
        <f>"9198492786"</f>
        <v>9198492786</v>
      </c>
      <c r="AD295" t="str">
        <f>"9198492783"</f>
        <v>9198492783</v>
      </c>
      <c r="AE295" t="str">
        <f>""</f>
        <v/>
      </c>
    </row>
    <row r="296" spans="1:31" x14ac:dyDescent="0.45">
      <c r="A296" t="str">
        <f>"КУЗЫБАЕВА АЙГУЛЬ САИТГАЛИЕВНА"</f>
        <v>КУЗЫБАЕВА АЙГУЛЬ САИТГАЛИЕВНА</v>
      </c>
      <c r="B296" t="str">
        <f>"1977-05-14"</f>
        <v>1977-05-14</v>
      </c>
      <c r="C296" t="str">
        <f>"80 03 227417"</f>
        <v>80 03 227417</v>
      </c>
      <c r="D296" t="str">
        <f>"4279016731703098"</f>
        <v>4279016731703098</v>
      </c>
      <c r="E296" t="str">
        <f t="shared" si="48"/>
        <v>2021-05-31</v>
      </c>
      <c r="F296" t="str">
        <f>"+"</f>
        <v>+</v>
      </c>
      <c r="G296" t="str">
        <f>"+"</f>
        <v>+</v>
      </c>
      <c r="H296" t="str">
        <f>"40817810916992013657"</f>
        <v>40817810916992013657</v>
      </c>
      <c r="I296" t="str">
        <f>"5940"</f>
        <v>5940</v>
      </c>
      <c r="J296" t="str">
        <f>"0127"</f>
        <v>0127</v>
      </c>
      <c r="K296" t="str">
        <f>"225000.00"</f>
        <v>225000.00</v>
      </c>
      <c r="L296" t="str">
        <f>"628600 ОБЛ ТЮМЕНСКАЯ АО ХМАО Г НИЖНЕВАРТОВСК   УЛ ЛЕНИНА д. 10П"</f>
        <v>628600 ОБЛ ТЮМЕНСКАЯ АО ХМАО Г НИЖНЕВАРТОВСК   УЛ ЛЕНИНА д. 10П</v>
      </c>
      <c r="M296" t="str">
        <f t="shared" si="41"/>
        <v>2019-08-24</v>
      </c>
      <c r="N296" t="str">
        <f>"ТРЕСТ 3"</f>
        <v>ТРЕСТ 3</v>
      </c>
      <c r="O296" t="str">
        <f>"450000"</f>
        <v>450000</v>
      </c>
      <c r="P296" t="str">
        <f>"РЕСП БАШКОРТОСТАН"</f>
        <v>РЕСП БАШКОРТОСТАН</v>
      </c>
      <c r="Q296" t="str">
        <f>"Р-Н БАЙМАКСКИЙ"</f>
        <v>Р-Н БАЙМАКСКИЙ</v>
      </c>
      <c r="R296" t="str">
        <f>"С/А МУХАСОВСКАЯ"</f>
        <v>С/А МУХАСОВСКАЯ</v>
      </c>
      <c r="S296" t="str">
        <f>"Д АБЗАКОВО"</f>
        <v>Д АБЗАКОВО</v>
      </c>
      <c r="T296" t="str">
        <f>"УЛ ТАТРАТАШ"</f>
        <v>УЛ ТАТРАТАШ</v>
      </c>
      <c r="U296" s="1" t="str">
        <f>"9"</f>
        <v>9</v>
      </c>
      <c r="V296" s="1" t="str">
        <f>""</f>
        <v/>
      </c>
      <c r="W296" s="1" t="str">
        <f>""</f>
        <v/>
      </c>
      <c r="X296" s="1" t="str">
        <f>""</f>
        <v/>
      </c>
      <c r="Y296" s="1" t="str">
        <f>""</f>
        <v/>
      </c>
      <c r="Z296" t="str">
        <f>""</f>
        <v/>
      </c>
      <c r="AA296" t="str">
        <f>"9129390857"</f>
        <v>9129390857</v>
      </c>
      <c r="AB296" t="str">
        <f>"9634916567"</f>
        <v>9634916567</v>
      </c>
      <c r="AC296" t="str">
        <f>"9129390857"</f>
        <v>9129390857</v>
      </c>
      <c r="AD296" t="str">
        <f>"9634916567"</f>
        <v>9634916567</v>
      </c>
      <c r="AE296" t="str">
        <f>""</f>
        <v/>
      </c>
    </row>
    <row r="297" spans="1:31" x14ac:dyDescent="0.45">
      <c r="A297" t="str">
        <f>"СТОРЧАК ЮРИЙ ПЕТРОВИЧ"</f>
        <v>СТОРЧАК ЮРИЙ ПЕТРОВИЧ</v>
      </c>
      <c r="B297" t="str">
        <f>"1954-06-25"</f>
        <v>1954-06-25</v>
      </c>
      <c r="C297" t="str">
        <f>"65 00 578361"</f>
        <v>65 00 578361</v>
      </c>
      <c r="D297" t="str">
        <f>"4276011681342750"</f>
        <v>4276011681342750</v>
      </c>
      <c r="E297" t="str">
        <f>"2021-06-30"</f>
        <v>2021-06-30</v>
      </c>
      <c r="F297" t="str">
        <f>"Q"</f>
        <v>Q</v>
      </c>
      <c r="G297" t="str">
        <f>"Q"</f>
        <v>Q</v>
      </c>
      <c r="H297" t="str">
        <f>"40817810616991465072"</f>
        <v>40817810616991465072</v>
      </c>
      <c r="I297" t="str">
        <f>"7003"</f>
        <v>7003</v>
      </c>
      <c r="J297" t="str">
        <f>"7779"</f>
        <v>7779</v>
      </c>
      <c r="K297" t="str">
        <f>"0.00"</f>
        <v>0.00</v>
      </c>
      <c r="L297" t="str">
        <f>"624992 ОБЛ СВЕРДЛОВСКАЯ   Г СЕРОВ   УЛ ПОБЕДЫ д. 13"</f>
        <v>624992 ОБЛ СВЕРДЛОВСКАЯ   Г СЕРОВ   УЛ ПОБЕДЫ д. 13</v>
      </c>
      <c r="M297" t="str">
        <f t="shared" si="41"/>
        <v>2019-08-24</v>
      </c>
      <c r="N297" t="str">
        <f>"АО ГАЗЭКС"</f>
        <v>АО ГАЗЭКС</v>
      </c>
      <c r="O297" t="str">
        <f>"624992"</f>
        <v>624992</v>
      </c>
      <c r="P297" t="str">
        <f>"ОБЛ СВЕРДЛОВСКАЯ"</f>
        <v>ОБЛ СВЕРДЛОВСКАЯ</v>
      </c>
      <c r="Q297" t="str">
        <f>""</f>
        <v/>
      </c>
      <c r="R297" t="str">
        <f>"Г СЕРОВ"</f>
        <v>Г СЕРОВ</v>
      </c>
      <c r="S297" t="str">
        <f>""</f>
        <v/>
      </c>
      <c r="T297" t="str">
        <f>"УЛ КОРОЛЕНКО"</f>
        <v>УЛ КОРОЛЕНКО</v>
      </c>
      <c r="U297" s="1" t="str">
        <f>"8"</f>
        <v>8</v>
      </c>
      <c r="V297" s="1" t="str">
        <f>""</f>
        <v/>
      </c>
      <c r="W297" s="1" t="str">
        <f>""</f>
        <v/>
      </c>
      <c r="X297" s="1" t="str">
        <f>""</f>
        <v/>
      </c>
      <c r="Y297" s="1" t="str">
        <f>"59"</f>
        <v>59</v>
      </c>
      <c r="Z297" t="str">
        <f>"3438542304"</f>
        <v>3438542304</v>
      </c>
      <c r="AA297" t="str">
        <f>"9193802232"</f>
        <v>9193802232</v>
      </c>
      <c r="AB297" t="str">
        <f>"9193802232"</f>
        <v>9193802232</v>
      </c>
      <c r="AC297" t="str">
        <f>"9193802232"</f>
        <v>9193802232</v>
      </c>
      <c r="AD297" t="str">
        <f>"9193802232"</f>
        <v>9193802232</v>
      </c>
      <c r="AE297" t="str">
        <f>"3438542304"</f>
        <v>3438542304</v>
      </c>
    </row>
    <row r="298" spans="1:31" x14ac:dyDescent="0.45">
      <c r="A298" t="str">
        <f>"КИРЮНОВА МАРИНА ВЛАДИМИРОВНА"</f>
        <v>КИРЮНОВА МАРИНА ВЛАДИМИРОВНА</v>
      </c>
      <c r="B298" t="str">
        <f>"1968-10-04"</f>
        <v>1968-10-04</v>
      </c>
      <c r="C298" t="str">
        <f>"65 13 640806"</f>
        <v>65 13 640806</v>
      </c>
      <c r="D298" t="str">
        <f>"4276011656205925"</f>
        <v>4276011656205925</v>
      </c>
      <c r="E298" t="str">
        <f>"2021-06-30"</f>
        <v>2021-06-30</v>
      </c>
      <c r="F298" t="str">
        <f t="shared" ref="F298:G301" si="50">"+"</f>
        <v>+</v>
      </c>
      <c r="G298" t="str">
        <f t="shared" si="50"/>
        <v>+</v>
      </c>
      <c r="H298" t="str">
        <f>"40817810916991465073"</f>
        <v>40817810916991465073</v>
      </c>
      <c r="I298" t="str">
        <f>"7003"</f>
        <v>7003</v>
      </c>
      <c r="J298" t="str">
        <f>"7779"</f>
        <v>7779</v>
      </c>
      <c r="K298" t="str">
        <f>"33000.00"</f>
        <v>33000.00</v>
      </c>
      <c r="L298" t="str">
        <f>"620000 ОБЛ СВЕРДЛОВСКАЯ   Г КАРПИНСК   УЛ 8 МАРТА д. 16"</f>
        <v>620000 ОБЛ СВЕРДЛОВСКАЯ   Г КАРПИНСК   УЛ 8 МАРТА д. 16</v>
      </c>
      <c r="M298" t="str">
        <f t="shared" si="41"/>
        <v>2019-08-24</v>
      </c>
      <c r="N298" t="str">
        <f>"УПРАВЛЕНИЕ СОЦ ПОЛИТИКИ КАРПИНСК"</f>
        <v>УПРАВЛЕНИЕ СОЦ ПОЛИТИКИ КАРПИНСК</v>
      </c>
      <c r="O298" t="str">
        <f>"620000"</f>
        <v>620000</v>
      </c>
      <c r="P298" t="str">
        <f>"ОБЛ СВЕРДЛОВСКАЯ"</f>
        <v>ОБЛ СВЕРДЛОВСКАЯ</v>
      </c>
      <c r="Q298" t="str">
        <f>""</f>
        <v/>
      </c>
      <c r="R298" t="str">
        <f>"Г КАРПИНСК"</f>
        <v>Г КАРПИНСК</v>
      </c>
      <c r="S298" t="str">
        <f>""</f>
        <v/>
      </c>
      <c r="T298" t="str">
        <f>"УЛ МИРА"</f>
        <v>УЛ МИРА</v>
      </c>
      <c r="U298" s="1" t="str">
        <f>"4"</f>
        <v>4</v>
      </c>
      <c r="V298" s="1" t="str">
        <f>""</f>
        <v/>
      </c>
      <c r="W298" s="1" t="str">
        <f>""</f>
        <v/>
      </c>
      <c r="X298" s="1" t="str">
        <f>""</f>
        <v/>
      </c>
      <c r="Y298" s="1" t="str">
        <f>"7"</f>
        <v>7</v>
      </c>
      <c r="Z298" t="str">
        <f>"+7 (34383) 34323"</f>
        <v>+7 (34383) 34323</v>
      </c>
      <c r="AA298" t="str">
        <f>"+7 (953) 0403303"</f>
        <v>+7 (953) 0403303</v>
      </c>
      <c r="AB298" t="str">
        <f>"+7 (953) 0403303"</f>
        <v>+7 (953) 0403303</v>
      </c>
      <c r="AC298" t="str">
        <f>"9530403303"</f>
        <v>9530403303</v>
      </c>
      <c r="AD298" t="str">
        <f>"9530403303"</f>
        <v>9530403303</v>
      </c>
      <c r="AE298" t="str">
        <f>"3438334323"</f>
        <v>3438334323</v>
      </c>
    </row>
    <row r="299" spans="1:31" x14ac:dyDescent="0.45">
      <c r="A299" t="str">
        <f>"КРЮЧКОВА ГАЛИНА АЛЕКСЕЕВНА"</f>
        <v>КРЮЧКОВА ГАЛИНА АЛЕКСЕЕВНА</v>
      </c>
      <c r="B299" t="str">
        <f>"1955-05-09"</f>
        <v>1955-05-09</v>
      </c>
      <c r="C299" t="str">
        <f>"67 04 494122"</f>
        <v>67 04 494122</v>
      </c>
      <c r="D299" t="str">
        <f>"4279016724788676"</f>
        <v>4279016724788676</v>
      </c>
      <c r="E299" t="str">
        <f>"2021-05-31"</f>
        <v>2021-05-31</v>
      </c>
      <c r="F299" t="str">
        <f t="shared" si="50"/>
        <v>+</v>
      </c>
      <c r="G299" t="str">
        <f t="shared" si="50"/>
        <v>+</v>
      </c>
      <c r="H299" t="str">
        <f>"40817810716992354370"</f>
        <v>40817810716992354370</v>
      </c>
      <c r="I299" t="str">
        <f>"5940"</f>
        <v>5940</v>
      </c>
      <c r="J299" t="str">
        <f>"0078"</f>
        <v>0078</v>
      </c>
      <c r="K299" t="str">
        <f>"100000.00"</f>
        <v>100000.00</v>
      </c>
      <c r="L299" t="str">
        <f>"628400 ОБЛ ТЮМЕНСКАЯ Р-Н СУРГУТСКИЙ Г СУРГУТ Г СУРГУТ УЛ МАЙСКАЯ д. 81/"</f>
        <v>628400 ОБЛ ТЮМЕНСКАЯ Р-Н СУРГУТСКИЙ Г СУРГУТ Г СУРГУТ УЛ МАЙСКАЯ д. 81/</v>
      </c>
      <c r="M299" t="str">
        <f t="shared" si="41"/>
        <v>2019-08-24</v>
      </c>
      <c r="N299" t="str">
        <f>"ПЕНСИОННЫЙ ФОНД"</f>
        <v>ПЕНСИОННЫЙ ФОНД</v>
      </c>
      <c r="O299" t="str">
        <f>"628400"</f>
        <v>628400</v>
      </c>
      <c r="P299" t="str">
        <f>"ОБЛ ТЮМЕНСКАЯ"</f>
        <v>ОБЛ ТЮМЕНСКАЯ</v>
      </c>
      <c r="Q299" t="str">
        <f>"Р-Н СУРГУСТСКИЙ"</f>
        <v>Р-Н СУРГУСТСКИЙ</v>
      </c>
      <c r="R299" t="str">
        <f>"Г СУРГУТ"</f>
        <v>Г СУРГУТ</v>
      </c>
      <c r="S299" t="str">
        <f>"Г СУРГУТ"</f>
        <v>Г СУРГУТ</v>
      </c>
      <c r="T299" t="str">
        <f>"УЛ ПР.ЛЕНИНА"</f>
        <v>УЛ ПР.ЛЕНИНА</v>
      </c>
      <c r="U299" s="1" t="str">
        <f>"20"</f>
        <v>20</v>
      </c>
      <c r="V299" s="1" t="str">
        <f>""</f>
        <v/>
      </c>
      <c r="W299" s="1" t="str">
        <f>""</f>
        <v/>
      </c>
      <c r="X299" s="1" t="str">
        <f>""</f>
        <v/>
      </c>
      <c r="Y299" s="1" t="str">
        <f>"6"</f>
        <v>6</v>
      </c>
      <c r="Z299" t="str">
        <f>"3462501767"</f>
        <v>3462501767</v>
      </c>
      <c r="AA299" t="str">
        <f>"3462501767"</f>
        <v>3462501767</v>
      </c>
      <c r="AB299" t="str">
        <f>"9224053095"</f>
        <v>9224053095</v>
      </c>
      <c r="AC299" t="str">
        <f>"3462501767"</f>
        <v>3462501767</v>
      </c>
      <c r="AD299" t="str">
        <f>"9224053095"</f>
        <v>9224053095</v>
      </c>
      <c r="AE299" t="str">
        <f>"3462501767"</f>
        <v>3462501767</v>
      </c>
    </row>
    <row r="300" spans="1:31" x14ac:dyDescent="0.45">
      <c r="A300" t="str">
        <f>"КУРЕННЫЙ ОЛЕГ НИКОЛАЕВИЧ"</f>
        <v>КУРЕННЫЙ ОЛЕГ НИКОЛАЕВИЧ</v>
      </c>
      <c r="B300" t="str">
        <f>"1985-03-22"</f>
        <v>1985-03-22</v>
      </c>
      <c r="C300" t="str">
        <f>"67 04 507320"</f>
        <v>67 04 507320</v>
      </c>
      <c r="D300" t="str">
        <f>"4279016730858372"</f>
        <v>4279016730858372</v>
      </c>
      <c r="E300" t="str">
        <f>"2021-05-31"</f>
        <v>2021-05-31</v>
      </c>
      <c r="F300" t="str">
        <f t="shared" si="50"/>
        <v>+</v>
      </c>
      <c r="G300" t="str">
        <f t="shared" si="50"/>
        <v>+</v>
      </c>
      <c r="H300" t="str">
        <f>"40817810316992354440"</f>
        <v>40817810316992354440</v>
      </c>
      <c r="I300" t="str">
        <f>"5940"</f>
        <v>5940</v>
      </c>
      <c r="J300" t="str">
        <f>"0133"</f>
        <v>0133</v>
      </c>
      <c r="K300" t="str">
        <f>"300000.00"</f>
        <v>300000.00</v>
      </c>
      <c r="L300" t="str">
        <f>"628672 ОБЛ ТЮМЕНСКАЯ   Г ЛАНГЕПАС   УЛ МИР д. 8 офис 39"</f>
        <v>628672 ОБЛ ТЮМЕНСКАЯ   Г ЛАНГЕПАС   УЛ МИР д. 8 офис 39</v>
      </c>
      <c r="M300" t="str">
        <f t="shared" si="41"/>
        <v>2019-08-24</v>
      </c>
      <c r="N300" t="s">
        <v>43</v>
      </c>
      <c r="O300" t="str">
        <f>"628672"</f>
        <v>628672</v>
      </c>
      <c r="P300" t="str">
        <f>"ОБЛ ТЮМЕНСКАЯ"</f>
        <v>ОБЛ ТЮМЕНСКАЯ</v>
      </c>
      <c r="Q300" t="str">
        <f>""</f>
        <v/>
      </c>
      <c r="R300" t="str">
        <f>"Г ЛАНГЕПАС"</f>
        <v>Г ЛАНГЕПАС</v>
      </c>
      <c r="S300" t="str">
        <f>""</f>
        <v/>
      </c>
      <c r="T300" t="str">
        <f>"УЛ МИРА"</f>
        <v>УЛ МИРА</v>
      </c>
      <c r="U300" s="1" t="str">
        <f>"8А"</f>
        <v>8А</v>
      </c>
      <c r="V300" s="1" t="str">
        <f>""</f>
        <v/>
      </c>
      <c r="W300" s="1" t="str">
        <f>""</f>
        <v/>
      </c>
      <c r="X300" s="1" t="str">
        <f>""</f>
        <v/>
      </c>
      <c r="Y300" s="1" t="str">
        <f>"30"</f>
        <v>30</v>
      </c>
      <c r="Z300" t="str">
        <f>""</f>
        <v/>
      </c>
      <c r="AA300" t="str">
        <f>"9641790882"</f>
        <v>9641790882</v>
      </c>
      <c r="AB300" t="str">
        <f>"9634946828"</f>
        <v>9634946828</v>
      </c>
      <c r="AC300" t="str">
        <f>"9641790882"</f>
        <v>9641790882</v>
      </c>
      <c r="AD300" t="str">
        <f>"9634946828"</f>
        <v>9634946828</v>
      </c>
      <c r="AE300" t="str">
        <f>""</f>
        <v/>
      </c>
    </row>
    <row r="301" spans="1:31" x14ac:dyDescent="0.45">
      <c r="A301" t="str">
        <f>"ШЕВЕЛЕВ ВИТАЛИЙ ВИКТОРОВИЧ"</f>
        <v>ШЕВЕЛЕВ ВИТАЛИЙ ВИКТОРОВИЧ</v>
      </c>
      <c r="B301" t="str">
        <f>"1982-07-02"</f>
        <v>1982-07-02</v>
      </c>
      <c r="C301" t="str">
        <f>"71 04 252795"</f>
        <v>71 04 252795</v>
      </c>
      <c r="D301" t="str">
        <f>"4279016717253712"</f>
        <v>4279016717253712</v>
      </c>
      <c r="E301" t="str">
        <f>"2021-05-31"</f>
        <v>2021-05-31</v>
      </c>
      <c r="F301" t="str">
        <f t="shared" si="50"/>
        <v>+</v>
      </c>
      <c r="G301" t="str">
        <f t="shared" si="50"/>
        <v>+</v>
      </c>
      <c r="H301" t="str">
        <f>"40817810716992354707"</f>
        <v>40817810716992354707</v>
      </c>
      <c r="I301" t="str">
        <f>"8647"</f>
        <v>8647</v>
      </c>
      <c r="J301" t="str">
        <f>"0079"</f>
        <v>0079</v>
      </c>
      <c r="K301" t="str">
        <f>"15000.00"</f>
        <v>15000.00</v>
      </c>
      <c r="L301" t="str">
        <f>"625000 ОБЛ ТЮМЕНСКАЯ   Г ТЮМЕНЬ   УЛ ЧЕКИСТОВ д. 30"</f>
        <v>625000 ОБЛ ТЮМЕНСКАЯ   Г ТЮМЕНЬ   УЛ ЧЕКИСТОВ д. 30</v>
      </c>
      <c r="M301" t="str">
        <f t="shared" si="41"/>
        <v>2019-08-24</v>
      </c>
      <c r="N301" t="str">
        <f>"МАСТЕР НА ЧАС"</f>
        <v>МАСТЕР НА ЧАС</v>
      </c>
      <c r="O301" t="str">
        <f>"625000"</f>
        <v>625000</v>
      </c>
      <c r="P301" t="str">
        <f>"ОБЛ ТЮМЕНСКАЯ"</f>
        <v>ОБЛ ТЮМЕНСКАЯ</v>
      </c>
      <c r="Q301" t="str">
        <f>""</f>
        <v/>
      </c>
      <c r="R301" t="str">
        <f>"Г ТЮМЕНЬ"</f>
        <v>Г ТЮМЕНЬ</v>
      </c>
      <c r="S301" t="str">
        <f>""</f>
        <v/>
      </c>
      <c r="T301" t="str">
        <f>"УЛ ПРОЕЗД ТКАЦКИЙ"</f>
        <v>УЛ ПРОЕЗД ТКАЦКИЙ</v>
      </c>
      <c r="U301" s="1" t="str">
        <f>"24"</f>
        <v>24</v>
      </c>
      <c r="V301" s="1" t="str">
        <f>""</f>
        <v/>
      </c>
      <c r="W301" s="1" t="str">
        <f>""</f>
        <v/>
      </c>
      <c r="X301" s="1" t="str">
        <f>""</f>
        <v/>
      </c>
      <c r="Y301" s="1" t="str">
        <f>"14"</f>
        <v>14</v>
      </c>
      <c r="Z301" t="str">
        <f>"9995488033"</f>
        <v>9995488033</v>
      </c>
      <c r="AA301" t="str">
        <f>"9120774418"</f>
        <v>9120774418</v>
      </c>
      <c r="AB301" t="str">
        <f>"9120774418"</f>
        <v>9120774418</v>
      </c>
      <c r="AC301" t="str">
        <f>"9120774418"</f>
        <v>9120774418</v>
      </c>
      <c r="AD301" t="str">
        <f>"9120774418"</f>
        <v>9120774418</v>
      </c>
      <c r="AE301" t="str">
        <f>"9995488033"</f>
        <v>9995488033</v>
      </c>
    </row>
    <row r="302" spans="1:31" x14ac:dyDescent="0.45">
      <c r="A302" t="str">
        <f>"КАЛИНИНА ОКСАНА СЕРГЕЕВНА"</f>
        <v>КАЛИНИНА ОКСАНА СЕРГЕЕВНА</v>
      </c>
      <c r="B302" t="str">
        <f>"1979-11-18"</f>
        <v>1979-11-18</v>
      </c>
      <c r="C302" t="str">
        <f>"71 01 329709"</f>
        <v>71 01 329709</v>
      </c>
      <c r="D302" t="str">
        <f>"5313100481061496"</f>
        <v>5313100481061496</v>
      </c>
      <c r="E302" t="str">
        <f>"2021-12-31"</f>
        <v>2021-12-31</v>
      </c>
      <c r="F302" t="str">
        <f>"Y"</f>
        <v>Y</v>
      </c>
      <c r="G302" t="str">
        <f>"+"</f>
        <v>+</v>
      </c>
      <c r="H302" t="str">
        <f>"40817810116992652067"</f>
        <v>40817810116992652067</v>
      </c>
      <c r="I302" t="str">
        <f>"8647"</f>
        <v>8647</v>
      </c>
      <c r="J302" t="str">
        <f>"0237"</f>
        <v>0237</v>
      </c>
      <c r="K302" t="str">
        <f>"15000.00"</f>
        <v>15000.00</v>
      </c>
      <c r="L302" t="str">
        <f>"627010 ОБЛ ТЮМЕНСКАЯ   Г ЯЛУТОРОВСК   УЧ-К ЧКАЛОВА д. 25"</f>
        <v>627010 ОБЛ ТЮМЕНСКАЯ   Г ЯЛУТОРОВСК   УЧ-К ЧКАЛОВА д. 25</v>
      </c>
      <c r="M302" t="str">
        <f t="shared" si="41"/>
        <v>2019-08-24</v>
      </c>
      <c r="N302" t="str">
        <f>"ГБУЗ ТО ОБЛАСТНАЯ БОЛЬНИЦА № 23 Г. ЯЛУТОРОВСК"</f>
        <v>ГБУЗ ТО ОБЛАСТНАЯ БОЛЬНИЦА № 23 Г. ЯЛУТОРОВСК</v>
      </c>
      <c r="O302" t="str">
        <f>"627010"</f>
        <v>627010</v>
      </c>
      <c r="P302" t="str">
        <f>"ОБЛ ТЮМЕНСКАЯ"</f>
        <v>ОБЛ ТЮМЕНСКАЯ</v>
      </c>
      <c r="Q302" t="str">
        <f>""</f>
        <v/>
      </c>
      <c r="R302" t="str">
        <f>"Г ЯЛУТОРОВСК"</f>
        <v>Г ЯЛУТОРОВСК</v>
      </c>
      <c r="S302" t="str">
        <f>""</f>
        <v/>
      </c>
      <c r="T302" t="str">
        <f>"УЛ КОМСОМОЛЬСКАЯ"</f>
        <v>УЛ КОМСОМОЛЬСКАЯ</v>
      </c>
      <c r="U302" s="1" t="str">
        <f>"63"</f>
        <v>63</v>
      </c>
      <c r="V302" s="1" t="str">
        <f>""</f>
        <v/>
      </c>
      <c r="W302" s="1" t="str">
        <f>"3"</f>
        <v>3</v>
      </c>
      <c r="X302" s="1" t="str">
        <f>""</f>
        <v/>
      </c>
      <c r="Y302" s="1" t="str">
        <f>"19,20"</f>
        <v>19,20</v>
      </c>
      <c r="Z302" t="str">
        <f>""</f>
        <v/>
      </c>
      <c r="AA302" t="str">
        <f>"9504947572"</f>
        <v>9504947572</v>
      </c>
      <c r="AB302" t="str">
        <f>"9504947572"</f>
        <v>9504947572</v>
      </c>
      <c r="AC302" t="str">
        <f>"9504976031"</f>
        <v>9504976031</v>
      </c>
      <c r="AD302" t="str">
        <f>"9504947572"</f>
        <v>9504947572</v>
      </c>
      <c r="AE302" t="str">
        <f>""</f>
        <v/>
      </c>
    </row>
    <row r="303" spans="1:31" x14ac:dyDescent="0.45">
      <c r="A303" t="str">
        <f>"ГРИЦЕНКО ВЛАДИМИР ВАСИЛЬЕВИЧ"</f>
        <v>ГРИЦЕНКО ВЛАДИМИР ВАСИЛЬЕВИЧ</v>
      </c>
      <c r="B303" t="str">
        <f>"1955-08-12"</f>
        <v>1955-08-12</v>
      </c>
      <c r="C303" t="str">
        <f>"65 00 639073"</f>
        <v>65 00 639073</v>
      </c>
      <c r="D303" t="str">
        <f>"5313100219576724"</f>
        <v>5313100219576724</v>
      </c>
      <c r="E303" t="str">
        <f>"2021-03-31"</f>
        <v>2021-03-31</v>
      </c>
      <c r="F303" t="str">
        <f>"+"</f>
        <v>+</v>
      </c>
      <c r="G303" t="str">
        <f>"+"</f>
        <v>+</v>
      </c>
      <c r="H303" t="str">
        <f>"40817810116991427358"</f>
        <v>40817810116991427358</v>
      </c>
      <c r="I303" t="str">
        <f>"7003"</f>
        <v>7003</v>
      </c>
      <c r="J303" t="str">
        <f>"0626"</f>
        <v>0626</v>
      </c>
      <c r="K303" t="str">
        <f>"16000.00"</f>
        <v>16000.00</v>
      </c>
      <c r="L303" t="str">
        <f>"693000 ОБЛ САХАЛИНСКАЯ   Г АСБЕСТ   УЛ 8 МАРТА д. 19 кв. 3"</f>
        <v>693000 ОБЛ САХАЛИНСКАЯ   Г АСБЕСТ   УЛ 8 МАРТА д. 19 кв. 3</v>
      </c>
      <c r="M303" t="str">
        <f t="shared" si="41"/>
        <v>2019-08-24</v>
      </c>
      <c r="N303" t="str">
        <f>"ПЕНСИОНЕР"</f>
        <v>ПЕНСИОНЕР</v>
      </c>
      <c r="O303" t="str">
        <f>"620000"</f>
        <v>620000</v>
      </c>
      <c r="P303" t="str">
        <f>"ОБЛ СВЕРДЛОВСКАЯ"</f>
        <v>ОБЛ СВЕРДЛОВСКАЯ</v>
      </c>
      <c r="Q303" t="str">
        <f>""</f>
        <v/>
      </c>
      <c r="R303" t="str">
        <f>"Г АСБЕСТ"</f>
        <v>Г АСБЕСТ</v>
      </c>
      <c r="S303" t="str">
        <f>""</f>
        <v/>
      </c>
      <c r="T303" t="str">
        <f>"УЛ 8 МАРТА"</f>
        <v>УЛ 8 МАРТА</v>
      </c>
      <c r="U303" s="1" t="str">
        <f>"19"</f>
        <v>19</v>
      </c>
      <c r="V303" s="1" t="str">
        <f>""</f>
        <v/>
      </c>
      <c r="W303" s="1" t="str">
        <f>""</f>
        <v/>
      </c>
      <c r="X303" s="1" t="str">
        <f>""</f>
        <v/>
      </c>
      <c r="Y303" s="1" t="str">
        <f>"3"</f>
        <v>3</v>
      </c>
      <c r="Z303" t="str">
        <f>""</f>
        <v/>
      </c>
      <c r="AA303" t="str">
        <f>"9221077857"</f>
        <v>9221077857</v>
      </c>
      <c r="AB303" t="str">
        <f>"9221077857"</f>
        <v>9221077857</v>
      </c>
      <c r="AC303" t="str">
        <f>"9221077857"</f>
        <v>9221077857</v>
      </c>
      <c r="AD303" t="str">
        <f>"9221077857"</f>
        <v>9221077857</v>
      </c>
      <c r="AE303" t="str">
        <f>""</f>
        <v/>
      </c>
    </row>
    <row r="304" spans="1:31" x14ac:dyDescent="0.45">
      <c r="A304" t="str">
        <f>"МАТВЕЕВА СВЕТЛАНА НИКОЛАЕВНА"</f>
        <v>МАТВЕЕВА СВЕТЛАНА НИКОЛАЕВНА</v>
      </c>
      <c r="B304" t="str">
        <f>"1967-11-29"</f>
        <v>1967-11-29</v>
      </c>
      <c r="C304" t="str">
        <f>"80 12 640274"</f>
        <v>80 12 640274</v>
      </c>
      <c r="D304" t="str">
        <f>"4854630379363081"</f>
        <v>4854630379363081</v>
      </c>
      <c r="E304" t="str">
        <f>"2021-04-30"</f>
        <v>2021-04-30</v>
      </c>
      <c r="F304" t="str">
        <f>"+"</f>
        <v>+</v>
      </c>
      <c r="G304" t="str">
        <f>"+"</f>
        <v>+</v>
      </c>
      <c r="H304" t="str">
        <f>"40817810416991427359"</f>
        <v>40817810416991427359</v>
      </c>
      <c r="I304" t="str">
        <f>"8598"</f>
        <v>8598</v>
      </c>
      <c r="J304" t="str">
        <f>"0149"</f>
        <v>0149</v>
      </c>
      <c r="K304" t="str">
        <f>"195000.00"</f>
        <v>195000.00</v>
      </c>
      <c r="L304" t="str">
        <f>"450000 РЕСП БАШКОРТОСТАН   Г УФА   УЛ ЮБИЛЕЙНАЯ д. 7 корп. А"</f>
        <v>450000 РЕСП БАШКОРТОСТАН   Г УФА   УЛ ЮБИЛЕЙНАЯ д. 7 корп. А</v>
      </c>
      <c r="M304" t="str">
        <f t="shared" si="41"/>
        <v>2019-08-24</v>
      </c>
      <c r="N304" t="s">
        <v>44</v>
      </c>
      <c r="O304" t="str">
        <f>"450000"</f>
        <v>450000</v>
      </c>
      <c r="P304" t="str">
        <f>"РЕСП БАШКОРТОСТАН"</f>
        <v>РЕСП БАШКОРТОСТАН</v>
      </c>
      <c r="Q304" t="str">
        <f>""</f>
        <v/>
      </c>
      <c r="R304" t="str">
        <f>"Г УФА"</f>
        <v>Г УФА</v>
      </c>
      <c r="S304" t="str">
        <f>""</f>
        <v/>
      </c>
      <c r="T304" t="str">
        <f>"УЛ ОРДЖОНИКИДЗЕ"</f>
        <v>УЛ ОРДЖОНИКИДЗЕ</v>
      </c>
      <c r="U304" s="1" t="str">
        <f>"9"</f>
        <v>9</v>
      </c>
      <c r="V304" s="1" t="str">
        <f>""</f>
        <v/>
      </c>
      <c r="W304" s="1" t="str">
        <f>""</f>
        <v/>
      </c>
      <c r="X304" s="1" t="str">
        <f>""</f>
        <v/>
      </c>
      <c r="Y304" s="1" t="str">
        <f>"23"</f>
        <v>23</v>
      </c>
      <c r="Z304" t="str">
        <f>"9174713509"</f>
        <v>9174713509</v>
      </c>
      <c r="AA304" t="str">
        <f>"9174597205"</f>
        <v>9174597205</v>
      </c>
      <c r="AB304" t="str">
        <f>"9174597205"</f>
        <v>9174597205</v>
      </c>
      <c r="AC304" t="str">
        <f>"9174597205"</f>
        <v>9174597205</v>
      </c>
      <c r="AD304" t="str">
        <f>"9174597205"</f>
        <v>9174597205</v>
      </c>
      <c r="AE304" t="str">
        <f>"9174713509"</f>
        <v>9174713509</v>
      </c>
    </row>
    <row r="305" spans="1:31" x14ac:dyDescent="0.45">
      <c r="A305" t="str">
        <f>"МАЗАЛОВА МАРИНА СЕРГЕЕВНА"</f>
        <v>МАЗАЛОВА МАРИНА СЕРГЕЕВНА</v>
      </c>
      <c r="B305" t="str">
        <f>"1988-04-25"</f>
        <v>1988-04-25</v>
      </c>
      <c r="C305" t="str">
        <f>"71 08 617089"</f>
        <v>71 08 617089</v>
      </c>
      <c r="D305" t="str">
        <f>"4279016736166283"</f>
        <v>4279016736166283</v>
      </c>
      <c r="E305" t="str">
        <f t="shared" ref="E305:E312" si="51">"2021-05-31"</f>
        <v>2021-05-31</v>
      </c>
      <c r="F305" t="str">
        <f>"+"</f>
        <v>+</v>
      </c>
      <c r="G305" t="str">
        <f>"+"</f>
        <v>+</v>
      </c>
      <c r="H305" t="str">
        <f>"40817810416992353163"</f>
        <v>40817810416992353163</v>
      </c>
      <c r="I305" t="str">
        <f>"8647"</f>
        <v>8647</v>
      </c>
      <c r="J305" t="str">
        <f>"0112"</f>
        <v>0112</v>
      </c>
      <c r="K305" t="str">
        <f>"350000.00"</f>
        <v>350000.00</v>
      </c>
      <c r="L305" t="str">
        <f>"625000 ОБЛ ТЮМЕНСКАЯ   Г ТЮМЕНЬ   УЛ ХАРБКОВСКАЯ д. 59 корп. 5"</f>
        <v>625000 ОБЛ ТЮМЕНСКАЯ   Г ТЮМЕНЬ   УЛ ХАРБКОВСКАЯ д. 59 корп. 5</v>
      </c>
      <c r="M305" t="str">
        <f t="shared" si="41"/>
        <v>2019-08-24</v>
      </c>
      <c r="N305" t="str">
        <f>"ООО УК ЕДИНСТВО"</f>
        <v>ООО УК ЕДИНСТВО</v>
      </c>
      <c r="O305" t="str">
        <f>"625000"</f>
        <v>625000</v>
      </c>
      <c r="P305" t="str">
        <f t="shared" ref="P305:P312" si="52">"ОБЛ ТЮМЕНСКАЯ"</f>
        <v>ОБЛ ТЮМЕНСКАЯ</v>
      </c>
      <c r="Q305" t="str">
        <f>""</f>
        <v/>
      </c>
      <c r="R305" t="str">
        <f>"Г ТЮМЕНЬ"</f>
        <v>Г ТЮМЕНЬ</v>
      </c>
      <c r="S305" t="str">
        <f>""</f>
        <v/>
      </c>
      <c r="T305" t="str">
        <f>"УЛ ЧЕРВИШЕВСКИЙ ТРАКТ"</f>
        <v>УЛ ЧЕРВИШЕВСКИЙ ТРАКТ</v>
      </c>
      <c r="U305" s="1" t="str">
        <f>"92"</f>
        <v>92</v>
      </c>
      <c r="V305" s="1" t="str">
        <f>""</f>
        <v/>
      </c>
      <c r="W305" s="1" t="str">
        <f>""</f>
        <v/>
      </c>
      <c r="X305" s="1" t="str">
        <f>""</f>
        <v/>
      </c>
      <c r="Y305" s="1" t="str">
        <f>"62"</f>
        <v>62</v>
      </c>
      <c r="Z305" t="str">
        <f>""</f>
        <v/>
      </c>
      <c r="AA305" t="str">
        <f>"9223991606"</f>
        <v>9223991606</v>
      </c>
      <c r="AB305" t="str">
        <f>"9097375630"</f>
        <v>9097375630</v>
      </c>
      <c r="AC305" t="str">
        <f>"9223991606"</f>
        <v>9223991606</v>
      </c>
      <c r="AD305" t="str">
        <f>"9097375630"</f>
        <v>9097375630</v>
      </c>
      <c r="AE305" t="str">
        <f>""</f>
        <v/>
      </c>
    </row>
    <row r="306" spans="1:31" x14ac:dyDescent="0.45">
      <c r="A306" t="str">
        <f>"ЛЕОНОВА ЕЛЕНА АНАТОЛЬЕВНА"</f>
        <v>ЛЕОНОВА ЕЛЕНА АНАТОЛЬЕВНА</v>
      </c>
      <c r="B306" t="str">
        <f>"1989-02-21"</f>
        <v>1989-02-21</v>
      </c>
      <c r="C306" t="str">
        <f>"71 09 709074"</f>
        <v>71 09 709074</v>
      </c>
      <c r="D306" t="str">
        <f>"4279016749564912"</f>
        <v>4279016749564912</v>
      </c>
      <c r="E306" t="str">
        <f t="shared" si="51"/>
        <v>2021-05-31</v>
      </c>
      <c r="F306" t="str">
        <f>"Q"</f>
        <v>Q</v>
      </c>
      <c r="G306" t="str">
        <f>"Q"</f>
        <v>Q</v>
      </c>
      <c r="H306" t="str">
        <f>"40817810567720689700"</f>
        <v>40817810567720689700</v>
      </c>
      <c r="I306" t="str">
        <f>"0029"</f>
        <v>0029</v>
      </c>
      <c r="J306" t="str">
        <f>"0079"</f>
        <v>0079</v>
      </c>
      <c r="K306" t="str">
        <f>"0.00"</f>
        <v>0.00</v>
      </c>
      <c r="L306" t="str">
        <f>"625000 ОБЛ ТЮМЕНСКАЯ   Г ТЮМЕНЬ   УЛ ЛЕНИНА д. 76"</f>
        <v>625000 ОБЛ ТЮМЕНСКАЯ   Г ТЮМЕНЬ   УЛ ЛЕНИНА д. 76</v>
      </c>
      <c r="M306" t="str">
        <f t="shared" si="41"/>
        <v>2019-08-24</v>
      </c>
      <c r="N306" t="str">
        <f>"УПРАВЛЕНИЕ ТЮМЕНЬСТАТ"</f>
        <v>УПРАВЛЕНИЕ ТЮМЕНЬСТАТ</v>
      </c>
      <c r="O306" t="str">
        <f>"629350"</f>
        <v>629350</v>
      </c>
      <c r="P306" t="str">
        <f t="shared" si="52"/>
        <v>ОБЛ ТЮМЕНСКАЯ</v>
      </c>
      <c r="Q306" t="str">
        <f>"АО ЯМАЛО-НЕНЕЦКИЙ"</f>
        <v>АО ЯМАЛО-НЕНЕЦКИЙ</v>
      </c>
      <c r="R306" t="str">
        <f>""</f>
        <v/>
      </c>
      <c r="S306" t="str">
        <f>"П ТАЗОВСКИЙ"</f>
        <v>П ТАЗОВСКИЙ</v>
      </c>
      <c r="T306" t="str">
        <f>"УЛ ПУШКИНА"</f>
        <v>УЛ ПУШКИНА</v>
      </c>
      <c r="U306" s="1" t="str">
        <f>"10"</f>
        <v>10</v>
      </c>
      <c r="V306" s="1" t="str">
        <f>""</f>
        <v/>
      </c>
      <c r="W306" s="1" t="str">
        <f>""</f>
        <v/>
      </c>
      <c r="X306" s="1" t="str">
        <f>""</f>
        <v/>
      </c>
      <c r="Y306" s="1" t="str">
        <f>"57"</f>
        <v>57</v>
      </c>
      <c r="Z306" t="str">
        <f>"9698055552"</f>
        <v>9698055552</v>
      </c>
      <c r="AA306" t="str">
        <f>"9199530749"</f>
        <v>9199530749</v>
      </c>
      <c r="AB306" t="str">
        <f>"9199530749"</f>
        <v>9199530749</v>
      </c>
      <c r="AC306" t="str">
        <f>"9199530749"</f>
        <v>9199530749</v>
      </c>
      <c r="AD306" t="str">
        <f>"9199530749"</f>
        <v>9199530749</v>
      </c>
      <c r="AE306" t="str">
        <f>"9698055552"</f>
        <v>9698055552</v>
      </c>
    </row>
    <row r="307" spans="1:31" x14ac:dyDescent="0.45">
      <c r="A307" t="str">
        <f>"ХАЛИДУЛЛИНА ЛАРИСА ТИМИРХАНОВНА"</f>
        <v>ХАЛИДУЛЛИНА ЛАРИСА ТИМИРХАНОВНА</v>
      </c>
      <c r="B307" t="str">
        <f>"1961-05-18"</f>
        <v>1961-05-18</v>
      </c>
      <c r="C307" t="str">
        <f>"71 05 399205"</f>
        <v>71 05 399205</v>
      </c>
      <c r="D307" t="str">
        <f>"4279016717112959"</f>
        <v>4279016717112959</v>
      </c>
      <c r="E307" t="str">
        <f t="shared" si="51"/>
        <v>2021-05-31</v>
      </c>
      <c r="F307" t="str">
        <f>"+"</f>
        <v>+</v>
      </c>
      <c r="G307" t="str">
        <f>"W"</f>
        <v>W</v>
      </c>
      <c r="H307" t="str">
        <f>"40817810916992354992"</f>
        <v>40817810916992354992</v>
      </c>
      <c r="I307" t="str">
        <f>"8647"</f>
        <v>8647</v>
      </c>
      <c r="J307" t="str">
        <f>"0112"</f>
        <v>0112</v>
      </c>
      <c r="K307" t="str">
        <f>"12000.00"</f>
        <v>12000.00</v>
      </c>
      <c r="L307" t="str">
        <f>"625000 ОБЛ ТЮМЕНСКАЯ   Г ТЮМЕНЬ   УЛ ЛЕНИНА"</f>
        <v>625000 ОБЛ ТЮМЕНСКАЯ   Г ТЮМЕНЬ   УЛ ЛЕНИНА</v>
      </c>
      <c r="M307" t="str">
        <f t="shared" si="41"/>
        <v>2019-08-24</v>
      </c>
      <c r="N307" t="str">
        <f>"УПФР ПО ТЮМЕНСКОЙ ОБЛАСТИ"</f>
        <v>УПФР ПО ТЮМЕНСКОЙ ОБЛАСТИ</v>
      </c>
      <c r="O307" t="str">
        <f>"625000"</f>
        <v>625000</v>
      </c>
      <c r="P307" t="str">
        <f t="shared" si="52"/>
        <v>ОБЛ ТЮМЕНСКАЯ</v>
      </c>
      <c r="Q307" t="str">
        <f>"Р-Н ТЮМЕНСКИЙ"</f>
        <v>Р-Н ТЮМЕНСКИЙ</v>
      </c>
      <c r="R307" t="str">
        <f>""</f>
        <v/>
      </c>
      <c r="S307" t="str">
        <f>"Д Б. АКИЯРЫ"</f>
        <v>Д Б. АКИЯРЫ</v>
      </c>
      <c r="T307" t="str">
        <f>"УЛ ТРАКТОВАЯ"</f>
        <v>УЛ ТРАКТОВАЯ</v>
      </c>
      <c r="U307" s="1" t="str">
        <f>"7"</f>
        <v>7</v>
      </c>
      <c r="V307" s="1" t="str">
        <f>""</f>
        <v/>
      </c>
      <c r="W307" s="1" t="str">
        <f>""</f>
        <v/>
      </c>
      <c r="X307" s="1" t="str">
        <f>""</f>
        <v/>
      </c>
      <c r="Y307" s="1" t="str">
        <f>""</f>
        <v/>
      </c>
      <c r="Z307" t="str">
        <f>"9829873226"</f>
        <v>9829873226</v>
      </c>
      <c r="AA307" t="str">
        <f>"9829873226"</f>
        <v>9829873226</v>
      </c>
      <c r="AB307" t="str">
        <f>"9829830748"</f>
        <v>9829830748</v>
      </c>
      <c r="AC307" t="str">
        <f>"9829873226"</f>
        <v>9829873226</v>
      </c>
      <c r="AD307" t="str">
        <f>"9829830748"</f>
        <v>9829830748</v>
      </c>
      <c r="AE307" t="str">
        <f>"9829873226"</f>
        <v>9829873226</v>
      </c>
    </row>
    <row r="308" spans="1:31" x14ac:dyDescent="0.45">
      <c r="A308" t="str">
        <f>"ВОРОНОВА ЕЛЕНА ВАСИЛЬЕВНА"</f>
        <v>ВОРОНОВА ЕЛЕНА ВАСИЛЬЕВНА</v>
      </c>
      <c r="B308" t="str">
        <f>"1981-07-25"</f>
        <v>1981-07-25</v>
      </c>
      <c r="C308" t="str">
        <f>"67 05 553920"</f>
        <v>67 05 553920</v>
      </c>
      <c r="D308" t="str">
        <f>"4279016723256808"</f>
        <v>4279016723256808</v>
      </c>
      <c r="E308" t="str">
        <f t="shared" si="51"/>
        <v>2021-05-31</v>
      </c>
      <c r="F308" t="str">
        <f>"+"</f>
        <v>+</v>
      </c>
      <c r="G308" t="str">
        <f>"+"</f>
        <v>+</v>
      </c>
      <c r="H308" t="str">
        <f>"40817810016992012464"</f>
        <v>40817810016992012464</v>
      </c>
      <c r="I308" t="str">
        <f>"1791"</f>
        <v>1791</v>
      </c>
      <c r="J308" t="str">
        <f>"0115"</f>
        <v>0115</v>
      </c>
      <c r="K308" t="str">
        <f>"300000.00"</f>
        <v>300000.00</v>
      </c>
      <c r="L308" t="str">
        <f>"628260 ОБЛ ТЮМЕНСКАЯ   Г ЮГОРСК   УЛ ГАСТЕЛЛО д. 1"</f>
        <v>628260 ОБЛ ТЮМЕНСКАЯ   Г ЮГОРСК   УЛ ГАСТЕЛЛО д. 1</v>
      </c>
      <c r="M308" t="str">
        <f t="shared" si="41"/>
        <v>2019-08-24</v>
      </c>
      <c r="N308" t="str">
        <f>"МИФНС РОССИИ №4 ПО ХМАО-ЮГРЕ"</f>
        <v>МИФНС РОССИИ №4 ПО ХМАО-ЮГРЕ</v>
      </c>
      <c r="O308" t="str">
        <f>"628260"</f>
        <v>628260</v>
      </c>
      <c r="P308" t="str">
        <f t="shared" si="52"/>
        <v>ОБЛ ТЮМЕНСКАЯ</v>
      </c>
      <c r="Q308" t="str">
        <f>""</f>
        <v/>
      </c>
      <c r="R308" t="str">
        <f>"Г ЮГОРСК"</f>
        <v>Г ЮГОРСК</v>
      </c>
      <c r="S308" t="str">
        <f>""</f>
        <v/>
      </c>
      <c r="T308" t="str">
        <f>"УЛ ЖЕЛЕЗНОДОРОЖНАЯ"</f>
        <v>УЛ ЖЕЛЕЗНОДОРОЖНАЯ</v>
      </c>
      <c r="U308" s="1" t="str">
        <f>"21А"</f>
        <v>21А</v>
      </c>
      <c r="V308" s="1" t="str">
        <f>""</f>
        <v/>
      </c>
      <c r="W308" s="1" t="str">
        <f>""</f>
        <v/>
      </c>
      <c r="X308" s="1" t="str">
        <f>""</f>
        <v/>
      </c>
      <c r="Y308" s="1" t="str">
        <f>"55"</f>
        <v>55</v>
      </c>
      <c r="Z308" t="str">
        <f>"3467577004"</f>
        <v>3467577004</v>
      </c>
      <c r="AA308" t="str">
        <f>"9324388018"</f>
        <v>9324388018</v>
      </c>
      <c r="AB308" t="str">
        <f>"9324388018"</f>
        <v>9324388018</v>
      </c>
      <c r="AC308" t="str">
        <f>"9088838262"</f>
        <v>9088838262</v>
      </c>
      <c r="AD308" t="str">
        <f>"9324388018"</f>
        <v>9324388018</v>
      </c>
      <c r="AE308" t="str">
        <f>"9088838262"</f>
        <v>9088838262</v>
      </c>
    </row>
    <row r="309" spans="1:31" x14ac:dyDescent="0.45">
      <c r="A309" t="str">
        <f>"ПЛЕСОВСКИХ МИХАИЛ ВАЛЕНТИНОВИЧ"</f>
        <v>ПЛЕСОВСКИХ МИХАИЛ ВАЛЕНТИНОВИЧ</v>
      </c>
      <c r="B309" t="str">
        <f>"1988-02-20"</f>
        <v>1988-02-20</v>
      </c>
      <c r="C309" t="str">
        <f>"67 08 795448"</f>
        <v>67 08 795448</v>
      </c>
      <c r="D309" t="str">
        <f>"4276016704719520"</f>
        <v>4276016704719520</v>
      </c>
      <c r="E309" t="str">
        <f t="shared" si="51"/>
        <v>2021-05-31</v>
      </c>
      <c r="F309" t="str">
        <f>"Y"</f>
        <v>Y</v>
      </c>
      <c r="G309" t="str">
        <f>"+"</f>
        <v>+</v>
      </c>
      <c r="H309" t="str">
        <f>"40817810916992012496"</f>
        <v>40817810916992012496</v>
      </c>
      <c r="I309" t="str">
        <f>"5940"</f>
        <v>5940</v>
      </c>
      <c r="J309" t="str">
        <f>"0029"</f>
        <v>0029</v>
      </c>
      <c r="K309" t="str">
        <f>"390000.00"</f>
        <v>390000.00</v>
      </c>
      <c r="L309" t="str">
        <f>"628400 ОБЛ ТЮМЕНСКАЯ   Г СУРГУТ   Ш НЕФТЕЮГАНСКОЕ д. 1"</f>
        <v>628400 ОБЛ ТЮМЕНСКАЯ   Г СУРГУТ   Ш НЕФТЕЮГАНСКОЕ д. 1</v>
      </c>
      <c r="M309" t="str">
        <f t="shared" si="41"/>
        <v>2019-08-24</v>
      </c>
      <c r="N309" t="str">
        <f>"ООО РЕСТОР"</f>
        <v>ООО РЕСТОР</v>
      </c>
      <c r="O309" t="str">
        <f>"628400"</f>
        <v>628400</v>
      </c>
      <c r="P309" t="str">
        <f t="shared" si="52"/>
        <v>ОБЛ ТЮМЕНСКАЯ</v>
      </c>
      <c r="Q309" t="str">
        <f>""</f>
        <v/>
      </c>
      <c r="R309" t="str">
        <f>"Г СУРГУТ"</f>
        <v>Г СУРГУТ</v>
      </c>
      <c r="S309" t="str">
        <f>""</f>
        <v/>
      </c>
      <c r="T309" t="str">
        <f>"УЛ МЕЛИК-КАРАМОВА"</f>
        <v>УЛ МЕЛИК-КАРАМОВА</v>
      </c>
      <c r="U309" s="1" t="str">
        <f>"4"</f>
        <v>4</v>
      </c>
      <c r="V309" s="1" t="str">
        <f>""</f>
        <v/>
      </c>
      <c r="W309" s="1" t="str">
        <f>""</f>
        <v/>
      </c>
      <c r="X309" s="1" t="str">
        <f>""</f>
        <v/>
      </c>
      <c r="Y309" s="1" t="str">
        <f>"32"</f>
        <v>32</v>
      </c>
      <c r="Z309" t="str">
        <f>"9224283803"</f>
        <v>9224283803</v>
      </c>
      <c r="AA309" t="str">
        <f>"9324000180"</f>
        <v>9324000180</v>
      </c>
      <c r="AB309" t="str">
        <f>"9224283803"</f>
        <v>9224283803</v>
      </c>
      <c r="AC309" t="str">
        <f>"9324000180"</f>
        <v>9324000180</v>
      </c>
      <c r="AD309" t="str">
        <f>"9224283803"</f>
        <v>9224283803</v>
      </c>
      <c r="AE309" t="str">
        <f>""</f>
        <v/>
      </c>
    </row>
    <row r="310" spans="1:31" x14ac:dyDescent="0.45">
      <c r="A310" t="str">
        <f>"ДУБРОВИНА ЕВГЕНИЯ СЕРГЕЕВНА"</f>
        <v>ДУБРОВИНА ЕВГЕНИЯ СЕРГЕЕВНА</v>
      </c>
      <c r="B310" t="str">
        <f>"1980-03-18"</f>
        <v>1980-03-18</v>
      </c>
      <c r="C310" t="str">
        <f>"71 02 512443"</f>
        <v>71 02 512443</v>
      </c>
      <c r="D310" t="str">
        <f>"4279016722146398"</f>
        <v>4279016722146398</v>
      </c>
      <c r="E310" t="str">
        <f t="shared" si="51"/>
        <v>2021-05-31</v>
      </c>
      <c r="F310" t="str">
        <f>"+"</f>
        <v>+</v>
      </c>
      <c r="G310" t="str">
        <f>"+"</f>
        <v>+</v>
      </c>
      <c r="H310" t="str">
        <f>"40817810616992012534"</f>
        <v>40817810616992012534</v>
      </c>
      <c r="I310" t="str">
        <f>"8647"</f>
        <v>8647</v>
      </c>
      <c r="J310" t="str">
        <f>"0096"</f>
        <v>0096</v>
      </c>
      <c r="K310" t="str">
        <f>"60000.00"</f>
        <v>60000.00</v>
      </c>
      <c r="L310" t="str">
        <f>"625000 ОБЛ ТЮМЕНСКАЯ   Г ТЮМЕНЬ   УЛ ШИРОТНАЯ д. 23 стр. А"</f>
        <v>625000 ОБЛ ТЮМЕНСКАЯ   Г ТЮМЕНЬ   УЛ ШИРОТНАЯ д. 23 стр. А</v>
      </c>
      <c r="M310" t="str">
        <f t="shared" si="41"/>
        <v>2019-08-24</v>
      </c>
      <c r="N310" t="str">
        <f>"ПОЛИКЛИНИКА 14"</f>
        <v>ПОЛИКЛИНИКА 14</v>
      </c>
      <c r="O310" t="str">
        <f>"625000"</f>
        <v>625000</v>
      </c>
      <c r="P310" t="str">
        <f t="shared" si="52"/>
        <v>ОБЛ ТЮМЕНСКАЯ</v>
      </c>
      <c r="Q310" t="str">
        <f>""</f>
        <v/>
      </c>
      <c r="R310" t="str">
        <f>"Г ТЮМЕНЬ"</f>
        <v>Г ТЮМЕНЬ</v>
      </c>
      <c r="S310" t="str">
        <f>""</f>
        <v/>
      </c>
      <c r="T310" t="str">
        <f>"УЛ САМАРЦЕВА"</f>
        <v>УЛ САМАРЦЕВА</v>
      </c>
      <c r="U310" s="1" t="str">
        <f>"177"</f>
        <v>177</v>
      </c>
      <c r="V310" s="1" t="str">
        <f>""</f>
        <v/>
      </c>
      <c r="W310" s="1" t="str">
        <f>""</f>
        <v/>
      </c>
      <c r="X310" s="1" t="str">
        <f>""</f>
        <v/>
      </c>
      <c r="Y310" s="1" t="str">
        <f>"107"</f>
        <v>107</v>
      </c>
      <c r="Z310" t="str">
        <f>""</f>
        <v/>
      </c>
      <c r="AA310" t="str">
        <f>"9199463444"</f>
        <v>9199463444</v>
      </c>
      <c r="AB310" t="str">
        <f>"9292617580"</f>
        <v>9292617580</v>
      </c>
      <c r="AC310" t="str">
        <f>"9199463444"</f>
        <v>9199463444</v>
      </c>
      <c r="AD310" t="str">
        <f>"9292617580"</f>
        <v>9292617580</v>
      </c>
      <c r="AE310" t="str">
        <f>""</f>
        <v/>
      </c>
    </row>
    <row r="311" spans="1:31" x14ac:dyDescent="0.45">
      <c r="A311" t="str">
        <f>"ПАСКАРЬ АНАСТАСИЯ ГЕННАДЬЕВНА"</f>
        <v>ПАСКАРЬ АНАСТАСИЯ ГЕННАДЬЕВНА</v>
      </c>
      <c r="B311" t="str">
        <f>"1988-04-14"</f>
        <v>1988-04-14</v>
      </c>
      <c r="C311" t="str">
        <f>"74 12 809177"</f>
        <v>74 12 809177</v>
      </c>
      <c r="D311" t="str">
        <f>"4279016705619197"</f>
        <v>4279016705619197</v>
      </c>
      <c r="E311" t="str">
        <f t="shared" si="51"/>
        <v>2021-05-31</v>
      </c>
      <c r="F311" t="str">
        <f>"+"</f>
        <v>+</v>
      </c>
      <c r="G311" t="str">
        <f>"+"</f>
        <v>+</v>
      </c>
      <c r="H311" t="str">
        <f>"40817810816992355211"</f>
        <v>40817810816992355211</v>
      </c>
      <c r="I311" t="str">
        <f>"8647"</f>
        <v>8647</v>
      </c>
      <c r="J311" t="str">
        <f>"0113"</f>
        <v>0113</v>
      </c>
      <c r="K311" t="str">
        <f>"220000.00"</f>
        <v>220000.00</v>
      </c>
      <c r="L311" t="str">
        <f>"625000 ОБЛ ТЮМЕНСКАЯ   Г ТЮМЕНЬ   УЛ МОНТАЖНИКОВ д. 19 корп. 1 кв. 26"</f>
        <v>625000 ОБЛ ТЮМЕНСКАЯ   Г ТЮМЕНЬ   УЛ МОНТАЖНИКОВ д. 19 корп. 1 кв. 26</v>
      </c>
      <c r="M311" t="str">
        <f t="shared" si="41"/>
        <v>2019-08-24</v>
      </c>
      <c r="N311" t="str">
        <f>"ООО АРТСТЕК"</f>
        <v>ООО АРТСТЕК</v>
      </c>
      <c r="O311" t="str">
        <f>"625000"</f>
        <v>625000</v>
      </c>
      <c r="P311" t="str">
        <f t="shared" si="52"/>
        <v>ОБЛ ТЮМЕНСКАЯ</v>
      </c>
      <c r="Q311" t="str">
        <f>""</f>
        <v/>
      </c>
      <c r="R311" t="str">
        <f>"Г ТЮМЕНЬ"</f>
        <v>Г ТЮМЕНЬ</v>
      </c>
      <c r="S311" t="str">
        <f>""</f>
        <v/>
      </c>
      <c r="T311" t="str">
        <f>"УЛ МОНТАЖНИКОВ"</f>
        <v>УЛ МОНТАЖНИКОВ</v>
      </c>
      <c r="U311" s="1" t="str">
        <f>"19"</f>
        <v>19</v>
      </c>
      <c r="V311" s="1" t="str">
        <f>""</f>
        <v/>
      </c>
      <c r="W311" s="1" t="str">
        <f>"1"</f>
        <v>1</v>
      </c>
      <c r="X311" s="1" t="str">
        <f>""</f>
        <v/>
      </c>
      <c r="Y311" s="1" t="str">
        <f>"26"</f>
        <v>26</v>
      </c>
      <c r="Z311" t="str">
        <f>""</f>
        <v/>
      </c>
      <c r="AA311" t="str">
        <f>"9220799959"</f>
        <v>9220799959</v>
      </c>
      <c r="AB311" t="str">
        <f>"9224616173"</f>
        <v>9224616173</v>
      </c>
      <c r="AC311" t="str">
        <f>"9220799959"</f>
        <v>9220799959</v>
      </c>
      <c r="AD311" t="str">
        <f>"9224616173"</f>
        <v>9224616173</v>
      </c>
      <c r="AE311" t="str">
        <f>""</f>
        <v/>
      </c>
    </row>
    <row r="312" spans="1:31" x14ac:dyDescent="0.45">
      <c r="A312" t="str">
        <f>"БОРОДИНА ЕЛЕНА ЮРЬЕВНА"</f>
        <v>БОРОДИНА ЕЛЕНА ЮРЬЕВНА</v>
      </c>
      <c r="B312" t="str">
        <f>"1987-05-09"</f>
        <v>1987-05-09</v>
      </c>
      <c r="C312" t="str">
        <f>"71 09 735245"</f>
        <v>71 09 735245</v>
      </c>
      <c r="D312" t="str">
        <f>"4279016731504538"</f>
        <v>4279016731504538</v>
      </c>
      <c r="E312" t="str">
        <f t="shared" si="51"/>
        <v>2021-05-31</v>
      </c>
      <c r="F312" t="str">
        <f>"+"</f>
        <v>+</v>
      </c>
      <c r="G312" t="str">
        <f>"+"</f>
        <v>+</v>
      </c>
      <c r="H312" t="str">
        <f>"40817810716992402293"</f>
        <v>40817810716992402293</v>
      </c>
      <c r="I312" t="str">
        <f>"8647"</f>
        <v>8647</v>
      </c>
      <c r="J312" t="str">
        <f>"0181"</f>
        <v>0181</v>
      </c>
      <c r="K312" t="str">
        <f>"66000.00"</f>
        <v>66000.00</v>
      </c>
      <c r="L312" t="str">
        <f>"625000 ОБЛ ТЮМЕНСКАЯ   Г ТЮМЕНЬ   УЛ МИХАИЛА ЯЦЕНКО д. 13 кв. 3"</f>
        <v>625000 ОБЛ ТЮМЕНСКАЯ   Г ТЮМЕНЬ   УЛ МИХАИЛА ЯЦЕНКО д. 13 кв. 3</v>
      </c>
      <c r="M312" t="str">
        <f t="shared" si="41"/>
        <v>2019-08-24</v>
      </c>
      <c r="N312" t="str">
        <f>"НЕ УКАЗАНО"</f>
        <v>НЕ УКАЗАНО</v>
      </c>
      <c r="O312" t="str">
        <f>"625000"</f>
        <v>625000</v>
      </c>
      <c r="P312" t="str">
        <f t="shared" si="52"/>
        <v>ОБЛ ТЮМЕНСКАЯ</v>
      </c>
      <c r="Q312" t="str">
        <f>""</f>
        <v/>
      </c>
      <c r="R312" t="str">
        <f>"Г ТЮМЕНЬ"</f>
        <v>Г ТЮМЕНЬ</v>
      </c>
      <c r="S312" t="str">
        <f>""</f>
        <v/>
      </c>
      <c r="T312" t="str">
        <f>"УЛ МИХАИЛА ЯЦЕНКО"</f>
        <v>УЛ МИХАИЛА ЯЦЕНКО</v>
      </c>
      <c r="U312" s="1" t="str">
        <f>"13"</f>
        <v>13</v>
      </c>
      <c r="V312" s="1" t="str">
        <f>""</f>
        <v/>
      </c>
      <c r="W312" s="1" t="str">
        <f>""</f>
        <v/>
      </c>
      <c r="X312" s="1" t="str">
        <f>""</f>
        <v/>
      </c>
      <c r="Y312" s="1" t="str">
        <f>"3"</f>
        <v>3</v>
      </c>
      <c r="Z312" t="str">
        <f>"3452206539"</f>
        <v>3452206539</v>
      </c>
      <c r="AA312" t="str">
        <f>"3452767106"</f>
        <v>3452767106</v>
      </c>
      <c r="AB312" t="str">
        <f>"9199565201"</f>
        <v>9199565201</v>
      </c>
      <c r="AC312" t="str">
        <f>"3452767106"</f>
        <v>3452767106</v>
      </c>
      <c r="AD312" t="str">
        <f>"9199565201"</f>
        <v>9199565201</v>
      </c>
      <c r="AE312" t="str">
        <f>""</f>
        <v/>
      </c>
    </row>
    <row r="313" spans="1:31" x14ac:dyDescent="0.45">
      <c r="A313" t="str">
        <f>"КОВАЛЕВ ВАЛЕРИЙ НИКОЛАЕВИЧ"</f>
        <v>КОВАЛЕВ ВАЛЕРИЙ НИКОЛАЕВИЧ</v>
      </c>
      <c r="B313" t="str">
        <f>"1954-09-19"</f>
        <v>1954-09-19</v>
      </c>
      <c r="C313" t="str">
        <f>"75 01 046157"</f>
        <v>75 01 046157</v>
      </c>
      <c r="D313" t="str">
        <f>"4854630222684683"</f>
        <v>4854630222684683</v>
      </c>
      <c r="E313" t="str">
        <f>"2021-04-30"</f>
        <v>2021-04-30</v>
      </c>
      <c r="F313" t="str">
        <f>"Q"</f>
        <v>Q</v>
      </c>
      <c r="G313" t="str">
        <f>"Q"</f>
        <v>Q</v>
      </c>
      <c r="H313" t="str">
        <f>"40817810816991427360"</f>
        <v>40817810816991427360</v>
      </c>
      <c r="I313" t="str">
        <f>"8597"</f>
        <v>8597</v>
      </c>
      <c r="J313" t="str">
        <f>"0534"</f>
        <v>0534</v>
      </c>
      <c r="K313" t="str">
        <f>"0.00"</f>
        <v>0.00</v>
      </c>
      <c r="L313" t="str">
        <f>"454000 ОБЛ ЧЕЛЯБИНСКАЯ Р-Н УЙСКИЙ   С УЙСКОЕ УЛ БАЛМАСОВА д. 6"</f>
        <v>454000 ОБЛ ЧЕЛЯБИНСКАЯ Р-Н УЙСКИЙ   С УЙСКОЕ УЛ БАЛМАСОВА д. 6</v>
      </c>
      <c r="M313" t="str">
        <f t="shared" si="41"/>
        <v>2019-08-24</v>
      </c>
      <c r="N313" t="str">
        <f>"АДМИНИСТРАЦИЯ УЙСКОГО РАЙОНА"</f>
        <v>АДМИНИСТРАЦИЯ УЙСКОГО РАЙОНА</v>
      </c>
      <c r="O313" t="str">
        <f>"454000"</f>
        <v>454000</v>
      </c>
      <c r="P313" t="str">
        <f>"ОБЛ ЧЕЛЯБИНСКАЯ"</f>
        <v>ОБЛ ЧЕЛЯБИНСКАЯ</v>
      </c>
      <c r="Q313" t="str">
        <f>"Р-Н УЙСКИЙ"</f>
        <v>Р-Н УЙСКИЙ</v>
      </c>
      <c r="R313" t="str">
        <f>""</f>
        <v/>
      </c>
      <c r="S313" t="str">
        <f>"С УЙСКОЕ"</f>
        <v>С УЙСКОЕ</v>
      </c>
      <c r="T313" t="str">
        <f>"УЛ КИРОВА"</f>
        <v>УЛ КИРОВА</v>
      </c>
      <c r="U313" s="1" t="str">
        <f>"59"</f>
        <v>59</v>
      </c>
      <c r="V313" s="1" t="str">
        <f>""</f>
        <v/>
      </c>
      <c r="W313" s="1" t="str">
        <f>""</f>
        <v/>
      </c>
      <c r="X313" s="1" t="str">
        <f>""</f>
        <v/>
      </c>
      <c r="Y313" s="1" t="str">
        <f>"2"</f>
        <v>2</v>
      </c>
      <c r="Z313" t="str">
        <f>"9026136029"</f>
        <v>9026136029</v>
      </c>
      <c r="AA313" t="str">
        <f>"9517810625"</f>
        <v>9517810625</v>
      </c>
      <c r="AB313" t="str">
        <f>"9517810625"</f>
        <v>9517810625</v>
      </c>
      <c r="AC313" t="str">
        <f>"9517810625"</f>
        <v>9517810625</v>
      </c>
      <c r="AD313" t="str">
        <f>"9517810625"</f>
        <v>9517810625</v>
      </c>
      <c r="AE313" t="str">
        <f>"9026136029"</f>
        <v>9026136029</v>
      </c>
    </row>
    <row r="314" spans="1:31" x14ac:dyDescent="0.45">
      <c r="A314" t="str">
        <f>"ГАНИЕВА ЕЛЕНА ВЛАДИМИРОВНА"</f>
        <v>ГАНИЕВА ЕЛЕНА ВЛАДИМИРОВНА</v>
      </c>
      <c r="B314" t="str">
        <f>"1984-07-20"</f>
        <v>1984-07-20</v>
      </c>
      <c r="C314" t="str">
        <f>"65 16 286146"</f>
        <v>65 16 286146</v>
      </c>
      <c r="D314" t="str">
        <f>"4854630380851199"</f>
        <v>4854630380851199</v>
      </c>
      <c r="E314" t="str">
        <f>"2021-04-30"</f>
        <v>2021-04-30</v>
      </c>
      <c r="F314" t="str">
        <f>"+"</f>
        <v>+</v>
      </c>
      <c r="G314" t="str">
        <f>"+"</f>
        <v>+</v>
      </c>
      <c r="H314" t="str">
        <f>"40817810116991427361"</f>
        <v>40817810116991427361</v>
      </c>
      <c r="I314" t="str">
        <f>"7003"</f>
        <v>7003</v>
      </c>
      <c r="J314" t="str">
        <f>"0681"</f>
        <v>0681</v>
      </c>
      <c r="K314" t="str">
        <f>"36000.00"</f>
        <v>36000.00</v>
      </c>
      <c r="L314" t="str">
        <f>"623101 ОБЛ СВЕРДЛОВСКАЯ   Г ПЕРВОУРАЛЬСК   УЛ ВАЙНЕРА д. 13"</f>
        <v>623101 ОБЛ СВЕРДЛОВСКАЯ   Г ПЕРВОУРАЛЬСК   УЛ ВАЙНЕРА д. 13</v>
      </c>
      <c r="M314" t="str">
        <f t="shared" si="41"/>
        <v>2019-08-24</v>
      </c>
      <c r="N314" t="str">
        <f>"ПФР"</f>
        <v>ПФР</v>
      </c>
      <c r="O314" t="str">
        <f>"623101"</f>
        <v>623101</v>
      </c>
      <c r="P314" t="str">
        <f>"ОБЛ СВЕРДЛОВСКАЯ"</f>
        <v>ОБЛ СВЕРДЛОВСКАЯ</v>
      </c>
      <c r="Q314" t="str">
        <f>""</f>
        <v/>
      </c>
      <c r="R314" t="str">
        <f>"Г ПЕРВОУРАЛЬСК"</f>
        <v>Г ПЕРВОУРАЛЬСК</v>
      </c>
      <c r="S314" t="str">
        <f>""</f>
        <v/>
      </c>
      <c r="T314" t="str">
        <f>"УЛ СОВЕТСКАЯ"</f>
        <v>УЛ СОВЕТСКАЯ</v>
      </c>
      <c r="U314" s="1" t="str">
        <f>"14"</f>
        <v>14</v>
      </c>
      <c r="V314" s="1" t="str">
        <f>""</f>
        <v/>
      </c>
      <c r="W314" s="1" t="str">
        <f>""</f>
        <v/>
      </c>
      <c r="X314" s="1" t="str">
        <f>""</f>
        <v/>
      </c>
      <c r="Y314" s="1" t="str">
        <f>"39"</f>
        <v>39</v>
      </c>
      <c r="Z314" t="str">
        <f>""</f>
        <v/>
      </c>
      <c r="AA314" t="str">
        <f>"9827168500"</f>
        <v>9827168500</v>
      </c>
      <c r="AB314" t="str">
        <f>"9527441313"</f>
        <v>9527441313</v>
      </c>
      <c r="AC314" t="str">
        <f>"9827168500"</f>
        <v>9827168500</v>
      </c>
      <c r="AD314" t="str">
        <f>"9827168500"</f>
        <v>9827168500</v>
      </c>
      <c r="AE314" t="str">
        <f>""</f>
        <v/>
      </c>
    </row>
    <row r="315" spans="1:31" x14ac:dyDescent="0.45">
      <c r="A315" t="str">
        <f>"АНОХИНА АННА АРКАДЬЕВНА"</f>
        <v>АНОХИНА АННА АРКАДЬЕВНА</v>
      </c>
      <c r="B315" t="str">
        <f>"1956-02-15"</f>
        <v>1956-02-15</v>
      </c>
      <c r="C315" t="str">
        <f>"65 05 729049"</f>
        <v>65 05 729049</v>
      </c>
      <c r="D315" t="str">
        <f>"4854630382230145"</f>
        <v>4854630382230145</v>
      </c>
      <c r="E315" t="str">
        <f>"2021-04-30"</f>
        <v>2021-04-30</v>
      </c>
      <c r="F315" t="str">
        <f>"Y"</f>
        <v>Y</v>
      </c>
      <c r="G315" t="str">
        <f>"Q"</f>
        <v>Q</v>
      </c>
      <c r="H315" t="str">
        <f>"40817810416991427362"</f>
        <v>40817810416991427362</v>
      </c>
      <c r="I315" t="str">
        <f>"7003"</f>
        <v>7003</v>
      </c>
      <c r="J315" t="str">
        <f>"0714"</f>
        <v>0714</v>
      </c>
      <c r="K315" t="str">
        <f t="shared" ref="K315:K316" si="53">"0.00"</f>
        <v>0.00</v>
      </c>
      <c r="L315" t="str">
        <f>"620000 ОБЛ СВЕРДЛОВСКАЯ Р-Н НЕВЬЯНСКИЙ   П СЕРЕДОВИНА УЛ МОЛОДЕЖНАЯ д. 2 кв. 1"</f>
        <v>620000 ОБЛ СВЕРДЛОВСКАЯ Р-Н НЕВЬЯНСКИЙ   П СЕРЕДОВИНА УЛ МОЛОДЕЖНАЯ д. 2 кв. 1</v>
      </c>
      <c r="M315" t="str">
        <f t="shared" si="41"/>
        <v>2019-08-24</v>
      </c>
      <c r="N315" t="str">
        <f>"ПЕНСИОНЕР"</f>
        <v>ПЕНСИОНЕР</v>
      </c>
      <c r="O315" t="str">
        <f>"620000"</f>
        <v>620000</v>
      </c>
      <c r="P315" t="str">
        <f>"ОБЛ СВЕРДЛОВСКАЯ"</f>
        <v>ОБЛ СВЕРДЛОВСКАЯ</v>
      </c>
      <c r="Q315" t="str">
        <f>"Р-Н НЕВЬЯНСКИЙ"</f>
        <v>Р-Н НЕВЬЯНСКИЙ</v>
      </c>
      <c r="R315" t="str">
        <f>""</f>
        <v/>
      </c>
      <c r="S315" t="str">
        <f>"П СЕРЕДОВИНА"</f>
        <v>П СЕРЕДОВИНА</v>
      </c>
      <c r="T315" t="str">
        <f>"УЛ МОЛОДЕЖНАЯ"</f>
        <v>УЛ МОЛОДЕЖНАЯ</v>
      </c>
      <c r="U315" s="1" t="str">
        <f>"2"</f>
        <v>2</v>
      </c>
      <c r="V315" s="1" t="str">
        <f>""</f>
        <v/>
      </c>
      <c r="W315" s="1" t="str">
        <f>""</f>
        <v/>
      </c>
      <c r="X315" s="1" t="str">
        <f>""</f>
        <v/>
      </c>
      <c r="Y315" s="1" t="str">
        <f>"1"</f>
        <v>1</v>
      </c>
      <c r="Z315" t="str">
        <f>""</f>
        <v/>
      </c>
      <c r="AA315" t="str">
        <f>"+7 (953) 0414667"</f>
        <v>+7 (953) 0414667</v>
      </c>
      <c r="AB315" t="str">
        <f>"+7 (953) 0414667"</f>
        <v>+7 (953) 0414667</v>
      </c>
      <c r="AC315" t="str">
        <f>"9530414667"</f>
        <v>9530414667</v>
      </c>
      <c r="AD315" t="str">
        <f>"9126302768"</f>
        <v>9126302768</v>
      </c>
      <c r="AE315" t="str">
        <f>""</f>
        <v/>
      </c>
    </row>
    <row r="316" spans="1:31" x14ac:dyDescent="0.45">
      <c r="A316" t="str">
        <f>"БАЙМУРЗИН АХТАР АХАТОВИЧ"</f>
        <v>БАЙМУРЗИН АХТАР АХАТОВИЧ</v>
      </c>
      <c r="B316" t="str">
        <f>"1982-12-10"</f>
        <v>1982-12-10</v>
      </c>
      <c r="C316" t="str">
        <f>"80 05 272471"</f>
        <v>80 05 272471</v>
      </c>
      <c r="D316" t="str">
        <f>"4854630214258975"</f>
        <v>4854630214258975</v>
      </c>
      <c r="E316" t="str">
        <f>"2021-04-30"</f>
        <v>2021-04-30</v>
      </c>
      <c r="F316" t="str">
        <f>"Q"</f>
        <v>Q</v>
      </c>
      <c r="G316" t="str">
        <f>"Q"</f>
        <v>Q</v>
      </c>
      <c r="H316" t="str">
        <f>"40817810967720698508"</f>
        <v>40817810967720698508</v>
      </c>
      <c r="I316" t="str">
        <f>"8369"</f>
        <v>8369</v>
      </c>
      <c r="J316" t="str">
        <f>"0047"</f>
        <v>0047</v>
      </c>
      <c r="K316" t="str">
        <f t="shared" si="53"/>
        <v>0.00</v>
      </c>
      <c r="L316" t="str">
        <f>"629850 ОБЛ ТЮМЕНСКАЯ Р-Н ПУРОВСКИЙ Г ТАРКО-САЛЕ   ТУП ПРОМЗОНЫ д. 1"</f>
        <v>629850 ОБЛ ТЮМЕНСКАЯ Р-Н ПУРОВСКИЙ Г ТАРКО-САЛЕ   ТУП ПРОМЗОНЫ д. 1</v>
      </c>
      <c r="M316" t="str">
        <f t="shared" si="41"/>
        <v>2019-08-24</v>
      </c>
      <c r="N316" t="str">
        <f>"НЭУ"</f>
        <v>НЭУ</v>
      </c>
      <c r="O316" t="str">
        <f>"450000"</f>
        <v>450000</v>
      </c>
      <c r="P316" t="str">
        <f>"РЕСП БАШКОРТОСТАН"</f>
        <v>РЕСП БАШКОРТОСТАН</v>
      </c>
      <c r="Q316" t="str">
        <f>"Р-Н БУРЗЯНСКИЙ"</f>
        <v>Р-Н БУРЗЯНСКИЙ</v>
      </c>
      <c r="R316" t="str">
        <f>""</f>
        <v/>
      </c>
      <c r="S316" t="str">
        <f>"Д ТЕМИРОВО"</f>
        <v>Д ТЕМИРОВО</v>
      </c>
      <c r="T316" t="str">
        <f>"УЛ САЛАВАТ ЮЛАЕВ"</f>
        <v>УЛ САЛАВАТ ЮЛАЕВ</v>
      </c>
      <c r="U316" s="1" t="str">
        <f>"115"</f>
        <v>115</v>
      </c>
      <c r="V316" s="1" t="str">
        <f>""</f>
        <v/>
      </c>
      <c r="W316" s="1" t="str">
        <f>""</f>
        <v/>
      </c>
      <c r="X316" s="1" t="str">
        <f>""</f>
        <v/>
      </c>
      <c r="Y316" s="1" t="str">
        <f>""</f>
        <v/>
      </c>
      <c r="Z316" t="str">
        <f>"9174864532"</f>
        <v>9174864532</v>
      </c>
      <c r="AA316" t="str">
        <f>"9125121179"</f>
        <v>9125121179</v>
      </c>
      <c r="AB316" t="str">
        <f>"9125121179"</f>
        <v>9125121179</v>
      </c>
      <c r="AC316" t="str">
        <f>"9125121179"</f>
        <v>9125121179</v>
      </c>
      <c r="AD316" t="str">
        <f>"9125121179"</f>
        <v>9125121179</v>
      </c>
      <c r="AE316" t="str">
        <f>"9174864532"</f>
        <v>9174864532</v>
      </c>
    </row>
    <row r="317" spans="1:31" x14ac:dyDescent="0.45">
      <c r="A317" t="str">
        <f>"КАШАПОВА ТАТЬЯНА АЛЕКСАНДРОВНА"</f>
        <v>КАШАПОВА ТАТЬЯНА АЛЕКСАНДРОВНА</v>
      </c>
      <c r="B317" t="str">
        <f>"1966-07-18"</f>
        <v>1966-07-18</v>
      </c>
      <c r="C317" t="str">
        <f>"80 11 317385"</f>
        <v>80 11 317385</v>
      </c>
      <c r="D317" t="str">
        <f>"4854630255394978"</f>
        <v>4854630255394978</v>
      </c>
      <c r="E317" t="str">
        <f>"2021-06-30"</f>
        <v>2021-06-30</v>
      </c>
      <c r="F317" t="str">
        <f>"+"</f>
        <v>+</v>
      </c>
      <c r="G317" t="str">
        <f>"+"</f>
        <v>+</v>
      </c>
      <c r="H317" t="str">
        <f>"40817810716991427363"</f>
        <v>40817810716991427363</v>
      </c>
      <c r="I317" t="str">
        <f>"8598"</f>
        <v>8598</v>
      </c>
      <c r="J317" t="str">
        <f>"0224"</f>
        <v>0224</v>
      </c>
      <c r="K317" t="str">
        <f>"38000.00"</f>
        <v>38000.00</v>
      </c>
      <c r="L317" t="str">
        <f>"450000 РЕСП БАШКОРТОСТАН Р-Н БЛАГОВЕЩЕНСКИЙ   С БОГОРОДСКОЕ УЛ ОСИНОВКА д. 7"</f>
        <v>450000 РЕСП БАШКОРТОСТАН Р-Н БЛАГОВЕЩЕНСКИЙ   С БОГОРОДСКОЕ УЛ ОСИНОВКА д. 7</v>
      </c>
      <c r="M317" t="str">
        <f t="shared" si="41"/>
        <v>2019-08-24</v>
      </c>
      <c r="N317" t="str">
        <f>"СХПК ДРУЖБА"</f>
        <v>СХПК ДРУЖБА</v>
      </c>
      <c r="O317" t="str">
        <f>"450000"</f>
        <v>450000</v>
      </c>
      <c r="P317" t="str">
        <f>"РЕСП БАШКОРТОСТАН"</f>
        <v>РЕСП БАШКОРТОСТАН</v>
      </c>
      <c r="Q317" t="str">
        <f>""</f>
        <v/>
      </c>
      <c r="R317" t="str">
        <f>"Г БЛАГОВЕЩЕНСК"</f>
        <v>Г БЛАГОВЕЩЕНСК</v>
      </c>
      <c r="S317" t="str">
        <f>""</f>
        <v/>
      </c>
      <c r="T317" t="str">
        <f>"УЛ ЧИСТЯКОВА"</f>
        <v>УЛ ЧИСТЯКОВА</v>
      </c>
      <c r="U317" s="1" t="str">
        <f>"59"</f>
        <v>59</v>
      </c>
      <c r="V317" s="1" t="str">
        <f>""</f>
        <v/>
      </c>
      <c r="W317" s="1" t="str">
        <f>""</f>
        <v/>
      </c>
      <c r="X317" s="1" t="str">
        <f>""</f>
        <v/>
      </c>
      <c r="Y317" s="1" t="str">
        <f>""</f>
        <v/>
      </c>
      <c r="Z317" t="str">
        <f>"9050060268"</f>
        <v>9050060268</v>
      </c>
      <c r="AA317" t="str">
        <f>"9050060268"</f>
        <v>9050060268</v>
      </c>
      <c r="AB317" t="str">
        <f>"9050060268"</f>
        <v>9050060268</v>
      </c>
      <c r="AC317" t="str">
        <f>"9050060268"</f>
        <v>9050060268</v>
      </c>
      <c r="AD317" t="str">
        <f>"9050060268"</f>
        <v>9050060268</v>
      </c>
      <c r="AE317" t="str">
        <f>"9050060268"</f>
        <v>9050060268</v>
      </c>
    </row>
    <row r="318" spans="1:31" x14ac:dyDescent="0.45">
      <c r="A318" t="str">
        <f>"ЯМЗИНА ЛЮБОВЬ ВЯЧЕСЛАВОВНА"</f>
        <v>ЯМЗИНА ЛЮБОВЬ ВЯЧЕСЛАВОВНА</v>
      </c>
      <c r="B318" t="str">
        <f>"1988-11-16"</f>
        <v>1988-11-16</v>
      </c>
      <c r="C318" t="str">
        <f>"74 08 675032"</f>
        <v>74 08 675032</v>
      </c>
      <c r="D318" t="str">
        <f>"4279016736452782"</f>
        <v>4279016736452782</v>
      </c>
      <c r="E318" t="str">
        <f t="shared" ref="E318:E324" si="54">"2021-05-31"</f>
        <v>2021-05-31</v>
      </c>
      <c r="F318" t="str">
        <f>"+"</f>
        <v>+</v>
      </c>
      <c r="G318" t="str">
        <f>"W"</f>
        <v>W</v>
      </c>
      <c r="H318" t="str">
        <f>"40817810016992012558"</f>
        <v>40817810016992012558</v>
      </c>
      <c r="I318" t="str">
        <f>"8369"</f>
        <v>8369</v>
      </c>
      <c r="J318" t="str">
        <f>"0041"</f>
        <v>0041</v>
      </c>
      <c r="K318" t="str">
        <f>"10000.00"</f>
        <v>10000.00</v>
      </c>
      <c r="L318" t="str">
        <f>"629860 ОБЛ ТЮМЕНСКАЯ Р-Н ПУРОВСКИЙ   ПГТ УРЕНГОЙ МКР ГЕОЛОГ д. 9"</f>
        <v>629860 ОБЛ ТЮМЕНСКАЯ Р-Н ПУРОВСКИЙ   ПГТ УРЕНГОЙ МКР ГЕОЛОГ д. 9</v>
      </c>
      <c r="M318" t="str">
        <f t="shared" si="41"/>
        <v>2019-08-24</v>
      </c>
      <c r="N318" t="str">
        <f>"ООО АСА"</f>
        <v>ООО АСА</v>
      </c>
      <c r="O318" t="str">
        <f>"629860"</f>
        <v>629860</v>
      </c>
      <c r="P318" t="str">
        <f t="shared" ref="P318:P326" si="55">"ОБЛ ТЮМЕНСКАЯ"</f>
        <v>ОБЛ ТЮМЕНСКАЯ</v>
      </c>
      <c r="Q318" t="str">
        <f>"Р-Н ПУРОВСКИЙ"</f>
        <v>Р-Н ПУРОВСКИЙ</v>
      </c>
      <c r="R318" t="str">
        <f>""</f>
        <v/>
      </c>
      <c r="S318" t="str">
        <f>"ПГТ УРЕНГОЙ"</f>
        <v>ПГТ УРЕНГОЙ</v>
      </c>
      <c r="T318" t="str">
        <f>"МКР ГЕОЛОГ"</f>
        <v>МКР ГЕОЛОГ</v>
      </c>
      <c r="U318" s="1" t="str">
        <f>"18"</f>
        <v>18</v>
      </c>
      <c r="V318" s="1" t="str">
        <f>""</f>
        <v/>
      </c>
      <c r="W318" s="1" t="str">
        <f>""</f>
        <v/>
      </c>
      <c r="X318" s="1" t="str">
        <f>""</f>
        <v/>
      </c>
      <c r="Y318" s="1" t="str">
        <f>"10"</f>
        <v>10</v>
      </c>
      <c r="Z318" t="str">
        <f>""</f>
        <v/>
      </c>
      <c r="AA318" t="str">
        <f>"9048748367"</f>
        <v>9048748367</v>
      </c>
      <c r="AB318" t="str">
        <f>"9220516769"</f>
        <v>9220516769</v>
      </c>
      <c r="AC318" t="str">
        <f>"9048748367"</f>
        <v>9048748367</v>
      </c>
      <c r="AD318" t="str">
        <f>"9220516769"</f>
        <v>9220516769</v>
      </c>
      <c r="AE318" t="str">
        <f>""</f>
        <v/>
      </c>
    </row>
    <row r="319" spans="1:31" x14ac:dyDescent="0.45">
      <c r="A319" t="str">
        <f>"НАКТИНИС НАДЕЖДА АНТОНОВНА"</f>
        <v>НАКТИНИС НАДЕЖДА АНТОНОВНА</v>
      </c>
      <c r="B319" t="str">
        <f>"1954-02-17"</f>
        <v>1954-02-17</v>
      </c>
      <c r="C319" t="str">
        <f>"74 03 356207"</f>
        <v>74 03 356207</v>
      </c>
      <c r="D319" t="str">
        <f>"4279016717360541"</f>
        <v>4279016717360541</v>
      </c>
      <c r="E319" t="str">
        <f t="shared" si="54"/>
        <v>2021-05-31</v>
      </c>
      <c r="F319" t="str">
        <f>"+"</f>
        <v>+</v>
      </c>
      <c r="G319" t="str">
        <f>"+"</f>
        <v>+</v>
      </c>
      <c r="H319" t="str">
        <f>"40817810216992355387"</f>
        <v>40817810216992355387</v>
      </c>
      <c r="I319" t="str">
        <f>"8369"</f>
        <v>8369</v>
      </c>
      <c r="J319" t="str">
        <f>"0022"</f>
        <v>0022</v>
      </c>
      <c r="K319" t="str">
        <f>"92000.00"</f>
        <v>92000.00</v>
      </c>
      <c r="L319" t="str">
        <f>"629800 ОБЛ ТЮМЕНСКАЯ   Г НОЯБРЬСК   УЛ МКР Р д. 151 кв. 3"</f>
        <v>629800 ОБЛ ТЮМЕНСКАЯ   Г НОЯБРЬСК   УЛ МКР Р д. 151 кв. 3</v>
      </c>
      <c r="M319" t="str">
        <f t="shared" si="41"/>
        <v>2019-08-24</v>
      </c>
      <c r="N319" t="str">
        <f>"ПФР"</f>
        <v>ПФР</v>
      </c>
      <c r="O319" t="str">
        <f>"629800"</f>
        <v>629800</v>
      </c>
      <c r="P319" t="str">
        <f t="shared" si="55"/>
        <v>ОБЛ ТЮМЕНСКАЯ</v>
      </c>
      <c r="Q319" t="str">
        <f>"АО ЯНАО"</f>
        <v>АО ЯНАО</v>
      </c>
      <c r="R319" t="str">
        <f>"Г НОЯБРЬСК"</f>
        <v>Г НОЯБРЬСК</v>
      </c>
      <c r="S319" t="str">
        <f>""</f>
        <v/>
      </c>
      <c r="T319" t="str">
        <f>"УЛ МКР Р"</f>
        <v>УЛ МКР Р</v>
      </c>
      <c r="U319" s="1" t="str">
        <f>"151"</f>
        <v>151</v>
      </c>
      <c r="V319" s="1" t="str">
        <f>""</f>
        <v/>
      </c>
      <c r="W319" s="1" t="str">
        <f>""</f>
        <v/>
      </c>
      <c r="X319" s="1" t="str">
        <f>""</f>
        <v/>
      </c>
      <c r="Y319" s="1" t="str">
        <f>"3"</f>
        <v>3</v>
      </c>
      <c r="Z319" t="str">
        <f>""</f>
        <v/>
      </c>
      <c r="AA319" t="str">
        <f>"9519946666"</f>
        <v>9519946666</v>
      </c>
      <c r="AB319" t="str">
        <f>"9519946666"</f>
        <v>9519946666</v>
      </c>
      <c r="AC319" t="str">
        <f>"9519946666"</f>
        <v>9519946666</v>
      </c>
      <c r="AD319" t="str">
        <f>"9084980848"</f>
        <v>9084980848</v>
      </c>
      <c r="AE319" t="str">
        <f>""</f>
        <v/>
      </c>
    </row>
    <row r="320" spans="1:31" x14ac:dyDescent="0.45">
      <c r="A320" t="str">
        <f>"ЖЕЛУНИН ЕВГЕНИЙ ВАСИЛЬЕВИЧ"</f>
        <v>ЖЕЛУНИН ЕВГЕНИЙ ВАСИЛЬЕВИЧ</v>
      </c>
      <c r="B320" t="str">
        <f>"1996-11-18"</f>
        <v>1996-11-18</v>
      </c>
      <c r="C320" t="str">
        <f>"67 16 597411"</f>
        <v>67 16 597411</v>
      </c>
      <c r="D320" t="str">
        <f>"4279016730347335"</f>
        <v>4279016730347335</v>
      </c>
      <c r="E320" t="str">
        <f t="shared" si="54"/>
        <v>2021-05-31</v>
      </c>
      <c r="F320" t="str">
        <f>"+"</f>
        <v>+</v>
      </c>
      <c r="G320" t="str">
        <f>"+"</f>
        <v>+</v>
      </c>
      <c r="H320" t="str">
        <f>"40817810216992012701"</f>
        <v>40817810216992012701</v>
      </c>
      <c r="I320" t="str">
        <f>"5940"</f>
        <v>5940</v>
      </c>
      <c r="J320" t="str">
        <f>"0131"</f>
        <v>0131</v>
      </c>
      <c r="K320" t="str">
        <f>"50000.00"</f>
        <v>50000.00</v>
      </c>
      <c r="L320" t="str">
        <f>"628464 ОБЛ ТЮМЕНСКАЯ АО ХАНТЫ-МАНСИЙСКИЙ Г РАДУЖНЫЙ   МКР 4-Й д. 1"</f>
        <v>628464 ОБЛ ТЮМЕНСКАЯ АО ХАНТЫ-МАНСИЙСКИЙ Г РАДУЖНЫЙ   МКР 4-Й д. 1</v>
      </c>
      <c r="M320" t="str">
        <f t="shared" si="41"/>
        <v>2019-08-24</v>
      </c>
      <c r="N320" t="str">
        <f>"ООО БЭТТА-СУРГУТ"</f>
        <v>ООО БЭТТА-СУРГУТ</v>
      </c>
      <c r="O320" t="str">
        <f>"628464"</f>
        <v>628464</v>
      </c>
      <c r="P320" t="str">
        <f t="shared" si="55"/>
        <v>ОБЛ ТЮМЕНСКАЯ</v>
      </c>
      <c r="Q320" t="str">
        <f>"АО ХАНТЫ-МАНСИЙСКИЙ"</f>
        <v>АО ХАНТЫ-МАНСИЙСКИЙ</v>
      </c>
      <c r="R320" t="str">
        <f>"Г РАДУЖНЫЙ"</f>
        <v>Г РАДУЖНЫЙ</v>
      </c>
      <c r="S320" t="str">
        <f>""</f>
        <v/>
      </c>
      <c r="T320" t="str">
        <f>"МКР 3-Й"</f>
        <v>МКР 3-Й</v>
      </c>
      <c r="U320" s="1" t="str">
        <f>"1"</f>
        <v>1</v>
      </c>
      <c r="V320" s="1" t="str">
        <f>""</f>
        <v/>
      </c>
      <c r="W320" s="1" t="str">
        <f>""</f>
        <v/>
      </c>
      <c r="X320" s="1" t="str">
        <f>""</f>
        <v/>
      </c>
      <c r="Y320" s="1" t="str">
        <f>"48"</f>
        <v>48</v>
      </c>
      <c r="Z320" t="str">
        <f>""</f>
        <v/>
      </c>
      <c r="AA320" t="str">
        <f>"9825443617"</f>
        <v>9825443617</v>
      </c>
      <c r="AB320" t="str">
        <f>"9821845936"</f>
        <v>9821845936</v>
      </c>
      <c r="AC320" t="str">
        <f>"9825443617"</f>
        <v>9825443617</v>
      </c>
      <c r="AD320" t="str">
        <f>"9821845936"</f>
        <v>9821845936</v>
      </c>
      <c r="AE320" t="str">
        <f>""</f>
        <v/>
      </c>
    </row>
    <row r="321" spans="1:31" x14ac:dyDescent="0.45">
      <c r="A321" t="str">
        <f>"КАЛИНИНА ВАЛЕНТИНА АЛЕКСЕЕВНА"</f>
        <v>КАЛИНИНА ВАЛЕНТИНА АЛЕКСЕЕВНА</v>
      </c>
      <c r="B321" t="str">
        <f>"1956-11-01"</f>
        <v>1956-11-01</v>
      </c>
      <c r="C321" t="str">
        <f>"71 01 397757"</f>
        <v>71 01 397757</v>
      </c>
      <c r="D321" t="str">
        <f>"4279016704792136"</f>
        <v>4279016704792136</v>
      </c>
      <c r="E321" t="str">
        <f t="shared" si="54"/>
        <v>2021-05-31</v>
      </c>
      <c r="F321" t="str">
        <f>"Q"</f>
        <v>Q</v>
      </c>
      <c r="G321" t="str">
        <f>"Q"</f>
        <v>Q</v>
      </c>
      <c r="H321" t="str">
        <f>"40817810867720689714"</f>
        <v>40817810867720689714</v>
      </c>
      <c r="I321" t="str">
        <f>"0029"</f>
        <v>0029</v>
      </c>
      <c r="J321" t="str">
        <f>"0102"</f>
        <v>0102</v>
      </c>
      <c r="K321" t="str">
        <f>"0.00"</f>
        <v>0.00</v>
      </c>
      <c r="L321" t="str">
        <f>"625000 ОБЛ ТЮМЕНСКАЯ   Г ТЮМЕНЬ   УЛ МОСКОВСКИЙ ТРАКТ д. 154 кв. 88"</f>
        <v>625000 ОБЛ ТЮМЕНСКАЯ   Г ТЮМЕНЬ   УЛ МОСКОВСКИЙ ТРАКТ д. 154 кв. 88</v>
      </c>
      <c r="M321" t="str">
        <f t="shared" si="41"/>
        <v>2019-08-24</v>
      </c>
      <c r="N321" t="str">
        <f>"ОТСУТСТВУЕТ"</f>
        <v>ОТСУТСТВУЕТ</v>
      </c>
      <c r="O321" t="str">
        <f>"625000"</f>
        <v>625000</v>
      </c>
      <c r="P321" t="str">
        <f t="shared" si="55"/>
        <v>ОБЛ ТЮМЕНСКАЯ</v>
      </c>
      <c r="Q321" t="str">
        <f>""</f>
        <v/>
      </c>
      <c r="R321" t="str">
        <f>"Г ТЮМЕНЬ"</f>
        <v>Г ТЮМЕНЬ</v>
      </c>
      <c r="S321" t="str">
        <f>""</f>
        <v/>
      </c>
      <c r="T321" t="str">
        <f>"УЛ МОСКОВСКИЙ ТРАКТ"</f>
        <v>УЛ МОСКОВСКИЙ ТРАКТ</v>
      </c>
      <c r="U321" s="1" t="str">
        <f>"154"</f>
        <v>154</v>
      </c>
      <c r="V321" s="1" t="str">
        <f>""</f>
        <v/>
      </c>
      <c r="W321" s="1" t="str">
        <f>""</f>
        <v/>
      </c>
      <c r="X321" s="1" t="str">
        <f>""</f>
        <v/>
      </c>
      <c r="Y321" s="1" t="str">
        <f>"88"</f>
        <v>88</v>
      </c>
      <c r="Z321" t="str">
        <f>"3452641553"</f>
        <v>3452641553</v>
      </c>
      <c r="AA321" t="str">
        <f>"9581502430"</f>
        <v>9581502430</v>
      </c>
      <c r="AB321" t="str">
        <f>"9526879430"</f>
        <v>9526879430</v>
      </c>
      <c r="AC321" t="str">
        <f>"9581502430"</f>
        <v>9581502430</v>
      </c>
      <c r="AD321" t="str">
        <f>"9526879430"</f>
        <v>9526879430</v>
      </c>
      <c r="AE321" t="str">
        <f>""</f>
        <v/>
      </c>
    </row>
    <row r="322" spans="1:31" x14ac:dyDescent="0.45">
      <c r="A322" t="str">
        <f>"ИНОЗЕМЦЕВ АЛЕКСАНДР АЛЕКСЕЕВИЧ"</f>
        <v>ИНОЗЕМЦЕВ АЛЕКСАНДР АЛЕКСЕЕВИЧ</v>
      </c>
      <c r="B322" t="str">
        <f>"1976-05-16"</f>
        <v>1976-05-16</v>
      </c>
      <c r="C322" t="str">
        <f>"67 09 935756"</f>
        <v>67 09 935756</v>
      </c>
      <c r="D322" t="str">
        <f>"4279016717853073"</f>
        <v>4279016717853073</v>
      </c>
      <c r="E322" t="str">
        <f t="shared" si="54"/>
        <v>2021-05-31</v>
      </c>
      <c r="F322" t="str">
        <f t="shared" ref="F322:G328" si="56">"+"</f>
        <v>+</v>
      </c>
      <c r="G322" t="str">
        <f t="shared" si="56"/>
        <v>+</v>
      </c>
      <c r="H322" t="str">
        <f>"40817810616992355440"</f>
        <v>40817810616992355440</v>
      </c>
      <c r="I322" t="str">
        <f>"5940"</f>
        <v>5940</v>
      </c>
      <c r="J322" t="str">
        <f>"0081"</f>
        <v>0081</v>
      </c>
      <c r="K322" t="str">
        <f>"200000.00"</f>
        <v>200000.00</v>
      </c>
      <c r="L322" t="str">
        <f>"628400 ОБЛ ТЮМЕНСКАЯ АО ХМАО Г СУРГУТ Г СУРГУТ УЛ ЗАПАДНАЯ д. 3 корп. 1"</f>
        <v>628400 ОБЛ ТЮМЕНСКАЯ АО ХМАО Г СУРГУТ Г СУРГУТ УЛ ЗАПАДНАЯ д. 3 корп. 1</v>
      </c>
      <c r="M322" t="str">
        <f t="shared" ref="M322:M385" si="57">"2019-08-24"</f>
        <v>2019-08-24</v>
      </c>
      <c r="N322" t="str">
        <f>"ОАО СУРГУТНЕФТЕГАЗ"</f>
        <v>ОАО СУРГУТНЕФТЕГАЗ</v>
      </c>
      <c r="O322" t="str">
        <f>"628400"</f>
        <v>628400</v>
      </c>
      <c r="P322" t="str">
        <f t="shared" si="55"/>
        <v>ОБЛ ТЮМЕНСКАЯ</v>
      </c>
      <c r="Q322" t="str">
        <f>"АО ХМАО"</f>
        <v>АО ХМАО</v>
      </c>
      <c r="R322" t="str">
        <f>"Г СУРГУТ"</f>
        <v>Г СУРГУТ</v>
      </c>
      <c r="S322" t="str">
        <f>"Г СУРГУТ"</f>
        <v>Г СУРГУТ</v>
      </c>
      <c r="T322" t="str">
        <f>"УЛ 30 ЛЕТ ПОБЕДЫ"</f>
        <v>УЛ 30 ЛЕТ ПОБЕДЫ</v>
      </c>
      <c r="U322" s="1" t="str">
        <f>"44"</f>
        <v>44</v>
      </c>
      <c r="V322" s="1" t="str">
        <f>""</f>
        <v/>
      </c>
      <c r="W322" s="1" t="str">
        <f>"2"</f>
        <v>2</v>
      </c>
      <c r="X322" s="1" t="str">
        <f>""</f>
        <v/>
      </c>
      <c r="Y322" s="1" t="str">
        <f>"88"</f>
        <v>88</v>
      </c>
      <c r="Z322" t="str">
        <f>"9044719636"</f>
        <v>9044719636</v>
      </c>
      <c r="AA322" t="str">
        <f>"3462222126"</f>
        <v>3462222126</v>
      </c>
      <c r="AB322" t="str">
        <f>"9227711159"</f>
        <v>9227711159</v>
      </c>
      <c r="AC322" t="str">
        <f>"3462222126"</f>
        <v>3462222126</v>
      </c>
      <c r="AD322" t="str">
        <f>"9227711159"</f>
        <v>9227711159</v>
      </c>
      <c r="AE322" t="str">
        <f>"9044719636"</f>
        <v>9044719636</v>
      </c>
    </row>
    <row r="323" spans="1:31" x14ac:dyDescent="0.45">
      <c r="A323" t="str">
        <f>"ВЫДРЕНКОВА ИРИНА АНАТОЛЬЕВНА"</f>
        <v>ВЫДРЕНКОВА ИРИНА АНАТОЛЬЕВНА</v>
      </c>
      <c r="B323" t="str">
        <f>"1978-02-28"</f>
        <v>1978-02-28</v>
      </c>
      <c r="C323" t="str">
        <f>"74 14 874669"</f>
        <v>74 14 874669</v>
      </c>
      <c r="D323" t="str">
        <f>"4817810030839879"</f>
        <v>4817810030839879</v>
      </c>
      <c r="E323" t="str">
        <f t="shared" si="54"/>
        <v>2021-05-31</v>
      </c>
      <c r="F323" t="str">
        <f t="shared" si="56"/>
        <v>+</v>
      </c>
      <c r="G323" t="str">
        <f t="shared" si="56"/>
        <v>+</v>
      </c>
      <c r="H323" t="str">
        <f>"40817810116992012759"</f>
        <v>40817810116992012759</v>
      </c>
      <c r="I323" t="str">
        <f>"8369"</f>
        <v>8369</v>
      </c>
      <c r="J323" t="str">
        <f>"0020"</f>
        <v>0020</v>
      </c>
      <c r="K323" t="str">
        <f>"130000.00"</f>
        <v>130000.00</v>
      </c>
      <c r="L323" t="str">
        <f>"629300 ОБЛ ТЮМЕНСКАЯ   Г НОВЫЙ УРЕНГОЙ   УЛ ЮБИЛЕЙНАЯ д. 1 стр. Д"</f>
        <v>629300 ОБЛ ТЮМЕНСКАЯ   Г НОВЫЙ УРЕНГОЙ   УЛ ЮБИЛЕЙНАЯ д. 1 стр. Д</v>
      </c>
      <c r="M323" t="str">
        <f t="shared" si="57"/>
        <v>2019-08-24</v>
      </c>
      <c r="N323" t="str">
        <f>"ГУ МФЦ"</f>
        <v>ГУ МФЦ</v>
      </c>
      <c r="O323" t="str">
        <f>"629303"</f>
        <v>629303</v>
      </c>
      <c r="P323" t="str">
        <f t="shared" si="55"/>
        <v>ОБЛ ТЮМЕНСКАЯ</v>
      </c>
      <c r="Q323" t="str">
        <f>""</f>
        <v/>
      </c>
      <c r="R323" t="str">
        <f>"Г НОВЫЙ УРЕНГОЙ"</f>
        <v>Г НОВЫЙ УРЕНГОЙ</v>
      </c>
      <c r="S323" t="str">
        <f>""</f>
        <v/>
      </c>
      <c r="T323" t="str">
        <f>"МКР ЮБИЛЕЙНЫЙ"</f>
        <v>МКР ЮБИЛЕЙНЫЙ</v>
      </c>
      <c r="U323" s="1" t="str">
        <f>"3"</f>
        <v>3</v>
      </c>
      <c r="V323" s="1" t="str">
        <f>""</f>
        <v/>
      </c>
      <c r="W323" s="1" t="str">
        <f>"4"</f>
        <v>4</v>
      </c>
      <c r="X323" s="1" t="str">
        <f>""</f>
        <v/>
      </c>
      <c r="Y323" s="1" t="str">
        <f>"52"</f>
        <v>52</v>
      </c>
      <c r="Z323" t="str">
        <f>""</f>
        <v/>
      </c>
      <c r="AA323" t="str">
        <f>"9195509719"</f>
        <v>9195509719</v>
      </c>
      <c r="AB323" t="str">
        <f>"9195509719"</f>
        <v>9195509719</v>
      </c>
      <c r="AC323" t="str">
        <f>"9195509719"</f>
        <v>9195509719</v>
      </c>
      <c r="AD323" t="str">
        <f>"9195509719"</f>
        <v>9195509719</v>
      </c>
      <c r="AE323" t="str">
        <f>""</f>
        <v/>
      </c>
    </row>
    <row r="324" spans="1:31" x14ac:dyDescent="0.45">
      <c r="A324" t="str">
        <f>"ВЕРШИНИНА СВЕТЛАНА ГРИГОРЬЕВНА"</f>
        <v>ВЕРШИНИНА СВЕТЛАНА ГРИГОРЬЕВНА</v>
      </c>
      <c r="B324" t="str">
        <f>"1969-10-25"</f>
        <v>1969-10-25</v>
      </c>
      <c r="C324" t="str">
        <f>"71 14 117954"</f>
        <v>71 14 117954</v>
      </c>
      <c r="D324" t="str">
        <f>"4279016700707997"</f>
        <v>4279016700707997</v>
      </c>
      <c r="E324" t="str">
        <f t="shared" si="54"/>
        <v>2021-05-31</v>
      </c>
      <c r="F324" t="str">
        <f t="shared" si="56"/>
        <v>+</v>
      </c>
      <c r="G324" t="str">
        <f t="shared" si="56"/>
        <v>+</v>
      </c>
      <c r="H324" t="str">
        <f>"40817810616992012961"</f>
        <v>40817810616992012961</v>
      </c>
      <c r="I324" t="str">
        <f>"8647"</f>
        <v>8647</v>
      </c>
      <c r="J324" t="str">
        <f>"0026"</f>
        <v>0026</v>
      </c>
      <c r="K324" t="str">
        <f>"37000.00"</f>
        <v>37000.00</v>
      </c>
      <c r="L324" t="str">
        <f>"625000 ОБЛ ТЮМЕНСКАЯ     С ЕМБАЕВО УЛ КАЛИНИНА д. 27А"</f>
        <v>625000 ОБЛ ТЮМЕНСКАЯ     С ЕМБАЕВО УЛ КАЛИНИНА д. 27А</v>
      </c>
      <c r="M324" t="str">
        <f t="shared" si="57"/>
        <v>2019-08-24</v>
      </c>
      <c r="N324" t="str">
        <f>"МУП ЕМБАЕВСКОЕ ЖКХ"</f>
        <v>МУП ЕМБАЕВСКОЕ ЖКХ</v>
      </c>
      <c r="O324" t="str">
        <f>"625000"</f>
        <v>625000</v>
      </c>
      <c r="P324" t="str">
        <f t="shared" si="55"/>
        <v>ОБЛ ТЮМЕНСКАЯ</v>
      </c>
      <c r="Q324" t="str">
        <f>""</f>
        <v/>
      </c>
      <c r="R324" t="str">
        <f>"Г ТЮМЕНЬ"</f>
        <v>Г ТЮМЕНЬ</v>
      </c>
      <c r="S324" t="str">
        <f>"СНТ ДНТ ПОДОРОЖНИК"</f>
        <v>СНТ ДНТ ПОДОРОЖНИК</v>
      </c>
      <c r="T324" t="str">
        <f>"УЛ СОВЕЦКАЯ10 КМ.ВЕЛИЖАЕНСКОГО ТР."</f>
        <v>УЛ СОВЕЦКАЯ10 КМ.ВЕЛИЖАЕНСКОГО ТР.</v>
      </c>
      <c r="U324" s="1" t="str">
        <f>"УЧ15А"</f>
        <v>УЧ15А</v>
      </c>
      <c r="V324" s="1" t="str">
        <f>""</f>
        <v/>
      </c>
      <c r="W324" s="1" t="str">
        <f>""</f>
        <v/>
      </c>
      <c r="X324" s="1" t="str">
        <f>""</f>
        <v/>
      </c>
      <c r="Y324" s="1" t="str">
        <f>""</f>
        <v/>
      </c>
      <c r="Z324" t="str">
        <f>""</f>
        <v/>
      </c>
      <c r="AA324" t="str">
        <f>"9829477112"</f>
        <v>9829477112</v>
      </c>
      <c r="AB324" t="str">
        <f>"9829477112"</f>
        <v>9829477112</v>
      </c>
      <c r="AC324" t="str">
        <f>"9199506091"</f>
        <v>9199506091</v>
      </c>
      <c r="AD324" t="str">
        <f>"9829477112"</f>
        <v>9829477112</v>
      </c>
      <c r="AE324" t="str">
        <f>""</f>
        <v/>
      </c>
    </row>
    <row r="325" spans="1:31" x14ac:dyDescent="0.45">
      <c r="A325" t="str">
        <f>"СОРОКИНА ЛЮБОВЬ СТЕПАНОВНА"</f>
        <v>СОРОКИНА ЛЮБОВЬ СТЕПАНОВНА</v>
      </c>
      <c r="B325" t="str">
        <f>"1954-10-04"</f>
        <v>1954-10-04</v>
      </c>
      <c r="C325" t="str">
        <f>"71 02 820070"</f>
        <v>71 02 820070</v>
      </c>
      <c r="D325" t="str">
        <f>"5313100753710408"</f>
        <v>5313100753710408</v>
      </c>
      <c r="E325" t="str">
        <f>"2021-03-31"</f>
        <v>2021-03-31</v>
      </c>
      <c r="F325" t="str">
        <f t="shared" si="56"/>
        <v>+</v>
      </c>
      <c r="G325" t="str">
        <f t="shared" si="56"/>
        <v>+</v>
      </c>
      <c r="H325" t="str">
        <f>"40817810716992234827"</f>
        <v>40817810716992234827</v>
      </c>
      <c r="I325" t="str">
        <f>"8647"</f>
        <v>8647</v>
      </c>
      <c r="J325" t="str">
        <f>"0175"</f>
        <v>0175</v>
      </c>
      <c r="K325" t="str">
        <f>"60000.00"</f>
        <v>60000.00</v>
      </c>
      <c r="L325" t="str">
        <f>"625000 ОБЛ ТЮМЕНСКАЯ   Г ТЮМЕНЬ   УЛ ПАРФЕНОВА д. 17 кв. 59"</f>
        <v>625000 ОБЛ ТЮМЕНСКАЯ   Г ТЮМЕНЬ   УЛ ПАРФЕНОВА д. 17 кв. 59</v>
      </c>
      <c r="M325" t="str">
        <f t="shared" si="57"/>
        <v>2019-08-24</v>
      </c>
      <c r="N325" t="str">
        <f>"ПЕНСИОНЕР"</f>
        <v>ПЕНСИОНЕР</v>
      </c>
      <c r="O325" t="str">
        <f>"625000"</f>
        <v>625000</v>
      </c>
      <c r="P325" t="str">
        <f t="shared" si="55"/>
        <v>ОБЛ ТЮМЕНСКАЯ</v>
      </c>
      <c r="Q325" t="str">
        <f>""</f>
        <v/>
      </c>
      <c r="R325" t="str">
        <f>"Г ТЮМЕНИ"</f>
        <v>Г ТЮМЕНИ</v>
      </c>
      <c r="S325" t="str">
        <f>""</f>
        <v/>
      </c>
      <c r="T325" t="str">
        <f>"УЛ ПАРФЕНОВА"</f>
        <v>УЛ ПАРФЕНОВА</v>
      </c>
      <c r="U325" s="1" t="str">
        <f>"17"</f>
        <v>17</v>
      </c>
      <c r="V325" s="1" t="str">
        <f>""</f>
        <v/>
      </c>
      <c r="W325" s="1" t="str">
        <f>""</f>
        <v/>
      </c>
      <c r="X325" s="1" t="str">
        <f>""</f>
        <v/>
      </c>
      <c r="Y325" s="1" t="str">
        <f>"59"</f>
        <v>59</v>
      </c>
      <c r="Z325" t="str">
        <f>""</f>
        <v/>
      </c>
      <c r="AA325" t="str">
        <f>"9088737646"</f>
        <v>9088737646</v>
      </c>
      <c r="AB325" t="str">
        <f>"9523410163"</f>
        <v>9523410163</v>
      </c>
      <c r="AC325" t="str">
        <f>"9088737646"</f>
        <v>9088737646</v>
      </c>
      <c r="AD325" t="str">
        <f>"9523410163"</f>
        <v>9523410163</v>
      </c>
      <c r="AE325" t="str">
        <f>""</f>
        <v/>
      </c>
    </row>
    <row r="326" spans="1:31" x14ac:dyDescent="0.45">
      <c r="A326" t="str">
        <f>"ЖУРАВЕЛЬ ЯНА ВАЛЕРЬЕВНА"</f>
        <v>ЖУРАВЕЛЬ ЯНА ВАЛЕРЬЕВНА</v>
      </c>
      <c r="B326" t="str">
        <f>"1978-10-24"</f>
        <v>1978-10-24</v>
      </c>
      <c r="C326" t="str">
        <f>"71 03 950939"</f>
        <v>71 03 950939</v>
      </c>
      <c r="D326" t="str">
        <f>"4854630377443620"</f>
        <v>4854630377443620</v>
      </c>
      <c r="E326" t="str">
        <f>"2021-04-30"</f>
        <v>2021-04-30</v>
      </c>
      <c r="F326" t="str">
        <f t="shared" si="56"/>
        <v>+</v>
      </c>
      <c r="G326" t="str">
        <f t="shared" si="56"/>
        <v>+</v>
      </c>
      <c r="H326" t="str">
        <f>"40817810816992652192"</f>
        <v>40817810816992652192</v>
      </c>
      <c r="I326" t="str">
        <f>"8647"</f>
        <v>8647</v>
      </c>
      <c r="J326" t="str">
        <f>"0112"</f>
        <v>0112</v>
      </c>
      <c r="K326" t="str">
        <f>"30000.00"</f>
        <v>30000.00</v>
      </c>
      <c r="L326" t="str">
        <f>"625000 ОБЛ ТЮМЕНСКАЯ   Г ТЮМЕНЬ   УЛ МЕЛЬНИКАЙТЕ д. 102"</f>
        <v>625000 ОБЛ ТЮМЕНСКАЯ   Г ТЮМЕНЬ   УЛ МЕЛЬНИКАЙТЕ д. 102</v>
      </c>
      <c r="M326" t="str">
        <f t="shared" si="57"/>
        <v>2019-08-24</v>
      </c>
      <c r="N326" t="str">
        <f>"ОАО МК СИС ЮВЕЛИРНЫЙ САЛОН ЗОЛ"</f>
        <v>ОАО МК СИС ЮВЕЛИРНЫЙ САЛОН ЗОЛ</v>
      </c>
      <c r="O326" t="str">
        <f>"625000"</f>
        <v>625000</v>
      </c>
      <c r="P326" t="str">
        <f t="shared" si="55"/>
        <v>ОБЛ ТЮМЕНСКАЯ</v>
      </c>
      <c r="Q326" t="str">
        <f>""</f>
        <v/>
      </c>
      <c r="R326" t="str">
        <f>"Г ТЮМЕНЬ"</f>
        <v>Г ТЮМЕНЬ</v>
      </c>
      <c r="S326" t="str">
        <f>""</f>
        <v/>
      </c>
      <c r="T326" t="str">
        <f>"УЛ МОТОРОСТРОИТЕЛЕЙ"</f>
        <v>УЛ МОТОРОСТРОИТЕЛЕЙ</v>
      </c>
      <c r="U326" s="1" t="str">
        <f>"1"</f>
        <v>1</v>
      </c>
      <c r="V326" s="1" t="str">
        <f>""</f>
        <v/>
      </c>
      <c r="W326" s="1" t="str">
        <f>""</f>
        <v/>
      </c>
      <c r="X326" s="1" t="str">
        <f>""</f>
        <v/>
      </c>
      <c r="Y326" s="1" t="str">
        <f>"52"</f>
        <v>52</v>
      </c>
      <c r="Z326" t="str">
        <f>"9222602097"</f>
        <v>9222602097</v>
      </c>
      <c r="AA326" t="str">
        <f>"9222602097"</f>
        <v>9222602097</v>
      </c>
      <c r="AB326" t="str">
        <f>"9091842541"</f>
        <v>9091842541</v>
      </c>
      <c r="AC326" t="str">
        <f>"9222602097"</f>
        <v>9222602097</v>
      </c>
      <c r="AD326" t="str">
        <f>"9091842541"</f>
        <v>9091842541</v>
      </c>
      <c r="AE326" t="str">
        <f>"9222602097"</f>
        <v>9222602097</v>
      </c>
    </row>
    <row r="327" spans="1:31" x14ac:dyDescent="0.45">
      <c r="A327" t="str">
        <f>"ВАХНЕР ИРИНА ЮРЬЕВНА"</f>
        <v>ВАХНЕР ИРИНА ЮРЬЕВНА</v>
      </c>
      <c r="B327" t="str">
        <f>"1963-12-24"</f>
        <v>1963-12-24</v>
      </c>
      <c r="C327" t="str">
        <f>"75 08 385501"</f>
        <v>75 08 385501</v>
      </c>
      <c r="D327" t="str">
        <f>"4854630366999558"</f>
        <v>4854630366999558</v>
      </c>
      <c r="E327" t="str">
        <f>"2021-04-30"</f>
        <v>2021-04-30</v>
      </c>
      <c r="F327" t="str">
        <f t="shared" si="56"/>
        <v>+</v>
      </c>
      <c r="G327" t="str">
        <f t="shared" si="56"/>
        <v>+</v>
      </c>
      <c r="H327" t="str">
        <f>"40817810016991427364"</f>
        <v>40817810016991427364</v>
      </c>
      <c r="I327" t="str">
        <f>"8597"</f>
        <v>8597</v>
      </c>
      <c r="J327" t="str">
        <f>"0307"</f>
        <v>0307</v>
      </c>
      <c r="K327" t="str">
        <f>"30000.00"</f>
        <v>30000.00</v>
      </c>
      <c r="L327" t="str">
        <f>"454000 ОБЛ ЧЕЛЯБИНСКАЯ   Г КОПЕЙСК   УЛ БОРЬБЫ д. 14"</f>
        <v>454000 ОБЛ ЧЕЛЯБИНСКАЯ   Г КОПЕЙСК   УЛ БОРЬБЫ д. 14</v>
      </c>
      <c r="M327" t="str">
        <f t="shared" si="57"/>
        <v>2019-08-24</v>
      </c>
      <c r="N327" t="str">
        <f>"ГОР. БОЛЬНИЦА"</f>
        <v>ГОР. БОЛЬНИЦА</v>
      </c>
      <c r="O327" t="str">
        <f>"456609"</f>
        <v>456609</v>
      </c>
      <c r="P327" t="str">
        <f>"ОБЛ ЧЕЛЯБИНСКАЯ"</f>
        <v>ОБЛ ЧЕЛЯБИНСКАЯ</v>
      </c>
      <c r="Q327" t="str">
        <f>""</f>
        <v/>
      </c>
      <c r="R327" t="str">
        <f>"Г КОПЕЙСК"</f>
        <v>Г КОПЕЙСК</v>
      </c>
      <c r="S327" t="str">
        <f>""</f>
        <v/>
      </c>
      <c r="T327" t="str">
        <f>"УЛ НЕКРАСОВА"</f>
        <v>УЛ НЕКРАСОВА</v>
      </c>
      <c r="U327" s="1" t="str">
        <f>"135"</f>
        <v>135</v>
      </c>
      <c r="V327" s="1" t="str">
        <f>""</f>
        <v/>
      </c>
      <c r="W327" s="1" t="str">
        <f>""</f>
        <v/>
      </c>
      <c r="X327" s="1" t="str">
        <f>""</f>
        <v/>
      </c>
      <c r="Y327" s="1" t="str">
        <f>""</f>
        <v/>
      </c>
      <c r="Z327" t="str">
        <f>""</f>
        <v/>
      </c>
      <c r="AA327" t="str">
        <f>"+7 (952) 5134414"</f>
        <v>+7 (952) 5134414</v>
      </c>
      <c r="AB327" t="str">
        <f>"+7 (952) 5247390"</f>
        <v>+7 (952) 5247390</v>
      </c>
      <c r="AC327" t="str">
        <f>"9525134414"</f>
        <v>9525134414</v>
      </c>
      <c r="AD327" t="str">
        <f>"9514886089"</f>
        <v>9514886089</v>
      </c>
      <c r="AE327" t="str">
        <f>""</f>
        <v/>
      </c>
    </row>
    <row r="328" spans="1:31" x14ac:dyDescent="0.45">
      <c r="A328" t="str">
        <f>"ЛЕПЕШКИНА ОЛЬГА ЮРЬЕВНА"</f>
        <v>ЛЕПЕШКИНА ОЛЬГА ЮРЬЕВНА</v>
      </c>
      <c r="B328" t="str">
        <f>"1982-10-08"</f>
        <v>1982-10-08</v>
      </c>
      <c r="C328" t="str">
        <f>"71 09 725389"</f>
        <v>71 09 725389</v>
      </c>
      <c r="D328" t="str">
        <f>"4279016711915332"</f>
        <v>4279016711915332</v>
      </c>
      <c r="E328" t="str">
        <f t="shared" ref="E328:E341" si="58">"2021-05-31"</f>
        <v>2021-05-31</v>
      </c>
      <c r="F328" t="str">
        <f t="shared" si="56"/>
        <v>+</v>
      </c>
      <c r="G328" t="str">
        <f t="shared" si="56"/>
        <v>+</v>
      </c>
      <c r="H328" t="str">
        <f>"40817810216992013072"</f>
        <v>40817810216992013072</v>
      </c>
      <c r="I328" t="str">
        <f>"8647"</f>
        <v>8647</v>
      </c>
      <c r="J328" t="str">
        <f>"0176"</f>
        <v>0176</v>
      </c>
      <c r="K328" t="str">
        <f>"145000.00"</f>
        <v>145000.00</v>
      </c>
      <c r="L328" t="str">
        <f>"625000 ОБЛ ТЮМЕНСКАЯ   Г ТЮМЕНЬ   УЛ ХАРЬКОВСКАЯ д. 72"</f>
        <v>625000 ОБЛ ТЮМЕНСКАЯ   Г ТЮМЕНЬ   УЛ ХАРЬКОВСКАЯ д. 72</v>
      </c>
      <c r="M328" t="str">
        <f t="shared" si="57"/>
        <v>2019-08-24</v>
      </c>
      <c r="N328" t="str">
        <f>"ОАО ТЮМЕНЬ-ДИЗЕЛЬ"</f>
        <v>ОАО ТЮМЕНЬ-ДИЗЕЛЬ</v>
      </c>
      <c r="O328" t="str">
        <f>"625000"</f>
        <v>625000</v>
      </c>
      <c r="P328" t="str">
        <f>"ОБЛ ТЮМЕНСКАЯ"</f>
        <v>ОБЛ ТЮМЕНСКАЯ</v>
      </c>
      <c r="Q328" t="str">
        <f>""</f>
        <v/>
      </c>
      <c r="R328" t="str">
        <f>"Г ТЮМЕНЬ"</f>
        <v>Г ТЮМЕНЬ</v>
      </c>
      <c r="S328" t="str">
        <f>""</f>
        <v/>
      </c>
      <c r="T328" t="str">
        <f>"УЛ ДОМОСТРОИТЕЛЕЙ"</f>
        <v>УЛ ДОМОСТРОИТЕЛЕЙ</v>
      </c>
      <c r="U328" s="1" t="str">
        <f>"34"</f>
        <v>34</v>
      </c>
      <c r="V328" s="1" t="str">
        <f>""</f>
        <v/>
      </c>
      <c r="W328" s="1" t="str">
        <f>""</f>
        <v/>
      </c>
      <c r="X328" s="1" t="str">
        <f>""</f>
        <v/>
      </c>
      <c r="Y328" s="1" t="str">
        <f>"36"</f>
        <v>36</v>
      </c>
      <c r="Z328" t="str">
        <f>""</f>
        <v/>
      </c>
      <c r="AA328" t="str">
        <f>"9220020744"</f>
        <v>9220020744</v>
      </c>
      <c r="AB328" t="str">
        <f>"9058218888"</f>
        <v>9058218888</v>
      </c>
      <c r="AC328" t="str">
        <f>"9220020744"</f>
        <v>9220020744</v>
      </c>
      <c r="AD328" t="str">
        <f>"9058218888"</f>
        <v>9058218888</v>
      </c>
      <c r="AE328" t="str">
        <f>""</f>
        <v/>
      </c>
    </row>
    <row r="329" spans="1:31" x14ac:dyDescent="0.45">
      <c r="A329" t="str">
        <f>"ХАЙДАРОВ ВАДИМ ДАМИРОВИЧ"</f>
        <v>ХАЙДАРОВ ВАДИМ ДАМИРОВИЧ</v>
      </c>
      <c r="B329" t="str">
        <f>"1988-07-30"</f>
        <v>1988-07-30</v>
      </c>
      <c r="C329" t="str">
        <f>"67 10 110492"</f>
        <v>67 10 110492</v>
      </c>
      <c r="D329" t="str">
        <f>"4279016724358405"</f>
        <v>4279016724358405</v>
      </c>
      <c r="E329" t="str">
        <f t="shared" si="58"/>
        <v>2021-05-31</v>
      </c>
      <c r="F329" t="str">
        <f>"K"</f>
        <v>K</v>
      </c>
      <c r="G329" t="str">
        <f>"Q"</f>
        <v>Q</v>
      </c>
      <c r="H329" t="str">
        <f>"40817810616992400117"</f>
        <v>40817810616992400117</v>
      </c>
      <c r="I329" t="str">
        <f>"8647"</f>
        <v>8647</v>
      </c>
      <c r="J329" t="str">
        <f>"0112"</f>
        <v>0112</v>
      </c>
      <c r="K329" t="str">
        <f>"0.00"</f>
        <v>0.00</v>
      </c>
      <c r="L329" t="str">
        <f>"625032 ОБЛ ТЮМЕНСКАЯ   Г СУРГУТ   УЛ ПРОСПЕКТ ЛЕНИНА д. 75"</f>
        <v>625032 ОБЛ ТЮМЕНСКАЯ   Г СУРГУТ   УЛ ПРОСПЕКТ ЛЕНИНА д. 75</v>
      </c>
      <c r="M329" t="str">
        <f t="shared" si="57"/>
        <v>2019-08-24</v>
      </c>
      <c r="N329" t="str">
        <f>"ОАО СУРГУТНЕФТЕГАЗ"</f>
        <v>ОАО СУРГУТНЕФТЕГАЗ</v>
      </c>
      <c r="O329" t="str">
        <f>"625032"</f>
        <v>625032</v>
      </c>
      <c r="P329" t="str">
        <f>"ОБЛ ТЮМЕНСКАЯ"</f>
        <v>ОБЛ ТЮМЕНСКАЯ</v>
      </c>
      <c r="Q329" t="str">
        <f>""</f>
        <v/>
      </c>
      <c r="R329" t="str">
        <f>"Г ТЮМЕНЬ"</f>
        <v>Г ТЮМЕНЬ</v>
      </c>
      <c r="S329" t="str">
        <f>""</f>
        <v/>
      </c>
      <c r="T329" t="str">
        <f>"УЛ ВАСИЛИЯ ПОДШИБЯКИНА"</f>
        <v>УЛ ВАСИЛИЯ ПОДШИБЯКИНА</v>
      </c>
      <c r="U329" s="1" t="str">
        <f>"19"</f>
        <v>19</v>
      </c>
      <c r="V329" s="1" t="str">
        <f>""</f>
        <v/>
      </c>
      <c r="W329" s="1" t="str">
        <f>""</f>
        <v/>
      </c>
      <c r="X329" s="1" t="str">
        <f>""</f>
        <v/>
      </c>
      <c r="Y329" s="1" t="str">
        <f>"246"</f>
        <v>246</v>
      </c>
      <c r="Z329" t="str">
        <f>"495 3510561"</f>
        <v>495 3510561</v>
      </c>
      <c r="AA329" t="str">
        <f>"9292612611"</f>
        <v>9292612611</v>
      </c>
      <c r="AB329" t="str">
        <f>"9821599955"</f>
        <v>9821599955</v>
      </c>
      <c r="AC329" t="str">
        <f>"9292612611"</f>
        <v>9292612611</v>
      </c>
      <c r="AD329" t="str">
        <f>"9821599955"</f>
        <v>9821599955</v>
      </c>
      <c r="AE329" t="str">
        <f>""</f>
        <v/>
      </c>
    </row>
    <row r="330" spans="1:31" x14ac:dyDescent="0.45">
      <c r="A330" t="str">
        <f>"БУЛЫГИН ГЕОРГИЙ АЛЕКСАНДРОВИЧ"</f>
        <v>БУЛЫГИН ГЕОРГИЙ АЛЕКСАНДРОВИЧ</v>
      </c>
      <c r="B330" t="str">
        <f>"1984-08-24"</f>
        <v>1984-08-24</v>
      </c>
      <c r="C330" t="str">
        <f>"80 05 508886"</f>
        <v>80 05 508886</v>
      </c>
      <c r="D330" t="str">
        <f>"4279016746373192"</f>
        <v>4279016746373192</v>
      </c>
      <c r="E330" t="str">
        <f t="shared" si="58"/>
        <v>2021-05-31</v>
      </c>
      <c r="F330" t="str">
        <f t="shared" ref="F330:G333" si="59">"+"</f>
        <v>+</v>
      </c>
      <c r="G330" t="str">
        <f t="shared" si="59"/>
        <v>+</v>
      </c>
      <c r="H330" t="str">
        <f>"40817810216992400180"</f>
        <v>40817810216992400180</v>
      </c>
      <c r="I330" t="str">
        <f>"5940"</f>
        <v>5940</v>
      </c>
      <c r="J330" t="str">
        <f>"0071"</f>
        <v>0071</v>
      </c>
      <c r="K330" t="str">
        <f>"270000.00"</f>
        <v>270000.00</v>
      </c>
      <c r="L330" t="str">
        <f>"628481 ОБЛ ТЮМЕНСКАЯ   Г КОГАЛЫМ   УЛ ЦЕНТРАЛЬНАЯ д. 15"</f>
        <v>628481 ОБЛ ТЮМЕНСКАЯ   Г КОГАЛЫМ   УЛ ЦЕНТРАЛЬНАЯ д. 15</v>
      </c>
      <c r="M330" t="str">
        <f t="shared" si="57"/>
        <v>2019-08-24</v>
      </c>
      <c r="N330" t="str">
        <f>"ООО АРГОС"</f>
        <v>ООО АРГОС</v>
      </c>
      <c r="O330" t="str">
        <f>"450000"</f>
        <v>450000</v>
      </c>
      <c r="P330" t="str">
        <f>"РЕСП БАШКОРТОСТАН"</f>
        <v>РЕСП БАШКОРТОСТАН</v>
      </c>
      <c r="Q330" t="str">
        <f>""</f>
        <v/>
      </c>
      <c r="R330" t="str">
        <f>"Г БЕЛЕБЕЙ"</f>
        <v>Г БЕЛЕБЕЙ</v>
      </c>
      <c r="S330" t="str">
        <f>""</f>
        <v/>
      </c>
      <c r="T330" t="str">
        <f>"УЛ ВОЛГОГРАДСКАЯ"</f>
        <v>УЛ ВОЛГОГРАДСКАЯ</v>
      </c>
      <c r="U330" s="1" t="str">
        <f>"4"</f>
        <v>4</v>
      </c>
      <c r="V330" s="1" t="str">
        <f>""</f>
        <v/>
      </c>
      <c r="W330" s="1" t="str">
        <f>""</f>
        <v/>
      </c>
      <c r="X330" s="1" t="str">
        <f>""</f>
        <v/>
      </c>
      <c r="Y330" s="1" t="str">
        <f>"62"</f>
        <v>62</v>
      </c>
      <c r="Z330" t="str">
        <f>"9224421302"</f>
        <v>9224421302</v>
      </c>
      <c r="AA330" t="str">
        <f>"9519782778"</f>
        <v>9519782778</v>
      </c>
      <c r="AB330" t="str">
        <f>"9519782778"</f>
        <v>9519782778</v>
      </c>
      <c r="AC330" t="str">
        <f>"9519782778"</f>
        <v>9519782778</v>
      </c>
      <c r="AD330" t="str">
        <f>"9519782778"</f>
        <v>9519782778</v>
      </c>
      <c r="AE330" t="str">
        <f>""</f>
        <v/>
      </c>
    </row>
    <row r="331" spans="1:31" x14ac:dyDescent="0.45">
      <c r="A331" t="str">
        <f>"КАНТИМИРОВ ТИМУР НАИЛЕВИЧ"</f>
        <v>КАНТИМИРОВ ТИМУР НАИЛЕВИЧ</v>
      </c>
      <c r="B331" t="str">
        <f>"1984-03-14"</f>
        <v>1984-03-14</v>
      </c>
      <c r="C331" t="str">
        <f>"67 04 184739"</f>
        <v>67 04 184739</v>
      </c>
      <c r="D331" t="str">
        <f>"4279016732559341"</f>
        <v>4279016732559341</v>
      </c>
      <c r="E331" t="str">
        <f t="shared" si="58"/>
        <v>2021-05-31</v>
      </c>
      <c r="F331" t="str">
        <f t="shared" si="59"/>
        <v>+</v>
      </c>
      <c r="G331" t="str">
        <f t="shared" si="59"/>
        <v>+</v>
      </c>
      <c r="H331" t="str">
        <f>"40817810316992013163"</f>
        <v>40817810316992013163</v>
      </c>
      <c r="I331" t="str">
        <f>"1791"</f>
        <v>1791</v>
      </c>
      <c r="J331" t="str">
        <f>"0102"</f>
        <v>0102</v>
      </c>
      <c r="K331" t="str">
        <f>"16000.00"</f>
        <v>16000.00</v>
      </c>
      <c r="L331" t="str">
        <f>"628187 ОБЛ ТЮМЕНСКАЯ   Г НЯГАНЬ   УЛ 29 д. 1"</f>
        <v>628187 ОБЛ ТЮМЕНСКАЯ   Г НЯГАНЬ   УЛ 29 д. 1</v>
      </c>
      <c r="M331" t="str">
        <f t="shared" si="57"/>
        <v>2019-08-24</v>
      </c>
      <c r="N331" t="str">
        <f>"НЯГАНЬГАЗПЕРЕРАБОТКА"</f>
        <v>НЯГАНЬГАЗПЕРЕРАБОТКА</v>
      </c>
      <c r="O331" t="str">
        <f>"628181"</f>
        <v>628181</v>
      </c>
      <c r="P331" t="str">
        <f>"ОБЛ ТЮМЕНСКАЯ"</f>
        <v>ОБЛ ТЮМЕНСКАЯ</v>
      </c>
      <c r="Q331" t="str">
        <f>""</f>
        <v/>
      </c>
      <c r="R331" t="str">
        <f>"Г НЯГАНЬ"</f>
        <v>Г НЯГАНЬ</v>
      </c>
      <c r="S331" t="str">
        <f>""</f>
        <v/>
      </c>
      <c r="T331" t="str">
        <f>"УЛ 1-Й"</f>
        <v>УЛ 1-Й</v>
      </c>
      <c r="U331" s="1" t="str">
        <f>""</f>
        <v/>
      </c>
      <c r="V331" s="1" t="str">
        <f>""</f>
        <v/>
      </c>
      <c r="W331" s="1" t="str">
        <f>""</f>
        <v/>
      </c>
      <c r="X331" s="1" t="str">
        <f>""</f>
        <v/>
      </c>
      <c r="Y331" s="1" t="str">
        <f>""</f>
        <v/>
      </c>
      <c r="Z331" t="str">
        <f>"3467297601"</f>
        <v>3467297601</v>
      </c>
      <c r="AA331" t="str">
        <f>"3467297601"</f>
        <v>3467297601</v>
      </c>
      <c r="AB331" t="str">
        <f>"9129087511"</f>
        <v>9129087511</v>
      </c>
      <c r="AC331" t="str">
        <f>"3467297601"</f>
        <v>3467297601</v>
      </c>
      <c r="AD331" t="str">
        <f>"9129087511"</f>
        <v>9129087511</v>
      </c>
      <c r="AE331" t="str">
        <f>"3467297601"</f>
        <v>3467297601</v>
      </c>
    </row>
    <row r="332" spans="1:31" x14ac:dyDescent="0.45">
      <c r="A332" t="str">
        <f>"ХАЙДУКОВА ОЛЕСЯ АЙДЫНОВНА"</f>
        <v>ХАЙДУКОВА ОЛЕСЯ АЙДЫНОВНА</v>
      </c>
      <c r="B332" t="str">
        <f>"1988-12-02"</f>
        <v>1988-12-02</v>
      </c>
      <c r="C332" t="str">
        <f>"65 12 522978"</f>
        <v>65 12 522978</v>
      </c>
      <c r="D332" t="str">
        <f>"4279011633124931"</f>
        <v>4279011633124931</v>
      </c>
      <c r="E332" t="str">
        <f t="shared" si="58"/>
        <v>2021-05-31</v>
      </c>
      <c r="F332" t="str">
        <f t="shared" si="59"/>
        <v>+</v>
      </c>
      <c r="G332" t="str">
        <f t="shared" si="59"/>
        <v>+</v>
      </c>
      <c r="H332" t="str">
        <f>"40817810916991427341"</f>
        <v>40817810916991427341</v>
      </c>
      <c r="I332" t="str">
        <f>"7003"</f>
        <v>7003</v>
      </c>
      <c r="J332" t="str">
        <f>"0737"</f>
        <v>0737</v>
      </c>
      <c r="K332" t="str">
        <f>"13000.00"</f>
        <v>13000.00</v>
      </c>
      <c r="L332" t="str">
        <f>"620000 ОБЛ СВЕРДЛОВСКАЯ   Г НИЖНИЙ ТАГИЛ   УЛ КРУПСКАЯ д. 3 стр. 3"</f>
        <v>620000 ОБЛ СВЕРДЛОВСКАЯ   Г НИЖНИЙ ТАГИЛ   УЛ КРУПСКАЯ д. 3 стр. 3</v>
      </c>
      <c r="M332" t="str">
        <f t="shared" si="57"/>
        <v>2019-08-24</v>
      </c>
      <c r="N332" t="s">
        <v>45</v>
      </c>
      <c r="O332" t="str">
        <f>"620000"</f>
        <v>620000</v>
      </c>
      <c r="P332" t="str">
        <f>"ОБЛ СВЕРДЛОВСКАЯ"</f>
        <v>ОБЛ СВЕРДЛОВСКАЯ</v>
      </c>
      <c r="Q332" t="str">
        <f>""</f>
        <v/>
      </c>
      <c r="R332" t="str">
        <f>"Г НИЖНИЙ ТАГИЛ"</f>
        <v>Г НИЖНИЙ ТАГИЛ</v>
      </c>
      <c r="S332" t="str">
        <f>""</f>
        <v/>
      </c>
      <c r="T332" t="str">
        <f>"УЛ ВАТУТИНА"</f>
        <v>УЛ ВАТУТИНА</v>
      </c>
      <c r="U332" s="1" t="str">
        <f>"52"</f>
        <v>52</v>
      </c>
      <c r="V332" s="1" t="str">
        <f>""</f>
        <v/>
      </c>
      <c r="W332" s="1" t="str">
        <f>""</f>
        <v/>
      </c>
      <c r="X332" s="1" t="str">
        <f>""</f>
        <v/>
      </c>
      <c r="Y332" s="1" t="str">
        <f>"53"</f>
        <v>53</v>
      </c>
      <c r="Z332" t="str">
        <f>"3435379232"</f>
        <v>3435379232</v>
      </c>
      <c r="AA332" t="str">
        <f>"3435334723"</f>
        <v>3435334723</v>
      </c>
      <c r="AB332" t="str">
        <f>"9222264200"</f>
        <v>9222264200</v>
      </c>
      <c r="AC332" t="str">
        <f>"9226146226"</f>
        <v>9226146226</v>
      </c>
      <c r="AD332" t="str">
        <f>"9222264200"</f>
        <v>9222264200</v>
      </c>
      <c r="AE332" t="str">
        <f>""</f>
        <v/>
      </c>
    </row>
    <row r="333" spans="1:31" x14ac:dyDescent="0.45">
      <c r="A333" t="str">
        <f>"БЕЛЯЕВА АННА АНАТОЛЬЕВНА"</f>
        <v>БЕЛЯЕВА АННА АНАТОЛЬЕВНА</v>
      </c>
      <c r="B333" t="str">
        <f>"1985-12-18"</f>
        <v>1985-12-18</v>
      </c>
      <c r="C333" t="str">
        <f>"65 08 480553"</f>
        <v>65 08 480553</v>
      </c>
      <c r="D333" t="str">
        <f>"4279011639041535"</f>
        <v>4279011639041535</v>
      </c>
      <c r="E333" t="str">
        <f t="shared" si="58"/>
        <v>2021-05-31</v>
      </c>
      <c r="F333" t="str">
        <f t="shared" si="59"/>
        <v>+</v>
      </c>
      <c r="G333" t="str">
        <f t="shared" si="59"/>
        <v>+</v>
      </c>
      <c r="H333" t="str">
        <f>"40817810216991427342"</f>
        <v>40817810216991427342</v>
      </c>
      <c r="I333" t="str">
        <f>"7003"</f>
        <v>7003</v>
      </c>
      <c r="J333" t="str">
        <f>"0806"</f>
        <v>0806</v>
      </c>
      <c r="K333" t="str">
        <f>"200000.00"</f>
        <v>200000.00</v>
      </c>
      <c r="L333" t="str">
        <f>"620000 ОБЛ СВЕРДЛОВСКАЯ   Г ВЕРХНЯЯ САЛДА   УЛ ЭНГЕЛЬСА д. 61"</f>
        <v>620000 ОБЛ СВЕРДЛОВСКАЯ   Г ВЕРХНЯЯ САЛДА   УЛ ЭНГЕЛЬСА д. 61</v>
      </c>
      <c r="M333" t="str">
        <f t="shared" si="57"/>
        <v>2019-08-24</v>
      </c>
      <c r="N333" t="str">
        <f>"ООО ВИКТОРИЯ"</f>
        <v>ООО ВИКТОРИЯ</v>
      </c>
      <c r="O333" t="str">
        <f>"620000"</f>
        <v>620000</v>
      </c>
      <c r="P333" t="str">
        <f>"ОБЛ СВЕРДЛОВСКАЯ"</f>
        <v>ОБЛ СВЕРДЛОВСКАЯ</v>
      </c>
      <c r="Q333" t="str">
        <f>""</f>
        <v/>
      </c>
      <c r="R333" t="str">
        <f>"Г ВЕРХНЯЯ САЛДА"</f>
        <v>Г ВЕРХНЯЯ САЛДА</v>
      </c>
      <c r="S333" t="str">
        <f>""</f>
        <v/>
      </c>
      <c r="T333" t="str">
        <f>"УЛ ЭНГЕЛЬСА"</f>
        <v>УЛ ЭНГЕЛЬСА</v>
      </c>
      <c r="U333" s="1" t="str">
        <f>"81"</f>
        <v>81</v>
      </c>
      <c r="V333" s="1" t="str">
        <f>""</f>
        <v/>
      </c>
      <c r="W333" s="1" t="str">
        <f>"4"</f>
        <v>4</v>
      </c>
      <c r="X333" s="1" t="str">
        <f>""</f>
        <v/>
      </c>
      <c r="Y333" s="1" t="str">
        <f>"32"</f>
        <v>32</v>
      </c>
      <c r="Z333" t="str">
        <f>"9530021238"</f>
        <v>9530021238</v>
      </c>
      <c r="AA333" t="str">
        <f>"9089290097"</f>
        <v>9089290097</v>
      </c>
      <c r="AB333" t="str">
        <f>"9089290097"</f>
        <v>9089290097</v>
      </c>
      <c r="AC333" t="str">
        <f>"9089290097"</f>
        <v>9089290097</v>
      </c>
      <c r="AD333" t="str">
        <f>"9089290097"</f>
        <v>9089290097</v>
      </c>
      <c r="AE333" t="str">
        <f>"9530021238"</f>
        <v>9530021238</v>
      </c>
    </row>
    <row r="334" spans="1:31" x14ac:dyDescent="0.45">
      <c r="A334" t="str">
        <f>"АФАНАСЕНКОВА ЛЮБОВЬ АЛЕКСАНДРОВНА"</f>
        <v>АФАНАСЕНКОВА ЛЮБОВЬ АЛЕКСАНДРОВНА</v>
      </c>
      <c r="B334" t="str">
        <f>"1957-12-11"</f>
        <v>1957-12-11</v>
      </c>
      <c r="C334" t="str">
        <f>"67 02 907785"</f>
        <v>67 02 907785</v>
      </c>
      <c r="D334" t="str">
        <f>"4279011664106856"</f>
        <v>4279011664106856</v>
      </c>
      <c r="E334" t="str">
        <f t="shared" si="58"/>
        <v>2021-05-31</v>
      </c>
      <c r="F334" t="str">
        <f>"K"</f>
        <v>K</v>
      </c>
      <c r="G334" t="str">
        <f>"+"</f>
        <v>+</v>
      </c>
      <c r="H334" t="str">
        <f>"40817810516991427343"</f>
        <v>40817810516991427343</v>
      </c>
      <c r="I334" t="str">
        <f>"7003"</f>
        <v>7003</v>
      </c>
      <c r="J334" t="str">
        <f>"0467"</f>
        <v>0467</v>
      </c>
      <c r="K334" t="str">
        <f>"115000.00"</f>
        <v>115000.00</v>
      </c>
      <c r="L334" t="str">
        <f>"628000 ОБЛ ТЮМЕНСКАЯ   Г НЯГОНЬ   МКР 1-Й д. 29 корп. Г"</f>
        <v>628000 ОБЛ ТЮМЕНСКАЯ   Г НЯГОНЬ   МКР 1-Й д. 29 корп. Г</v>
      </c>
      <c r="M334" t="str">
        <f t="shared" si="57"/>
        <v>2019-08-24</v>
      </c>
      <c r="N334" t="str">
        <f>"ГКЦ ПЛАНЕТА"</f>
        <v>ГКЦ ПЛАНЕТА</v>
      </c>
      <c r="O334" t="str">
        <f>"628187"</f>
        <v>628187</v>
      </c>
      <c r="P334" t="str">
        <f>"ОБЛ ТЮМЕНСКАЯ"</f>
        <v>ОБЛ ТЮМЕНСКАЯ</v>
      </c>
      <c r="Q334" t="str">
        <f>""</f>
        <v/>
      </c>
      <c r="R334" t="str">
        <f>"Г НЯГОНЬ"</f>
        <v>Г НЯГОНЬ</v>
      </c>
      <c r="S334" t="str">
        <f>""</f>
        <v/>
      </c>
      <c r="T334" t="str">
        <f>"УЛ ПИОНЕРСКАЯ"</f>
        <v>УЛ ПИОНЕРСКАЯ</v>
      </c>
      <c r="U334" s="1" t="str">
        <f>"149"</f>
        <v>149</v>
      </c>
      <c r="V334" s="1" t="str">
        <f>""</f>
        <v/>
      </c>
      <c r="W334" s="1" t="str">
        <f>""</f>
        <v/>
      </c>
      <c r="X334" s="1" t="str">
        <f>""</f>
        <v/>
      </c>
      <c r="Y334" s="1" t="str">
        <f>"15"</f>
        <v>15</v>
      </c>
      <c r="Z334" t="str">
        <f>""</f>
        <v/>
      </c>
      <c r="AA334" t="str">
        <f>"9088853808"</f>
        <v>9088853808</v>
      </c>
      <c r="AB334" t="str">
        <f>"9828780683"</f>
        <v>9828780683</v>
      </c>
      <c r="AC334" t="str">
        <f>"9088853808"</f>
        <v>9088853808</v>
      </c>
      <c r="AD334" t="str">
        <f>"9088853808"</f>
        <v>9088853808</v>
      </c>
      <c r="AE334" t="str">
        <f>""</f>
        <v/>
      </c>
    </row>
    <row r="335" spans="1:31" x14ac:dyDescent="0.45">
      <c r="A335" t="str">
        <f>"СЕМЕНИХИНА ЕЛЕНА ВЯЧЕСЛАВОВНА"</f>
        <v>СЕМЕНИХИНА ЕЛЕНА ВЯЧЕСЛАВОВНА</v>
      </c>
      <c r="B335" t="str">
        <f>"1988-09-19"</f>
        <v>1988-09-19</v>
      </c>
      <c r="C335" t="str">
        <f>"75 18 244879"</f>
        <v>75 18 244879</v>
      </c>
      <c r="D335" t="str">
        <f>"4279011653966187"</f>
        <v>4279011653966187</v>
      </c>
      <c r="E335" t="str">
        <f t="shared" si="58"/>
        <v>2021-05-31</v>
      </c>
      <c r="F335" t="str">
        <f>"+"</f>
        <v>+</v>
      </c>
      <c r="G335" t="str">
        <f>"+"</f>
        <v>+</v>
      </c>
      <c r="H335" t="str">
        <f>"40817810816991427344"</f>
        <v>40817810816991427344</v>
      </c>
      <c r="I335" t="str">
        <f>"8597"</f>
        <v>8597</v>
      </c>
      <c r="J335" t="str">
        <f>"0319"</f>
        <v>0319</v>
      </c>
      <c r="K335" t="str">
        <f>"99000.00"</f>
        <v>99000.00</v>
      </c>
      <c r="L335" t="str">
        <f>"456110 ОБЛ ЧЕЛЯБИНСКАЯ Р-Н КАТАВ-ИВАНОВСКИЙ Г КАТАВ-ИВАНОВСК   УЛ КАРАВАЕВА д. 20"</f>
        <v>456110 ОБЛ ЧЕЛЯБИНСКАЯ Р-Н КАТАВ-ИВАНОВСКИЙ Г КАТАВ-ИВАНОВСК   УЛ КАРАВАЕВА д. 20</v>
      </c>
      <c r="M335" t="str">
        <f t="shared" si="57"/>
        <v>2019-08-24</v>
      </c>
      <c r="N335" t="str">
        <f>"АО КИПЗ"</f>
        <v>АО КИПЗ</v>
      </c>
      <c r="O335" t="str">
        <f>"456110"</f>
        <v>456110</v>
      </c>
      <c r="P335" t="str">
        <f>"ОБЛ ЧЕЛЯБИНСКАЯ"</f>
        <v>ОБЛ ЧЕЛЯБИНСКАЯ</v>
      </c>
      <c r="Q335" t="str">
        <f>"Р-Н КАТАВ-ИВАНОВСКИЙ"</f>
        <v>Р-Н КАТАВ-ИВАНОВСКИЙ</v>
      </c>
      <c r="R335" t="str">
        <f>"Г КАТАВ-ИВАНОВСК"</f>
        <v>Г КАТАВ-ИВАНОВСК</v>
      </c>
      <c r="S335" t="str">
        <f>""</f>
        <v/>
      </c>
      <c r="T335" t="str">
        <f>"УЛ ЦЕМЕНТНИКОВ"</f>
        <v>УЛ ЦЕМЕНТНИКОВ</v>
      </c>
      <c r="U335" s="1" t="str">
        <f>"4"</f>
        <v>4</v>
      </c>
      <c r="V335" s="1" t="str">
        <f>""</f>
        <v/>
      </c>
      <c r="W335" s="1" t="str">
        <f>""</f>
        <v/>
      </c>
      <c r="X335" s="1" t="str">
        <f>""</f>
        <v/>
      </c>
      <c r="Y335" s="1" t="str">
        <f>"34"</f>
        <v>34</v>
      </c>
      <c r="Z335" t="str">
        <f>""</f>
        <v/>
      </c>
      <c r="AA335" t="str">
        <f>"9193571916"</f>
        <v>9193571916</v>
      </c>
      <c r="AB335" t="str">
        <f>"9193571916"</f>
        <v>9193571916</v>
      </c>
      <c r="AC335" t="str">
        <f>"9191121788"</f>
        <v>9191121788</v>
      </c>
      <c r="AD335" t="str">
        <f>"9193571916"</f>
        <v>9193571916</v>
      </c>
      <c r="AE335" t="str">
        <f>""</f>
        <v/>
      </c>
    </row>
    <row r="336" spans="1:31" x14ac:dyDescent="0.45">
      <c r="A336" t="str">
        <f>"ГАЛАШЕВА НАТАЛЬЯ ВИКТОРОВНА"</f>
        <v>ГАЛАШЕВА НАТАЛЬЯ ВИКТОРОВНА</v>
      </c>
      <c r="B336" t="str">
        <f>"1968-10-28"</f>
        <v>1968-10-28</v>
      </c>
      <c r="C336" t="str">
        <f>"75 13 375898"</f>
        <v>75 13 375898</v>
      </c>
      <c r="D336" t="str">
        <f>"4279011638699960"</f>
        <v>4279011638699960</v>
      </c>
      <c r="E336" t="str">
        <f t="shared" si="58"/>
        <v>2021-05-31</v>
      </c>
      <c r="F336" t="str">
        <f>"Y"</f>
        <v>Y</v>
      </c>
      <c r="G336" t="str">
        <f>"Q"</f>
        <v>Q</v>
      </c>
      <c r="H336" t="str">
        <f>"40817810416991427346"</f>
        <v>40817810416991427346</v>
      </c>
      <c r="I336" t="str">
        <f>"8597"</f>
        <v>8597</v>
      </c>
      <c r="J336" t="str">
        <f>"0527"</f>
        <v>0527</v>
      </c>
      <c r="K336" t="str">
        <f>"0.00"</f>
        <v>0.00</v>
      </c>
      <c r="L336" t="str">
        <f>"454000 ОБЛ ЧЕЛЯБИНСКАЯ   Г МИАСС   УЛ МЕНДЕЛЕЕВА д. 31"</f>
        <v>454000 ОБЛ ЧЕЛЯБИНСКАЯ   Г МИАСС   УЛ МЕНДЕЛЕЕВА д. 31</v>
      </c>
      <c r="M336" t="str">
        <f t="shared" si="57"/>
        <v>2019-08-24</v>
      </c>
      <c r="N336" t="str">
        <f>"АО НПО ЭЛЕКТРОМЕХАНИКИ"</f>
        <v>АО НПО ЭЛЕКТРОМЕХАНИКИ</v>
      </c>
      <c r="O336" t="str">
        <f>"454000"</f>
        <v>454000</v>
      </c>
      <c r="P336" t="str">
        <f>"ОБЛ ЧЕЛЯБИНСКАЯ"</f>
        <v>ОБЛ ЧЕЛЯБИНСКАЯ</v>
      </c>
      <c r="Q336" t="str">
        <f>""</f>
        <v/>
      </c>
      <c r="R336" t="str">
        <f>"Г МИАСС"</f>
        <v>Г МИАСС</v>
      </c>
      <c r="S336" t="str">
        <f>""</f>
        <v/>
      </c>
      <c r="T336" t="str">
        <f>"УЛ Б ХМЕЛЬНИЦКОГО"</f>
        <v>УЛ Б ХМЕЛЬНИЦКОГО</v>
      </c>
      <c r="U336" s="1" t="str">
        <f>"22"</f>
        <v>22</v>
      </c>
      <c r="V336" s="1" t="str">
        <f>""</f>
        <v/>
      </c>
      <c r="W336" s="1" t="str">
        <f>""</f>
        <v/>
      </c>
      <c r="X336" s="1" t="str">
        <f>""</f>
        <v/>
      </c>
      <c r="Y336" s="1" t="str">
        <f>"5"</f>
        <v>5</v>
      </c>
      <c r="Z336" t="str">
        <f>"3513288615"</f>
        <v>3513288615</v>
      </c>
      <c r="AA336" t="str">
        <f>"3513545763"</f>
        <v>3513545763</v>
      </c>
      <c r="AB336" t="str">
        <f>"9512320400"</f>
        <v>9512320400</v>
      </c>
      <c r="AC336" t="str">
        <f>"9080510126"</f>
        <v>9080510126</v>
      </c>
      <c r="AD336" t="str">
        <f>"9080510126"</f>
        <v>9080510126</v>
      </c>
      <c r="AE336" t="str">
        <f>"9080510126"</f>
        <v>9080510126</v>
      </c>
    </row>
    <row r="337" spans="1:31" x14ac:dyDescent="0.45">
      <c r="A337" t="str">
        <f>"ЮРОВСКИХ ИРИНА АЛЕКСАНДРОВНА"</f>
        <v>ЮРОВСКИХ ИРИНА АЛЕКСАНДРОВНА</v>
      </c>
      <c r="B337" t="str">
        <f>"1961-07-14"</f>
        <v>1961-07-14</v>
      </c>
      <c r="C337" t="str">
        <f>"65 05 839862"</f>
        <v>65 05 839862</v>
      </c>
      <c r="D337" t="str">
        <f>"4279011625922359"</f>
        <v>4279011625922359</v>
      </c>
      <c r="E337" t="str">
        <f t="shared" si="58"/>
        <v>2021-05-31</v>
      </c>
      <c r="F337" t="str">
        <f t="shared" ref="F337:G343" si="60">"+"</f>
        <v>+</v>
      </c>
      <c r="G337" t="str">
        <f t="shared" si="60"/>
        <v>+</v>
      </c>
      <c r="H337" t="str">
        <f>"40817810716991427347"</f>
        <v>40817810716991427347</v>
      </c>
      <c r="I337" t="str">
        <f>"7003"</f>
        <v>7003</v>
      </c>
      <c r="J337" t="str">
        <f>"0445"</f>
        <v>0445</v>
      </c>
      <c r="K337" t="str">
        <f>"50000.00"</f>
        <v>50000.00</v>
      </c>
      <c r="L337" t="str">
        <f>"620026 ОБЛ СВЕРДЛОВСКАЯ   Г ЕКАТЕРИНБУРГ   УЛ ЛУНАЧАРСКОГО д. 215 стр. А"</f>
        <v>620026 ОБЛ СВЕРДЛОВСКАЯ   Г ЕКАТЕРИНБУРГ   УЛ ЛУНАЧАРСКОГО д. 215 стр. А</v>
      </c>
      <c r="M337" t="str">
        <f t="shared" si="57"/>
        <v>2019-08-24</v>
      </c>
      <c r="N337" t="str">
        <f>"ВОЕННАЯ ПРОКУРАТУРА ЦЕНТРАЛЬНОГО ВОЕННОГО ОКРУГА"</f>
        <v>ВОЕННАЯ ПРОКУРАТУРА ЦЕНТРАЛЬНОГО ВОЕННОГО ОКРУГА</v>
      </c>
      <c r="O337" t="str">
        <f>"620000"</f>
        <v>620000</v>
      </c>
      <c r="P337" t="str">
        <f>"ОБЛ СВЕРДЛОВСКАЯ"</f>
        <v>ОБЛ СВЕРДЛОВСКАЯ</v>
      </c>
      <c r="Q337" t="str">
        <f>""</f>
        <v/>
      </c>
      <c r="R337" t="str">
        <f>"Г ЕКАТЕРИНБУРГ"</f>
        <v>Г ЕКАТЕРИНБУРГ</v>
      </c>
      <c r="S337" t="str">
        <f>""</f>
        <v/>
      </c>
      <c r="T337" t="str">
        <f>"УЛ ГОТВАЛЬДА"</f>
        <v>УЛ ГОТВАЛЬДА</v>
      </c>
      <c r="U337" s="1" t="str">
        <f>"23"</f>
        <v>23</v>
      </c>
      <c r="V337" s="1" t="str">
        <f>"1"</f>
        <v>1</v>
      </c>
      <c r="W337" s="1" t="str">
        <f>""</f>
        <v/>
      </c>
      <c r="X337" s="1" t="str">
        <f>""</f>
        <v/>
      </c>
      <c r="Y337" s="1" t="str">
        <f>"68"</f>
        <v>68</v>
      </c>
      <c r="Z337" t="str">
        <f>"3433593397"</f>
        <v>3433593397</v>
      </c>
      <c r="AA337" t="str">
        <f>"9506487724"</f>
        <v>9506487724</v>
      </c>
      <c r="AB337" t="str">
        <f>"9122902778"</f>
        <v>9122902778</v>
      </c>
      <c r="AC337" t="str">
        <f>"3433676787"</f>
        <v>3433676787</v>
      </c>
      <c r="AD337" t="str">
        <f>"9122902778"</f>
        <v>9122902778</v>
      </c>
      <c r="AE337" t="str">
        <f>""</f>
        <v/>
      </c>
    </row>
    <row r="338" spans="1:31" x14ac:dyDescent="0.45">
      <c r="A338" t="str">
        <f>"САЛИМОВА МИЛЯВША МАГАФУРОВНА"</f>
        <v>САЛИМОВА МИЛЯВША МАГАФУРОВНА</v>
      </c>
      <c r="B338" t="str">
        <f>"1989-06-07"</f>
        <v>1989-06-07</v>
      </c>
      <c r="C338" t="str">
        <f>"80 11 391665"</f>
        <v>80 11 391665</v>
      </c>
      <c r="D338" t="str">
        <f>"4279011682459477"</f>
        <v>4279011682459477</v>
      </c>
      <c r="E338" t="str">
        <f t="shared" si="58"/>
        <v>2021-05-31</v>
      </c>
      <c r="F338" t="str">
        <f t="shared" si="60"/>
        <v>+</v>
      </c>
      <c r="G338" t="str">
        <f t="shared" si="60"/>
        <v>+</v>
      </c>
      <c r="H338" t="str">
        <f>"40817810016991427348"</f>
        <v>40817810016991427348</v>
      </c>
      <c r="I338" t="str">
        <f>"8598"</f>
        <v>8598</v>
      </c>
      <c r="J338" t="str">
        <f>"0246"</f>
        <v>0246</v>
      </c>
      <c r="K338" t="str">
        <f>"15000.00"</f>
        <v>15000.00</v>
      </c>
      <c r="L338" t="str">
        <f>"450000 РЕСП БАШКОРТОСТАН   Г УФА   ПР-КТ ОКТЯБРЯ д. 105 корп. 3"</f>
        <v>450000 РЕСП БАШКОРТОСТАН   Г УФА   ПР-КТ ОКТЯБРЯ д. 105 корп. 3</v>
      </c>
      <c r="M338" t="str">
        <f t="shared" si="57"/>
        <v>2019-08-24</v>
      </c>
      <c r="N338" t="str">
        <f>"ГБУЗ Г УФА СТОМОТОЛОГИЧЕСКАЯ ПОЛИКЛИНИКА №2"</f>
        <v>ГБУЗ Г УФА СТОМОТОЛОГИЧЕСКАЯ ПОЛИКЛИНИКА №2</v>
      </c>
      <c r="O338" t="str">
        <f>"450000"</f>
        <v>450000</v>
      </c>
      <c r="P338" t="str">
        <f>"РЕСП БАШКОРТОСТАН"</f>
        <v>РЕСП БАШКОРТОСТАН</v>
      </c>
      <c r="Q338" t="str">
        <f>"Р-Н ХАЙБУЛЛИНСКИЙ"</f>
        <v>Р-Н ХАЙБУЛЛИНСКИЙ</v>
      </c>
      <c r="R338" t="str">
        <f>""</f>
        <v/>
      </c>
      <c r="S338" t="str">
        <f>"С УФИМСКИЙ"</f>
        <v>С УФИМСКИЙ</v>
      </c>
      <c r="T338" t="str">
        <f>"УЛ ХУДАЙБЕРДИНА"</f>
        <v>УЛ ХУДАЙБЕРДИНА</v>
      </c>
      <c r="U338" s="1" t="str">
        <f>"36"</f>
        <v>36</v>
      </c>
      <c r="V338" s="1" t="str">
        <f>""</f>
        <v/>
      </c>
      <c r="W338" s="1" t="str">
        <f>""</f>
        <v/>
      </c>
      <c r="X338" s="1" t="str">
        <f>""</f>
        <v/>
      </c>
      <c r="Y338" s="1" t="str">
        <f>"14"</f>
        <v>14</v>
      </c>
      <c r="Z338" t="str">
        <f>"9371546603"</f>
        <v>9371546603</v>
      </c>
      <c r="AA338" t="str">
        <f>"9374782224"</f>
        <v>9374782224</v>
      </c>
      <c r="AB338" t="str">
        <f>"9374782224"</f>
        <v>9374782224</v>
      </c>
      <c r="AC338" t="str">
        <f>"9374782224"</f>
        <v>9374782224</v>
      </c>
      <c r="AD338" t="str">
        <f>"9374782224"</f>
        <v>9374782224</v>
      </c>
      <c r="AE338" t="str">
        <f>"9371546603"</f>
        <v>9371546603</v>
      </c>
    </row>
    <row r="339" spans="1:31" x14ac:dyDescent="0.45">
      <c r="A339" t="str">
        <f>"СЕМЕНЧУК СЕРГЕЙ ВЯЧЕСЛАВОВИЧ"</f>
        <v>СЕМЕНЧУК СЕРГЕЙ ВЯЧЕСЛАВОВИЧ</v>
      </c>
      <c r="B339" t="str">
        <f>"1996-06-27"</f>
        <v>1996-06-27</v>
      </c>
      <c r="C339" t="str">
        <f>"37 16 665188"</f>
        <v>37 16 665188</v>
      </c>
      <c r="D339" t="str">
        <f>"4279011644126669"</f>
        <v>4279011644126669</v>
      </c>
      <c r="E339" t="str">
        <f t="shared" si="58"/>
        <v>2021-05-31</v>
      </c>
      <c r="F339" t="str">
        <f t="shared" si="60"/>
        <v>+</v>
      </c>
      <c r="G339" t="str">
        <f t="shared" si="60"/>
        <v>+</v>
      </c>
      <c r="H339" t="str">
        <f>"40817810316991427349"</f>
        <v>40817810316991427349</v>
      </c>
      <c r="I339" t="str">
        <f>"8599"</f>
        <v>8599</v>
      </c>
      <c r="J339" t="str">
        <f>"0168"</f>
        <v>0168</v>
      </c>
      <c r="K339" t="str">
        <f>"45000.00"</f>
        <v>45000.00</v>
      </c>
      <c r="L339" t="str">
        <f>"641000 ОБЛ КУРГАНСКАЯ   Г КУРТАМЫШ   УЛ ЛЕНИНА д. 77"</f>
        <v>641000 ОБЛ КУРГАНСКАЯ   Г КУРТАМЫШ   УЛ ЛЕНИНА д. 77</v>
      </c>
      <c r="M339" t="str">
        <f t="shared" si="57"/>
        <v>2019-08-24</v>
      </c>
      <c r="N339" t="str">
        <f>"МО МВД РОССИИ КУРТАМЫШСКИЙ"</f>
        <v>МО МВД РОССИИ КУРТАМЫШСКИЙ</v>
      </c>
      <c r="O339" t="str">
        <f>"641000"</f>
        <v>641000</v>
      </c>
      <c r="P339" t="str">
        <f>"ОБЛ КУРГАНСКАЯ"</f>
        <v>ОБЛ КУРГАНСКАЯ</v>
      </c>
      <c r="Q339" t="str">
        <f>""</f>
        <v/>
      </c>
      <c r="R339" t="str">
        <f>"Г КУРТАМЫШ"</f>
        <v>Г КУРТАМЫШ</v>
      </c>
      <c r="S339" t="str">
        <f>""</f>
        <v/>
      </c>
      <c r="T339" t="str">
        <f>"ПЕР МЕДИЦИНСКИЙ"</f>
        <v>ПЕР МЕДИЦИНСКИЙ</v>
      </c>
      <c r="U339" s="1" t="str">
        <f>"9"</f>
        <v>9</v>
      </c>
      <c r="V339" s="1" t="str">
        <f>""</f>
        <v/>
      </c>
      <c r="W339" s="1" t="str">
        <f>""</f>
        <v/>
      </c>
      <c r="X339" s="1" t="str">
        <f>""</f>
        <v/>
      </c>
      <c r="Y339" s="1" t="str">
        <f>"4"</f>
        <v>4</v>
      </c>
      <c r="Z339" t="str">
        <f>""</f>
        <v/>
      </c>
      <c r="AA339" t="str">
        <f>"9965573769"</f>
        <v>9965573769</v>
      </c>
      <c r="AB339" t="str">
        <f>"9091452057"</f>
        <v>9091452057</v>
      </c>
      <c r="AC339" t="str">
        <f>"9965573769"</f>
        <v>9965573769</v>
      </c>
      <c r="AD339" t="str">
        <f>"9091452057"</f>
        <v>9091452057</v>
      </c>
      <c r="AE339" t="str">
        <f>""</f>
        <v/>
      </c>
    </row>
    <row r="340" spans="1:31" x14ac:dyDescent="0.45">
      <c r="A340" t="str">
        <f>"ПОТЕРЯЕВ ВЛАДИМИР МИХАЙЛОВИЧ"</f>
        <v>ПОТЕРЯЕВ ВЛАДИМИР МИХАЙЛОВИЧ</v>
      </c>
      <c r="B340" t="str">
        <f>"1961-03-11"</f>
        <v>1961-03-11</v>
      </c>
      <c r="C340" t="str">
        <f>"65 05 768073"</f>
        <v>65 05 768073</v>
      </c>
      <c r="D340" t="str">
        <f>"4279011632135581"</f>
        <v>4279011632135581</v>
      </c>
      <c r="E340" t="str">
        <f t="shared" si="58"/>
        <v>2021-05-31</v>
      </c>
      <c r="F340" t="str">
        <f t="shared" si="60"/>
        <v>+</v>
      </c>
      <c r="G340" t="str">
        <f t="shared" si="60"/>
        <v>+</v>
      </c>
      <c r="H340" t="str">
        <f>"40817810716991427350"</f>
        <v>40817810716991427350</v>
      </c>
      <c r="I340" t="str">
        <f>"7003"</f>
        <v>7003</v>
      </c>
      <c r="J340" t="str">
        <f>"0694"</f>
        <v>0694</v>
      </c>
      <c r="K340" t="str">
        <f>"135000.00"</f>
        <v>135000.00</v>
      </c>
      <c r="L340" t="str">
        <f>"623010 ОБЛ СВЕРДЛОВСКАЯ Р-Н ШАЛИНСКИЙ   П ШАМАРЫ УЛ ПЕРВОМАЙСКАЯ д. 35 кв. 0"</f>
        <v>623010 ОБЛ СВЕРДЛОВСКАЯ Р-Н ШАЛИНСКИЙ   П ШАМАРЫ УЛ ПЕРВОМАЙСКАЯ д. 35 кв. 0</v>
      </c>
      <c r="M340" t="str">
        <f t="shared" si="57"/>
        <v>2019-08-24</v>
      </c>
      <c r="N340" t="str">
        <f>"16424067"</f>
        <v>16424067</v>
      </c>
      <c r="O340" t="str">
        <f>"623010"</f>
        <v>623010</v>
      </c>
      <c r="P340" t="str">
        <f>"ОБЛ СВЕРДЛОВСКАЯ"</f>
        <v>ОБЛ СВЕРДЛОВСКАЯ</v>
      </c>
      <c r="Q340" t="str">
        <f>"Р-Н ШАЛИНСКИЙ"</f>
        <v>Р-Н ШАЛИНСКИЙ</v>
      </c>
      <c r="R340" t="str">
        <f>""</f>
        <v/>
      </c>
      <c r="S340" t="str">
        <f>"П ШАМАРЫ"</f>
        <v>П ШАМАРЫ</v>
      </c>
      <c r="T340" t="str">
        <f>"УЛ СОЛНЕЧНАЯ"</f>
        <v>УЛ СОЛНЕЧНАЯ</v>
      </c>
      <c r="U340" s="1" t="str">
        <f>"26"</f>
        <v>26</v>
      </c>
      <c r="V340" s="1" t="str">
        <f>""</f>
        <v/>
      </c>
      <c r="W340" s="1" t="str">
        <f>""</f>
        <v/>
      </c>
      <c r="X340" s="1" t="str">
        <f>""</f>
        <v/>
      </c>
      <c r="Y340" s="1" t="str">
        <f>"0"</f>
        <v>0</v>
      </c>
      <c r="Z340" t="str">
        <f>"9506525972"</f>
        <v>9506525972</v>
      </c>
      <c r="AA340" t="str">
        <f>"3435841826"</f>
        <v>3435841826</v>
      </c>
      <c r="AB340" t="str">
        <f>"9506525972"</f>
        <v>9506525972</v>
      </c>
      <c r="AC340" t="str">
        <f>"3435841826"</f>
        <v>3435841826</v>
      </c>
      <c r="AD340" t="str">
        <f>"9506525972"</f>
        <v>9506525972</v>
      </c>
      <c r="AE340" t="str">
        <f>"9506525972"</f>
        <v>9506525972</v>
      </c>
    </row>
    <row r="341" spans="1:31" x14ac:dyDescent="0.45">
      <c r="A341" t="str">
        <f>"ЖУЛЬМУХАМЕТОВ КУАНШПАЙ УРАМБАСАРОВИЧ"</f>
        <v>ЖУЛЬМУХАМЕТОВ КУАНШПАЙ УРАМБАСАРОВИЧ</v>
      </c>
      <c r="B341" t="str">
        <f>"1970-07-12"</f>
        <v>1970-07-12</v>
      </c>
      <c r="C341" t="str">
        <f>"75 14 561831"</f>
        <v>75 14 561831</v>
      </c>
      <c r="D341" t="str">
        <f>"4279011675108578"</f>
        <v>4279011675108578</v>
      </c>
      <c r="E341" t="str">
        <f t="shared" si="58"/>
        <v>2021-05-31</v>
      </c>
      <c r="F341" t="str">
        <f t="shared" si="60"/>
        <v>+</v>
      </c>
      <c r="G341" t="str">
        <f t="shared" si="60"/>
        <v>+</v>
      </c>
      <c r="H341" t="str">
        <f>"40817810016991427351"</f>
        <v>40817810016991427351</v>
      </c>
      <c r="I341" t="str">
        <f>"8597"</f>
        <v>8597</v>
      </c>
      <c r="J341" t="str">
        <f>"0451"</f>
        <v>0451</v>
      </c>
      <c r="K341" t="str">
        <f>"105000.00"</f>
        <v>105000.00</v>
      </c>
      <c r="L341" t="str">
        <f>"454000 ОБЛ ЧЕЛЯБИНСКАЯ Р-Н ЧЕСМЕНСКИЙ   П/СТ ПОРТ-АРТУР УЛ СОВЕТСКАЯ д. 9 корп. А"</f>
        <v>454000 ОБЛ ЧЕЛЯБИНСКАЯ Р-Н ЧЕСМЕНСКИЙ   П/СТ ПОРТ-АРТУР УЛ СОВЕТСКАЯ д. 9 корп. А</v>
      </c>
      <c r="M341" t="str">
        <f t="shared" si="57"/>
        <v>2019-08-24</v>
      </c>
      <c r="N341" t="str">
        <f>"-"</f>
        <v>-</v>
      </c>
      <c r="O341" t="str">
        <f>"454000"</f>
        <v>454000</v>
      </c>
      <c r="P341" t="str">
        <f>"ОБЛ ЧЕЛЯБИНСКАЯ"</f>
        <v>ОБЛ ЧЕЛЯБИНСКАЯ</v>
      </c>
      <c r="Q341" t="str">
        <f>"Р-Н ЧЕСМЕНСКИЙ"</f>
        <v>Р-Н ЧЕСМЕНСКИЙ</v>
      </c>
      <c r="R341" t="str">
        <f>""</f>
        <v/>
      </c>
      <c r="S341" t="str">
        <f>"П/СТ ПОРТ АРТУР"</f>
        <v>П/СТ ПОРТ АРТУР</v>
      </c>
      <c r="T341" t="str">
        <f>"УЛ СОВЕТСКАЯ"</f>
        <v>УЛ СОВЕТСКАЯ</v>
      </c>
      <c r="U341" s="1" t="str">
        <f>"9"</f>
        <v>9</v>
      </c>
      <c r="V341" s="1" t="str">
        <f>""</f>
        <v/>
      </c>
      <c r="W341" s="1" t="str">
        <f>"А"</f>
        <v>А</v>
      </c>
      <c r="X341" s="1" t="str">
        <f>""</f>
        <v/>
      </c>
      <c r="Y341" s="1" t="str">
        <f>""</f>
        <v/>
      </c>
      <c r="Z341" t="str">
        <f>""</f>
        <v/>
      </c>
      <c r="AA341" t="str">
        <f>"3516900000"</f>
        <v>3516900000</v>
      </c>
      <c r="AB341" t="str">
        <f>"9512401056"</f>
        <v>9512401056</v>
      </c>
      <c r="AC341" t="str">
        <f>"3516900000"</f>
        <v>3516900000</v>
      </c>
      <c r="AD341" t="str">
        <f>"9512401056"</f>
        <v>9512401056</v>
      </c>
      <c r="AE341" t="str">
        <f>""</f>
        <v/>
      </c>
    </row>
    <row r="342" spans="1:31" x14ac:dyDescent="0.45">
      <c r="A342" t="str">
        <f>"ГАЛЛЯМОВ МАРАТ НАФИКОВИЧ"</f>
        <v>ГАЛЛЯМОВ МАРАТ НАФИКОВИЧ</v>
      </c>
      <c r="B342" t="str">
        <f>"1969-03-26"</f>
        <v>1969-03-26</v>
      </c>
      <c r="C342" t="str">
        <f>"80 14 946873"</f>
        <v>80 14 946873</v>
      </c>
      <c r="D342" t="str">
        <f>"4854630356825573"</f>
        <v>4854630356825573</v>
      </c>
      <c r="E342" t="str">
        <f>"2021-04-30"</f>
        <v>2021-04-30</v>
      </c>
      <c r="F342" t="str">
        <f t="shared" si="60"/>
        <v>+</v>
      </c>
      <c r="G342" t="str">
        <f t="shared" si="60"/>
        <v>+</v>
      </c>
      <c r="H342" t="str">
        <f>"40817810316991427365"</f>
        <v>40817810316991427365</v>
      </c>
      <c r="I342" t="str">
        <f>"8598"</f>
        <v>8598</v>
      </c>
      <c r="J342" t="str">
        <f>"0195"</f>
        <v>0195</v>
      </c>
      <c r="K342" t="str">
        <f>"20000.00"</f>
        <v>20000.00</v>
      </c>
      <c r="L342" t="str">
        <f>"450000 РЕСП БАШКОРТОСТАН   Г УФА   УЛ АКАДЕМИКА КОРОЛЕВА д. 27 кв. 44"</f>
        <v>450000 РЕСП БАШКОРТОСТАН   Г УФА   УЛ АКАДЕМИКА КОРОЛЕВА д. 27 кв. 44</v>
      </c>
      <c r="M342" t="str">
        <f t="shared" si="57"/>
        <v>2019-08-24</v>
      </c>
      <c r="N342" t="str">
        <f>"ФКУ 5 ОФПС ГПС"</f>
        <v>ФКУ 5 ОФПС ГПС</v>
      </c>
      <c r="O342" t="str">
        <f>"450000"</f>
        <v>450000</v>
      </c>
      <c r="P342" t="str">
        <f>"РЕСП БАШКОРТОСТАН"</f>
        <v>РЕСП БАШКОРТОСТАН</v>
      </c>
      <c r="Q342" t="str">
        <f>""</f>
        <v/>
      </c>
      <c r="R342" t="str">
        <f>"Г УФА"</f>
        <v>Г УФА</v>
      </c>
      <c r="S342" t="str">
        <f>""</f>
        <v/>
      </c>
      <c r="T342" t="str">
        <f>"УЛ АКАДЕМИКА КОРОЛЕВА"</f>
        <v>УЛ АКАДЕМИКА КОРОЛЕВА</v>
      </c>
      <c r="U342" s="1" t="str">
        <f>"27"</f>
        <v>27</v>
      </c>
      <c r="V342" s="1" t="str">
        <f>""</f>
        <v/>
      </c>
      <c r="W342" s="1" t="str">
        <f>""</f>
        <v/>
      </c>
      <c r="X342" s="1" t="str">
        <f>""</f>
        <v/>
      </c>
      <c r="Y342" s="1" t="str">
        <f>"44"</f>
        <v>44</v>
      </c>
      <c r="Z342" t="str">
        <f>"9050077545"</f>
        <v>9050077545</v>
      </c>
      <c r="AA342" t="str">
        <f>"9050077545"</f>
        <v>9050077545</v>
      </c>
      <c r="AB342" t="str">
        <f>"9054477545"</f>
        <v>9054477545</v>
      </c>
      <c r="AC342" t="str">
        <f>"9050077545"</f>
        <v>9050077545</v>
      </c>
      <c r="AD342" t="str">
        <f>"9050077545"</f>
        <v>9050077545</v>
      </c>
      <c r="AE342" t="str">
        <f>"9050077545"</f>
        <v>9050077545</v>
      </c>
    </row>
    <row r="343" spans="1:31" x14ac:dyDescent="0.45">
      <c r="A343" t="str">
        <f>"КУЗЬМИН ЛЕОНИД НИКОЛАЕВИЧ"</f>
        <v>КУЗЬМИН ЛЕОНИД НИКОЛАЕВИЧ</v>
      </c>
      <c r="B343" t="str">
        <f>"1976-01-23"</f>
        <v>1976-01-23</v>
      </c>
      <c r="C343" t="str">
        <f>"80 18 902277"</f>
        <v>80 18 902277</v>
      </c>
      <c r="D343" t="str">
        <f>"4854630351344414"</f>
        <v>4854630351344414</v>
      </c>
      <c r="E343" t="str">
        <f>"2021-04-30"</f>
        <v>2021-04-30</v>
      </c>
      <c r="F343" t="str">
        <f t="shared" si="60"/>
        <v>+</v>
      </c>
      <c r="G343" t="str">
        <f t="shared" si="60"/>
        <v>+</v>
      </c>
      <c r="H343" t="str">
        <f>"40817810616991427366"</f>
        <v>40817810616991427366</v>
      </c>
      <c r="I343" t="str">
        <f>"8598"</f>
        <v>8598</v>
      </c>
      <c r="J343" t="str">
        <f>"0639"</f>
        <v>0639</v>
      </c>
      <c r="K343" t="str">
        <f>"30000.00"</f>
        <v>30000.00</v>
      </c>
      <c r="L343" t="str">
        <f>"450000 РЕСП БАШКОРТОСТАН Р-Н ШАРАНСКИЙ   С НОВОЮМАШЕВО УЛ ЦЕНТРАЛЬНАЯ д. 38"</f>
        <v>450000 РЕСП БАШКОРТОСТАН Р-Н ШАРАНСКИЙ   С НОВОЮМАШЕВО УЛ ЦЕНТРАЛЬНАЯ д. 38</v>
      </c>
      <c r="M343" t="str">
        <f t="shared" si="57"/>
        <v>2019-08-24</v>
      </c>
      <c r="N343" t="str">
        <f>"ПФР НЕФТЕЮГАНСК"</f>
        <v>ПФР НЕФТЕЮГАНСК</v>
      </c>
      <c r="O343" t="str">
        <f>"452630"</f>
        <v>452630</v>
      </c>
      <c r="P343" t="str">
        <f>"ОБЛ ТЮМЕНСКАЯ"</f>
        <v>ОБЛ ТЮМЕНСКАЯ</v>
      </c>
      <c r="Q343" t="str">
        <f>""</f>
        <v/>
      </c>
      <c r="R343" t="str">
        <f>""</f>
        <v/>
      </c>
      <c r="S343" t="str">
        <f>"Г НЕФТЕЮГАНСК"</f>
        <v>Г НЕФТЕЮГАНСК</v>
      </c>
      <c r="T343" t="str">
        <f>"УЛ СПОРТИВНАЯ"</f>
        <v>УЛ СПОРТИВНАЯ</v>
      </c>
      <c r="U343" s="1" t="str">
        <f>"31"</f>
        <v>31</v>
      </c>
      <c r="V343" s="1" t="str">
        <f>""</f>
        <v/>
      </c>
      <c r="W343" s="1" t="str">
        <f>""</f>
        <v/>
      </c>
      <c r="X343" s="1" t="str">
        <f>""</f>
        <v/>
      </c>
      <c r="Y343" s="1" t="str">
        <f>""</f>
        <v/>
      </c>
      <c r="Z343" t="str">
        <f>""</f>
        <v/>
      </c>
      <c r="AA343" t="str">
        <f>"9273528595"</f>
        <v>9273528595</v>
      </c>
      <c r="AB343" t="str">
        <f>"9273528595"</f>
        <v>9273528595</v>
      </c>
      <c r="AC343" t="str">
        <f>"3476926708"</f>
        <v>3476926708</v>
      </c>
      <c r="AD343" t="str">
        <f>"9273528595"</f>
        <v>9273528595</v>
      </c>
      <c r="AE343" t="str">
        <f>""</f>
        <v/>
      </c>
    </row>
    <row r="344" spans="1:31" x14ac:dyDescent="0.45">
      <c r="A344" t="str">
        <f>"ФАССАЛОВА ДИЛАРА АХТАРОВНА"</f>
        <v>ФАССАЛОВА ДИЛАРА АХТАРОВНА</v>
      </c>
      <c r="B344" t="str">
        <f>"1981-11-12"</f>
        <v>1981-11-12</v>
      </c>
      <c r="C344" t="str">
        <f>"80 15 068666"</f>
        <v>80 15 068666</v>
      </c>
      <c r="D344" t="str">
        <f>"4854630352665098"</f>
        <v>4854630352665098</v>
      </c>
      <c r="E344" t="str">
        <f>"2021-04-30"</f>
        <v>2021-04-30</v>
      </c>
      <c r="F344" t="str">
        <f>"Q"</f>
        <v>Q</v>
      </c>
      <c r="G344" t="str">
        <f>"Q"</f>
        <v>Q</v>
      </c>
      <c r="H344" t="str">
        <f>"40817810916991427367"</f>
        <v>40817810916991427367</v>
      </c>
      <c r="I344" t="str">
        <f>"8598"</f>
        <v>8598</v>
      </c>
      <c r="J344" t="str">
        <f>"0236"</f>
        <v>0236</v>
      </c>
      <c r="K344" t="str">
        <f>"0.00"</f>
        <v>0.00</v>
      </c>
      <c r="L344" t="str">
        <f>"450000 РЕСП БАШКОРТОСТАН   Г УФА   УЛ ДОСТОЕВСКОГО д. 68"</f>
        <v>450000 РЕСП БАШКОРТОСТАН   Г УФА   УЛ ДОСТОЕВСКОГО д. 68</v>
      </c>
      <c r="M344" t="str">
        <f t="shared" si="57"/>
        <v>2019-08-24</v>
      </c>
      <c r="N344" t="str">
        <f>"ГК ПЕРВЫЙ ТРЕСТ"</f>
        <v>ГК ПЕРВЫЙ ТРЕСТ</v>
      </c>
      <c r="O344" t="str">
        <f>"450000"</f>
        <v>450000</v>
      </c>
      <c r="P344" t="str">
        <f>"РЕСП БАШКОРТОСТАН"</f>
        <v>РЕСП БАШКОРТОСТАН</v>
      </c>
      <c r="Q344" t="str">
        <f>""</f>
        <v/>
      </c>
      <c r="R344" t="str">
        <f>"Г УФА"</f>
        <v>Г УФА</v>
      </c>
      <c r="S344" t="str">
        <f>""</f>
        <v/>
      </c>
      <c r="T344" t="str">
        <f>"УЛ КОМСОМОЛЬСКАЯ"</f>
        <v>УЛ КОМСОМОЛЬСКАЯ</v>
      </c>
      <c r="U344" s="1" t="str">
        <f>"156"</f>
        <v>156</v>
      </c>
      <c r="V344" s="1" t="str">
        <f>""</f>
        <v/>
      </c>
      <c r="W344" s="1" t="str">
        <f>"1"</f>
        <v>1</v>
      </c>
      <c r="X344" s="1" t="str">
        <f>""</f>
        <v/>
      </c>
      <c r="Y344" s="1" t="str">
        <f>"15"</f>
        <v>15</v>
      </c>
      <c r="Z344" t="str">
        <f>""</f>
        <v/>
      </c>
      <c r="AA344" t="str">
        <f>"9610392666"</f>
        <v>9610392666</v>
      </c>
      <c r="AB344" t="str">
        <f>"9610392666"</f>
        <v>9610392666</v>
      </c>
      <c r="AC344" t="str">
        <f>"9610392666"</f>
        <v>9610392666</v>
      </c>
      <c r="AD344" t="str">
        <f>"9610392666"</f>
        <v>9610392666</v>
      </c>
      <c r="AE344" t="str">
        <f>""</f>
        <v/>
      </c>
    </row>
    <row r="345" spans="1:31" x14ac:dyDescent="0.45">
      <c r="A345" t="str">
        <f>"КИЗЯЕВ ДМИТРИЙ ЕВГЕНЬЕВИЧ"</f>
        <v>КИЗЯЕВ ДМИТРИЙ ЕВГЕНЬЕВИЧ</v>
      </c>
      <c r="B345" t="str">
        <f>"1987-08-03"</f>
        <v>1987-08-03</v>
      </c>
      <c r="C345" t="str">
        <f>"75 07 118727"</f>
        <v>75 07 118727</v>
      </c>
      <c r="D345" t="str">
        <f>"4854630385681179"</f>
        <v>4854630385681179</v>
      </c>
      <c r="E345" t="str">
        <f>"2021-04-30"</f>
        <v>2021-04-30</v>
      </c>
      <c r="F345" t="str">
        <f t="shared" ref="F345:G347" si="61">"+"</f>
        <v>+</v>
      </c>
      <c r="G345" t="str">
        <f t="shared" si="61"/>
        <v>+</v>
      </c>
      <c r="H345" t="str">
        <f>"40817810216991427368"</f>
        <v>40817810216991427368</v>
      </c>
      <c r="I345" t="str">
        <f>"8597"</f>
        <v>8597</v>
      </c>
      <c r="J345" t="str">
        <f>"0378"</f>
        <v>0378</v>
      </c>
      <c r="K345" t="str">
        <f>"95000.00"</f>
        <v>95000.00</v>
      </c>
      <c r="L345" t="str">
        <f>"454000 ОБЛ ЧЕЛЯБИНСКАЯ   Г МАГНИТОГОРКС   УЛ ПУШКИНА д. 6"</f>
        <v>454000 ОБЛ ЧЕЛЯБИНСКАЯ   Г МАГНИТОГОРКС   УЛ ПУШКИНА д. 6</v>
      </c>
      <c r="M345" t="str">
        <f t="shared" si="57"/>
        <v>2019-08-24</v>
      </c>
      <c r="N345" t="str">
        <f>"ООО ОСК"</f>
        <v>ООО ОСК</v>
      </c>
      <c r="O345" t="str">
        <f>"454000"</f>
        <v>454000</v>
      </c>
      <c r="P345" t="str">
        <f>"ОБЛ ЧЕЛЯБИНСКАЯ"</f>
        <v>ОБЛ ЧЕЛЯБИНСКАЯ</v>
      </c>
      <c r="Q345" t="str">
        <f>""</f>
        <v/>
      </c>
      <c r="R345" t="str">
        <f>"Г МАГНИТОГОРСК"</f>
        <v>Г МАГНИТОГОРСК</v>
      </c>
      <c r="S345" t="str">
        <f>""</f>
        <v/>
      </c>
      <c r="T345" t="str">
        <f>"УЛ СТАЛЕВАРОВ"</f>
        <v>УЛ СТАЛЕВАРОВ</v>
      </c>
      <c r="U345" s="1" t="str">
        <f>"26"</f>
        <v>26</v>
      </c>
      <c r="V345" s="1" t="str">
        <f>""</f>
        <v/>
      </c>
      <c r="W345" s="1" t="str">
        <f>"2"</f>
        <v>2</v>
      </c>
      <c r="X345" s="1" t="str">
        <f>""</f>
        <v/>
      </c>
      <c r="Y345" s="1" t="str">
        <f>"44"</f>
        <v>44</v>
      </c>
      <c r="Z345" t="str">
        <f>"3519249405"</f>
        <v>3519249405</v>
      </c>
      <c r="AA345" t="str">
        <f>"9615790550"</f>
        <v>9615790550</v>
      </c>
      <c r="AB345" t="str">
        <f>"9678688388"</f>
        <v>9678688388</v>
      </c>
      <c r="AC345" t="str">
        <f>"9678688388"</f>
        <v>9678688388</v>
      </c>
      <c r="AD345" t="str">
        <f>"9678688388"</f>
        <v>9678688388</v>
      </c>
      <c r="AE345" t="str">
        <f>""</f>
        <v/>
      </c>
    </row>
    <row r="346" spans="1:31" x14ac:dyDescent="0.45">
      <c r="A346" t="str">
        <f>"МАКСИМЕНКО ДМИТРИЙ МИХАЙЛОВИЧ"</f>
        <v>МАКСИМЕНКО ДМИТРИЙ МИХАЙЛОВИЧ</v>
      </c>
      <c r="B346" t="str">
        <f>"1991-12-10"</f>
        <v>1991-12-10</v>
      </c>
      <c r="C346" t="str">
        <f>"67 11 194006"</f>
        <v>67 11 194006</v>
      </c>
      <c r="D346" t="str">
        <f>"4279016730338524"</f>
        <v>4279016730338524</v>
      </c>
      <c r="E346" t="str">
        <f t="shared" ref="E346:E351" si="62">"2021-05-31"</f>
        <v>2021-05-31</v>
      </c>
      <c r="F346" t="str">
        <f t="shared" si="61"/>
        <v>+</v>
      </c>
      <c r="G346" t="str">
        <f t="shared" si="61"/>
        <v>+</v>
      </c>
      <c r="H346" t="str">
        <f>"40817810316992400297"</f>
        <v>40817810316992400297</v>
      </c>
      <c r="I346" t="str">
        <f>"5940"</f>
        <v>5940</v>
      </c>
      <c r="J346" t="str">
        <f>"0138"</f>
        <v>0138</v>
      </c>
      <c r="K346" t="str">
        <f>"390000.00"</f>
        <v>390000.00</v>
      </c>
      <c r="L346" t="str">
        <f>"628600 ОБЛ ТЮМЕНСКАЯ   Г НИЖНЕВАРТОВСК   УЛ НВГПК"</f>
        <v>628600 ОБЛ ТЮМЕНСКАЯ   Г НИЖНЕВАРТОВСК   УЛ НВГПК</v>
      </c>
      <c r="M346" t="str">
        <f t="shared" si="57"/>
        <v>2019-08-24</v>
      </c>
      <c r="N346" t="str">
        <f>"ООО НИЖНЕВАРТОВСКИЙ ГПЗ"</f>
        <v>ООО НИЖНЕВАРТОВСКИЙ ГПЗ</v>
      </c>
      <c r="O346" t="str">
        <f>"628600"</f>
        <v>628600</v>
      </c>
      <c r="P346" t="str">
        <f>"ОБЛ ТЮМЕНСКАЯ"</f>
        <v>ОБЛ ТЮМЕНСКАЯ</v>
      </c>
      <c r="Q346" t="str">
        <f>""</f>
        <v/>
      </c>
      <c r="R346" t="str">
        <f>"Г НИЖНЕВАРТОВСК"</f>
        <v>Г НИЖНЕВАРТОВСК</v>
      </c>
      <c r="S346" t="str">
        <f>""</f>
        <v/>
      </c>
      <c r="T346" t="str">
        <f>"УЛ ХАНТЫ-МАНСИЙСКАЯ"</f>
        <v>УЛ ХАНТЫ-МАНСИЙСКАЯ</v>
      </c>
      <c r="U346" s="1" t="str">
        <f>"40"</f>
        <v>40</v>
      </c>
      <c r="V346" s="1" t="str">
        <f>""</f>
        <v/>
      </c>
      <c r="W346" s="1" t="str">
        <f>""</f>
        <v/>
      </c>
      <c r="X346" s="1" t="str">
        <f>""</f>
        <v/>
      </c>
      <c r="Y346" s="1" t="str">
        <f>"266"</f>
        <v>266</v>
      </c>
      <c r="Z346" t="str">
        <f>"9124162533"</f>
        <v>9124162533</v>
      </c>
      <c r="AA346" t="str">
        <f>"9505059776"</f>
        <v>9505059776</v>
      </c>
      <c r="AB346" t="str">
        <f>"9124162533"</f>
        <v>9124162533</v>
      </c>
      <c r="AC346" t="str">
        <f>"9505059776"</f>
        <v>9505059776</v>
      </c>
      <c r="AD346" t="str">
        <f>"9124162533"</f>
        <v>9124162533</v>
      </c>
      <c r="AE346" t="str">
        <f>"9124162533"</f>
        <v>9124162533</v>
      </c>
    </row>
    <row r="347" spans="1:31" x14ac:dyDescent="0.45">
      <c r="A347" t="str">
        <f>"ОГНЕВА ВЕРА АНАТОЛЬЕВНА"</f>
        <v>ОГНЕВА ВЕРА АНАТОЛЬЕВНА</v>
      </c>
      <c r="B347" t="str">
        <f>"1990-06-16"</f>
        <v>1990-06-16</v>
      </c>
      <c r="C347" t="str">
        <f>"71 10 844519"</f>
        <v>71 10 844519</v>
      </c>
      <c r="D347" t="str">
        <f>"4279016710061716"</f>
        <v>4279016710061716</v>
      </c>
      <c r="E347" t="str">
        <f t="shared" si="62"/>
        <v>2021-05-31</v>
      </c>
      <c r="F347" t="str">
        <f t="shared" si="61"/>
        <v>+</v>
      </c>
      <c r="G347" t="str">
        <f t="shared" si="61"/>
        <v>+</v>
      </c>
      <c r="H347" t="str">
        <f>"40817810316992013189"</f>
        <v>40817810316992013189</v>
      </c>
      <c r="I347" t="str">
        <f>"8647"</f>
        <v>8647</v>
      </c>
      <c r="J347" t="str">
        <f>"0260"</f>
        <v>0260</v>
      </c>
      <c r="K347" t="str">
        <f>"30000.00"</f>
        <v>30000.00</v>
      </c>
      <c r="L347" t="str">
        <f>"627070 ОБЛ ТЮМЕНСКАЯ Р-Н ОМУТИНСКИЙ   С ОМУТИНСКОЕ УЛ ПРИВОКЗАЛЬНАЯ д. 104"</f>
        <v>627070 ОБЛ ТЮМЕНСКАЯ Р-Н ОМУТИНСКИЙ   С ОМУТИНСКОЕ УЛ ПРИВОКЗАЛЬНАЯ д. 104</v>
      </c>
      <c r="M347" t="str">
        <f t="shared" si="57"/>
        <v>2019-08-24</v>
      </c>
      <c r="N347" t="str">
        <f>"АО ТОДЭП ДРСУ-4"</f>
        <v>АО ТОДЭП ДРСУ-4</v>
      </c>
      <c r="O347" t="str">
        <f>"627070"</f>
        <v>627070</v>
      </c>
      <c r="P347" t="str">
        <f>"ОБЛ ТЮМЕНСКАЯ"</f>
        <v>ОБЛ ТЮМЕНСКАЯ</v>
      </c>
      <c r="Q347" t="str">
        <f>"Р-Н ОМУТИНСКИЙ"</f>
        <v>Р-Н ОМУТИНСКИЙ</v>
      </c>
      <c r="R347" t="str">
        <f>""</f>
        <v/>
      </c>
      <c r="S347" t="str">
        <f>"С ОМУТИНСКОЕ"</f>
        <v>С ОМУТИНСКОЕ</v>
      </c>
      <c r="T347" t="str">
        <f>"УЛ ЛЕСНАЯ"</f>
        <v>УЛ ЛЕСНАЯ</v>
      </c>
      <c r="U347" s="1" t="str">
        <f>"15"</f>
        <v>15</v>
      </c>
      <c r="V347" s="1" t="str">
        <f>""</f>
        <v/>
      </c>
      <c r="W347" s="1" t="str">
        <f>""</f>
        <v/>
      </c>
      <c r="X347" s="1" t="str">
        <f>""</f>
        <v/>
      </c>
      <c r="Y347" s="1" t="str">
        <f>"1"</f>
        <v>1</v>
      </c>
      <c r="Z347" t="str">
        <f>"3454432254"</f>
        <v>3454432254</v>
      </c>
      <c r="AA347" t="str">
        <f>"9199466628"</f>
        <v>9199466628</v>
      </c>
      <c r="AB347" t="str">
        <f>"9199466628"</f>
        <v>9199466628</v>
      </c>
      <c r="AC347" t="str">
        <f>"9199466628"</f>
        <v>9199466628</v>
      </c>
      <c r="AD347" t="str">
        <f>"9199466628"</f>
        <v>9199466628</v>
      </c>
      <c r="AE347" t="str">
        <f>"3454432254"</f>
        <v>3454432254</v>
      </c>
    </row>
    <row r="348" spans="1:31" x14ac:dyDescent="0.45">
      <c r="A348" t="str">
        <f>"АНТРОПОВА АНАСТАСИЯ ДМИТРИЕВНА"</f>
        <v>АНТРОПОВА АНАСТАСИЯ ДМИТРИЕВНА</v>
      </c>
      <c r="B348" t="str">
        <f>"1996-07-11"</f>
        <v>1996-07-11</v>
      </c>
      <c r="C348" t="str">
        <f>"65 16 254265"</f>
        <v>65 16 254265</v>
      </c>
      <c r="D348" t="str">
        <f>"4279016707297174"</f>
        <v>4279016707297174</v>
      </c>
      <c r="E348" t="str">
        <f t="shared" si="62"/>
        <v>2021-05-31</v>
      </c>
      <c r="F348" t="str">
        <f>"K"</f>
        <v>K</v>
      </c>
      <c r="G348" t="str">
        <f>"+"</f>
        <v>+</v>
      </c>
      <c r="H348" t="str">
        <f>"40817810316992400365"</f>
        <v>40817810316992400365</v>
      </c>
      <c r="I348" t="str">
        <f>"1791"</f>
        <v>1791</v>
      </c>
      <c r="J348" t="str">
        <f>"0054"</f>
        <v>0054</v>
      </c>
      <c r="K348" t="str">
        <f>"64000.00"</f>
        <v>64000.00</v>
      </c>
      <c r="L348" t="str">
        <f>"628000 ОБЛ ТЮМЕНСКАЯ   Г ХАНТЫ-МАНСИЙСК   УЛ ЧЕХОВА д. 16"</f>
        <v>628000 ОБЛ ТЮМЕНСКАЯ   Г ХАНТЫ-МАНСИЙСК   УЛ ЧЕХОВА д. 16</v>
      </c>
      <c r="M348" t="str">
        <f t="shared" si="57"/>
        <v>2019-08-24</v>
      </c>
      <c r="N348" t="str">
        <f>"ЮГУ"</f>
        <v>ЮГУ</v>
      </c>
      <c r="O348" t="str">
        <f>"620000"</f>
        <v>620000</v>
      </c>
      <c r="P348" t="str">
        <f>"ОБЛ СВЕРДЛОВСКАЯ"</f>
        <v>ОБЛ СВЕРДЛОВСКАЯ</v>
      </c>
      <c r="Q348" t="str">
        <f>""</f>
        <v/>
      </c>
      <c r="R348" t="str">
        <f>"Г СЕВЕРОУРАЛЬСК"</f>
        <v>Г СЕВЕРОУРАЛЬСК</v>
      </c>
      <c r="S348" t="str">
        <f>"П КАЛЬЯ"</f>
        <v>П КАЛЬЯ</v>
      </c>
      <c r="T348" t="str">
        <f>"УЛ ОКТЯБРЬСКАЯ"</f>
        <v>УЛ ОКТЯБРЬСКАЯ</v>
      </c>
      <c r="U348" s="1" t="str">
        <f>"17"</f>
        <v>17</v>
      </c>
      <c r="V348" s="1" t="str">
        <f>""</f>
        <v/>
      </c>
      <c r="W348" s="1" t="str">
        <f>""</f>
        <v/>
      </c>
      <c r="X348" s="1" t="str">
        <f>""</f>
        <v/>
      </c>
      <c r="Y348" s="1" t="str">
        <f>"81"</f>
        <v>81</v>
      </c>
      <c r="Z348" t="str">
        <f>""</f>
        <v/>
      </c>
      <c r="AA348" t="str">
        <f>"3438035403"</f>
        <v>3438035403</v>
      </c>
      <c r="AB348" t="str">
        <f>"9655405545"</f>
        <v>9655405545</v>
      </c>
      <c r="AC348" t="str">
        <f>"9655405545"</f>
        <v>9655405545</v>
      </c>
      <c r="AD348" t="str">
        <f>"9527430180"</f>
        <v>9527430180</v>
      </c>
      <c r="AE348" t="str">
        <f>""</f>
        <v/>
      </c>
    </row>
    <row r="349" spans="1:31" x14ac:dyDescent="0.45">
      <c r="A349" t="str">
        <f>"БАБИКОВА АЛИНА ЯРОСЛАВОВНА"</f>
        <v>БАБИКОВА АЛИНА ЯРОСЛАВОВНА</v>
      </c>
      <c r="B349" t="str">
        <f>"1979-05-01"</f>
        <v>1979-05-01</v>
      </c>
      <c r="C349" t="str">
        <f>"74 09 725733"</f>
        <v>74 09 725733</v>
      </c>
      <c r="D349" t="str">
        <f>"4279016716590353"</f>
        <v>4279016716590353</v>
      </c>
      <c r="E349" t="str">
        <f t="shared" si="62"/>
        <v>2021-05-31</v>
      </c>
      <c r="F349" t="str">
        <f>"+"</f>
        <v>+</v>
      </c>
      <c r="G349" t="str">
        <f>"+"</f>
        <v>+</v>
      </c>
      <c r="H349" t="str">
        <f>"40817810016992402443"</f>
        <v>40817810016992402443</v>
      </c>
      <c r="I349" t="str">
        <f>"8369"</f>
        <v>8369</v>
      </c>
      <c r="J349" t="str">
        <f>"0003"</f>
        <v>0003</v>
      </c>
      <c r="K349" t="str">
        <f>"135000.00"</f>
        <v>135000.00</v>
      </c>
      <c r="L349" t="str">
        <f>"629303 ОБЛ ТЮМЕНСКАЯ   Г НОВЫЙ УРЕНГОЙ   ПР-КТ ГУБКИНА д. 28 офис 40"</f>
        <v>629303 ОБЛ ТЮМЕНСКАЯ   Г НОВЫЙ УРЕНГОЙ   ПР-КТ ГУБКИНА д. 28 офис 40</v>
      </c>
      <c r="M349" t="str">
        <f t="shared" si="57"/>
        <v>2019-08-24</v>
      </c>
      <c r="N349" t="str">
        <f>"АНО УМЦ ДПО СТАТУС"</f>
        <v>АНО УМЦ ДПО СТАТУС</v>
      </c>
      <c r="O349" t="str">
        <f>"629303"</f>
        <v>629303</v>
      </c>
      <c r="P349" t="str">
        <f>"ОБЛ ТЮМЕНСКАЯ"</f>
        <v>ОБЛ ТЮМЕНСКАЯ</v>
      </c>
      <c r="Q349" t="str">
        <f>""</f>
        <v/>
      </c>
      <c r="R349" t="str">
        <f>"Г НОВЫЙ УРЕНГОЙ"</f>
        <v>Г НОВЫЙ УРЕНГОЙ</v>
      </c>
      <c r="S349" t="str">
        <f>""</f>
        <v/>
      </c>
      <c r="T349" t="str">
        <f>"ПР-КТ ЛЕНИНГРАДСКИЙ"</f>
        <v>ПР-КТ ЛЕНИНГРАДСКИЙ</v>
      </c>
      <c r="U349" s="1" t="str">
        <f>"14"</f>
        <v>14</v>
      </c>
      <c r="V349" s="1" t="str">
        <f>""</f>
        <v/>
      </c>
      <c r="W349" s="1" t="str">
        <f>""</f>
        <v/>
      </c>
      <c r="X349" s="1" t="str">
        <f>""</f>
        <v/>
      </c>
      <c r="Y349" s="1" t="str">
        <f>"41"</f>
        <v>41</v>
      </c>
      <c r="Z349" t="str">
        <f>""</f>
        <v/>
      </c>
      <c r="AA349" t="str">
        <f>"9222851150"</f>
        <v>9222851150</v>
      </c>
      <c r="AB349" t="str">
        <f>"9222851150"</f>
        <v>9222851150</v>
      </c>
      <c r="AC349" t="str">
        <f>"9222851150"</f>
        <v>9222851150</v>
      </c>
      <c r="AD349" t="str">
        <f>"9222851150"</f>
        <v>9222851150</v>
      </c>
      <c r="AE349" t="str">
        <f>""</f>
        <v/>
      </c>
    </row>
    <row r="350" spans="1:31" x14ac:dyDescent="0.45">
      <c r="A350" t="str">
        <f>"НОВОСЕЛОВ ИВАН ВЛАДИМИРОВИЧ"</f>
        <v>НОВОСЕЛОВ ИВАН ВЛАДИМИРОВИЧ</v>
      </c>
      <c r="B350" t="str">
        <f>"1981-08-09"</f>
        <v>1981-08-09</v>
      </c>
      <c r="C350" t="str">
        <f>"67 02 690818"</f>
        <v>67 02 690818</v>
      </c>
      <c r="D350" t="str">
        <f>"4279016717150934"</f>
        <v>4279016717150934</v>
      </c>
      <c r="E350" t="str">
        <f t="shared" si="62"/>
        <v>2021-05-31</v>
      </c>
      <c r="F350" t="str">
        <f>"+"</f>
        <v>+</v>
      </c>
      <c r="G350" t="str">
        <f>"+"</f>
        <v>+</v>
      </c>
      <c r="H350" t="str">
        <f>"40817810516992015178"</f>
        <v>40817810516992015178</v>
      </c>
      <c r="I350" t="str">
        <f>"5940"</f>
        <v>5940</v>
      </c>
      <c r="J350" t="str">
        <f>"0133"</f>
        <v>0133</v>
      </c>
      <c r="K350" t="str">
        <f>"245000.00"</f>
        <v>245000.00</v>
      </c>
      <c r="L350" t="str">
        <f>"628672 ОБЛ ТЮМЕНСКАЯ     Г ЛАНГЕПАС УЛ СОЛНЕЧНАЯ д. 21 стр. 1"</f>
        <v>628672 ОБЛ ТЮМЕНСКАЯ     Г ЛАНГЕПАС УЛ СОЛНЕЧНАЯ д. 21 стр. 1</v>
      </c>
      <c r="M350" t="str">
        <f t="shared" si="57"/>
        <v>2019-08-24</v>
      </c>
      <c r="N350" t="str">
        <f>"РБТ"</f>
        <v>РБТ</v>
      </c>
      <c r="O350" t="str">
        <f>"628672"</f>
        <v>628672</v>
      </c>
      <c r="P350" t="str">
        <f>"ОБЛ ТЮМЕНСКАЯ"</f>
        <v>ОБЛ ТЮМЕНСКАЯ</v>
      </c>
      <c r="Q350" t="str">
        <f>""</f>
        <v/>
      </c>
      <c r="R350" t="str">
        <f>""</f>
        <v/>
      </c>
      <c r="S350" t="str">
        <f>"Г ЛАНГЕПАС"</f>
        <v>Г ЛАНГЕПАС</v>
      </c>
      <c r="T350" t="str">
        <f>"УЛ ПЕРВОСТРОИТЕЛЕЙ"</f>
        <v>УЛ ПЕРВОСТРОИТЕЛЕЙ</v>
      </c>
      <c r="U350" s="1" t="str">
        <f>"2"</f>
        <v>2</v>
      </c>
      <c r="V350" s="1" t="str">
        <f>""</f>
        <v/>
      </c>
      <c r="W350" s="1" t="str">
        <f>""</f>
        <v/>
      </c>
      <c r="X350" s="1" t="str">
        <f>""</f>
        <v/>
      </c>
      <c r="Y350" s="1" t="str">
        <f>"9"</f>
        <v>9</v>
      </c>
      <c r="Z350" t="str">
        <f>"3466951482"</f>
        <v>3466951482</v>
      </c>
      <c r="AA350" t="str">
        <f>"3466951482"</f>
        <v>3466951482</v>
      </c>
      <c r="AB350" t="str">
        <f>"9044860586"</f>
        <v>9044860586</v>
      </c>
      <c r="AC350" t="str">
        <f>"3466951482"</f>
        <v>3466951482</v>
      </c>
      <c r="AD350" t="str">
        <f>"9044860586"</f>
        <v>9044860586</v>
      </c>
      <c r="AE350" t="str">
        <f>"3466951482"</f>
        <v>3466951482</v>
      </c>
    </row>
    <row r="351" spans="1:31" x14ac:dyDescent="0.45">
      <c r="A351" t="str">
        <f>"РЕСНЯНСКАЯ НАДЕЖДА АЛЕКСАНДРОВНА"</f>
        <v>РЕСНЯНСКАЯ НАДЕЖДА АЛЕКСАНДРОВНА</v>
      </c>
      <c r="B351" t="str">
        <f>"1955-11-09"</f>
        <v>1955-11-09</v>
      </c>
      <c r="C351" t="str">
        <f>"65 00 480779"</f>
        <v>65 00 480779</v>
      </c>
      <c r="D351" t="str">
        <f>"4279011649553370"</f>
        <v>4279011649553370</v>
      </c>
      <c r="E351" t="str">
        <f t="shared" si="62"/>
        <v>2021-05-31</v>
      </c>
      <c r="F351" t="str">
        <f>"+"</f>
        <v>+</v>
      </c>
      <c r="G351" t="str">
        <f>"+"</f>
        <v>+</v>
      </c>
      <c r="H351" t="str">
        <f>"40817810316991427352"</f>
        <v>40817810316991427352</v>
      </c>
      <c r="I351" t="str">
        <f>"7003"</f>
        <v>7003</v>
      </c>
      <c r="J351" t="str">
        <f>"0875"</f>
        <v>0875</v>
      </c>
      <c r="K351" t="str">
        <f>"115000.00"</f>
        <v>115000.00</v>
      </c>
      <c r="L351" t="str">
        <f>"620000 ОБЛ СВЕРДЛОВСКАЯ     Г ЕКАТЕРИНБУРГ УЛ 8 МАРТА д. 36"</f>
        <v>620000 ОБЛ СВЕРДЛОВСКАЯ     Г ЕКАТЕРИНБУРГ УЛ 8 МАРТА д. 36</v>
      </c>
      <c r="M351" t="str">
        <f t="shared" si="57"/>
        <v>2019-08-24</v>
      </c>
      <c r="N351" t="str">
        <f>"СВЕРДЛОВСКАЯ ГОС. ДЕТСКАЯ ФИЛА"</f>
        <v>СВЕРДЛОВСКАЯ ГОС. ДЕТСКАЯ ФИЛА</v>
      </c>
      <c r="O351" t="str">
        <f>"620085"</f>
        <v>620085</v>
      </c>
      <c r="P351" t="str">
        <f>"ОБЛ СВЕРДЛОВСКАЯ"</f>
        <v>ОБЛ СВЕРДЛОВСКАЯ</v>
      </c>
      <c r="Q351" t="str">
        <f>""</f>
        <v/>
      </c>
      <c r="R351" t="str">
        <f>""</f>
        <v/>
      </c>
      <c r="S351" t="str">
        <f>"Г ЕКАТЕРИНБУРГ"</f>
        <v>Г ЕКАТЕРИНБУРГ</v>
      </c>
      <c r="T351" t="str">
        <f>"УЛ АПТЕКАРСКАЯ"</f>
        <v>УЛ АПТЕКАРСКАЯ</v>
      </c>
      <c r="U351" s="1" t="str">
        <f>"47"</f>
        <v>47</v>
      </c>
      <c r="V351" s="1" t="str">
        <f>""</f>
        <v/>
      </c>
      <c r="W351" s="1" t="str">
        <f>""</f>
        <v/>
      </c>
      <c r="X351" s="1" t="str">
        <f>""</f>
        <v/>
      </c>
      <c r="Y351" s="1" t="str">
        <f>"108"</f>
        <v>108</v>
      </c>
      <c r="Z351" t="str">
        <f>""</f>
        <v/>
      </c>
      <c r="AA351" t="str">
        <f>"9122826237"</f>
        <v>9122826237</v>
      </c>
      <c r="AB351" t="str">
        <f>"9122826237"</f>
        <v>9122826237</v>
      </c>
      <c r="AC351" t="str">
        <f>"9122826237"</f>
        <v>9122826237</v>
      </c>
      <c r="AD351" t="str">
        <f>"9122826237"</f>
        <v>9122826237</v>
      </c>
      <c r="AE351" t="str">
        <f>""</f>
        <v/>
      </c>
    </row>
    <row r="352" spans="1:31" x14ac:dyDescent="0.45">
      <c r="A352" t="str">
        <f>"ПОВЫШЕВА НАТАЛЬЯ ПАВЛОВНА"</f>
        <v>ПОВЫШЕВА НАТАЛЬЯ ПАВЛОВНА</v>
      </c>
      <c r="B352" t="str">
        <f>"1991-05-31"</f>
        <v>1991-05-31</v>
      </c>
      <c r="C352" t="str">
        <f>"80 10 279391"</f>
        <v>80 10 279391</v>
      </c>
      <c r="D352" t="str">
        <f>"4854630357562977"</f>
        <v>4854630357562977</v>
      </c>
      <c r="E352" t="str">
        <f>"2021-04-30"</f>
        <v>2021-04-30</v>
      </c>
      <c r="F352" t="str">
        <f>"+"</f>
        <v>+</v>
      </c>
      <c r="G352" t="str">
        <f>"+"</f>
        <v>+</v>
      </c>
      <c r="H352" t="str">
        <f>"40817810516991427369"</f>
        <v>40817810516991427369</v>
      </c>
      <c r="I352" t="str">
        <f>"8598"</f>
        <v>8598</v>
      </c>
      <c r="J352" t="str">
        <f>"0754"</f>
        <v>0754</v>
      </c>
      <c r="K352" t="str">
        <f>"50000.00"</f>
        <v>50000.00</v>
      </c>
      <c r="L352" t="str">
        <f>"628331 ОБЛ ТЮМЕНСКАЯ Р-Н НЕФТЕЮГАНСКИЙ   П ПОЙКОВСКИЙ УЛ КОМСОМОЛЬСКАЯ д. 82"</f>
        <v>628331 ОБЛ ТЮМЕНСКАЯ Р-Н НЕФТЕЮГАНСКИЙ   П ПОЙКОВСКИЙ УЛ КОМСОМОЛЬСКАЯ д. 82</v>
      </c>
      <c r="M352" t="str">
        <f t="shared" si="57"/>
        <v>2019-08-24</v>
      </c>
      <c r="N352" t="str">
        <f>"ООО ПРАВДИНКА ПЛЮС"</f>
        <v>ООО ПРАВДИНКА ПЛЮС</v>
      </c>
      <c r="O352" t="str">
        <f>"450000"</f>
        <v>450000</v>
      </c>
      <c r="P352" t="str">
        <f>"РЕСП БАШКОРТОСТАН"</f>
        <v>РЕСП БАШКОРТОСТАН</v>
      </c>
      <c r="Q352" t="str">
        <f>"Р-Н ХАЙБУЛЛИНСКИЙ"</f>
        <v>Р-Н ХАЙБУЛЛИНСКИЙ</v>
      </c>
      <c r="R352" t="str">
        <f>""</f>
        <v/>
      </c>
      <c r="S352" t="str">
        <f>"С САВЕЛЬЕВКА"</f>
        <v>С САВЕЛЬЕВКА</v>
      </c>
      <c r="T352" t="str">
        <f>"УЛ САДОВАЯ"</f>
        <v>УЛ САДОВАЯ</v>
      </c>
      <c r="U352" s="1" t="str">
        <f>"1"</f>
        <v>1</v>
      </c>
      <c r="V352" s="1" t="str">
        <f>""</f>
        <v/>
      </c>
      <c r="W352" s="1" t="str">
        <f>""</f>
        <v/>
      </c>
      <c r="X352" s="1" t="str">
        <f>""</f>
        <v/>
      </c>
      <c r="Y352" s="1" t="str">
        <f>"1"</f>
        <v>1</v>
      </c>
      <c r="Z352" t="str">
        <f>""</f>
        <v/>
      </c>
      <c r="AA352" t="str">
        <f>"+7 (34758) 26114"</f>
        <v>+7 (34758) 26114</v>
      </c>
      <c r="AB352" t="str">
        <f>"9825094718"</f>
        <v>9825094718</v>
      </c>
      <c r="AC352" t="str">
        <f>"3475826114"</f>
        <v>3475826114</v>
      </c>
      <c r="AD352" t="str">
        <f>"9825094718"</f>
        <v>9825094718</v>
      </c>
      <c r="AE352" t="str">
        <f>""</f>
        <v/>
      </c>
    </row>
    <row r="353" spans="1:31" x14ac:dyDescent="0.45">
      <c r="A353" t="str">
        <f>"ФИНАЕВ ВЛАДИМИР АНДРЕЕВИЧ"</f>
        <v>ФИНАЕВ ВЛАДИМИР АНДРЕЕВИЧ</v>
      </c>
      <c r="B353" t="str">
        <f>"1996-05-27"</f>
        <v>1996-05-27</v>
      </c>
      <c r="C353" t="str">
        <f>"52 16 544560"</f>
        <v>52 16 544560</v>
      </c>
      <c r="D353" t="str">
        <f>"4279016722672187"</f>
        <v>4279016722672187</v>
      </c>
      <c r="E353" t="str">
        <f t="shared" ref="E353:E412" si="63">"2021-05-31"</f>
        <v>2021-05-31</v>
      </c>
      <c r="F353" t="str">
        <f>"Y"</f>
        <v>Y</v>
      </c>
      <c r="G353" t="str">
        <f>"Q"</f>
        <v>Q</v>
      </c>
      <c r="H353" t="str">
        <f>"40817810816992011351"</f>
        <v>40817810816992011351</v>
      </c>
      <c r="I353" t="str">
        <f>"8634"</f>
        <v>8634</v>
      </c>
      <c r="J353" t="str">
        <f>"0182"</f>
        <v>0182</v>
      </c>
      <c r="K353" t="str">
        <f>"0.00"</f>
        <v>0.00</v>
      </c>
      <c r="L353" t="str">
        <f>"628672 ОБЛ ТЮМЕНСКАЯ     Г ЛАНГЕПАС УЛ СЕВЕРНАЯ ПРОМЗОНА д. 7"</f>
        <v>628672 ОБЛ ТЮМЕНСКАЯ     Г ЛАНГЕПАС УЛ СЕВЕРНАЯ ПРОМЗОНА д. 7</v>
      </c>
      <c r="M353" t="str">
        <f t="shared" si="57"/>
        <v>2019-08-24</v>
      </c>
      <c r="N353" t="s">
        <v>46</v>
      </c>
      <c r="O353" t="str">
        <f>"646430"</f>
        <v>646430</v>
      </c>
      <c r="P353" t="str">
        <f>"ОБЛ ОМСКАЯ"</f>
        <v>ОБЛ ОМСКАЯ</v>
      </c>
      <c r="Q353" t="str">
        <f>""</f>
        <v/>
      </c>
      <c r="R353" t="str">
        <f>""</f>
        <v/>
      </c>
      <c r="S353" t="str">
        <f>"С МУРОМЦЕВО"</f>
        <v>С МУРОМЦЕВО</v>
      </c>
      <c r="T353" t="str">
        <f>"УЛ ЗЕЛЕНАЯ"</f>
        <v>УЛ ЗЕЛЕНАЯ</v>
      </c>
      <c r="U353" s="1" t="str">
        <f>"54"</f>
        <v>54</v>
      </c>
      <c r="V353" s="1" t="str">
        <f>""</f>
        <v/>
      </c>
      <c r="W353" s="1" t="str">
        <f>""</f>
        <v/>
      </c>
      <c r="X353" s="1" t="str">
        <f>""</f>
        <v/>
      </c>
      <c r="Y353" s="1" t="str">
        <f>""</f>
        <v/>
      </c>
      <c r="Z353" t="str">
        <f>"9236734854"</f>
        <v>9236734854</v>
      </c>
      <c r="AA353" t="str">
        <f>"9236734854"</f>
        <v>9236734854</v>
      </c>
      <c r="AB353" t="str">
        <f>"9236890092"</f>
        <v>9236890092</v>
      </c>
      <c r="AC353" t="str">
        <f>"9236734854"</f>
        <v>9236734854</v>
      </c>
      <c r="AD353" t="str">
        <f>"9236890092"</f>
        <v>9236890092</v>
      </c>
      <c r="AE353" t="str">
        <f>"9236734854"</f>
        <v>9236734854</v>
      </c>
    </row>
    <row r="354" spans="1:31" x14ac:dyDescent="0.45">
      <c r="A354" t="str">
        <f>"ШАРАПОВ ВЛАДИСЛАВ АЛЕКСЕЕВИЧ"</f>
        <v>ШАРАПОВ ВЛАДИСЛАВ АЛЕКСЕЕВИЧ</v>
      </c>
      <c r="B354" t="str">
        <f>"1969-08-22"</f>
        <v>1969-08-22</v>
      </c>
      <c r="C354" t="str">
        <f>"71 14 093879"</f>
        <v>71 14 093879</v>
      </c>
      <c r="D354" t="str">
        <f>"4279016734496070"</f>
        <v>4279016734496070</v>
      </c>
      <c r="E354" t="str">
        <f t="shared" si="63"/>
        <v>2021-05-31</v>
      </c>
      <c r="F354" t="str">
        <f>"+"</f>
        <v>+</v>
      </c>
      <c r="G354" t="str">
        <f>"+"</f>
        <v>+</v>
      </c>
      <c r="H354" t="str">
        <f>"40817810616992013274"</f>
        <v>40817810616992013274</v>
      </c>
      <c r="I354" t="str">
        <f>"8647"</f>
        <v>8647</v>
      </c>
      <c r="J354" t="str">
        <f>"0330"</f>
        <v>0330</v>
      </c>
      <c r="K354" t="str">
        <f>"170000.00"</f>
        <v>170000.00</v>
      </c>
      <c r="L354" t="str">
        <f>"625000 ОБЛ ТЮМЕНСКАЯ   Г ТЮМЕНЬ   УЛ 15 КМ ТОБОЛЬСКОГО ТРАКТА"</f>
        <v>625000 ОБЛ ТЮМЕНСКАЯ   Г ТЮМЕНЬ   УЛ 15 КМ ТОБОЛЬСКОГО ТРАКТА</v>
      </c>
      <c r="M354" t="str">
        <f t="shared" si="57"/>
        <v>2019-08-24</v>
      </c>
      <c r="N354" t="str">
        <f>"АО СИБНЕФТЕМАШ"</f>
        <v>АО СИБНЕФТЕМАШ</v>
      </c>
      <c r="O354" t="str">
        <f>"625013"</f>
        <v>625013</v>
      </c>
      <c r="P354" t="str">
        <f t="shared" ref="P354:P377" si="64">"ОБЛ ТЮМЕНСКАЯ"</f>
        <v>ОБЛ ТЮМЕНСКАЯ</v>
      </c>
      <c r="Q354" t="str">
        <f>""</f>
        <v/>
      </c>
      <c r="R354" t="str">
        <f>"Г ТЮМЕНЬ"</f>
        <v>Г ТЮМЕНЬ</v>
      </c>
      <c r="S354" t="str">
        <f>""</f>
        <v/>
      </c>
      <c r="T354" t="str">
        <f>"УЛ 50 ЛЕТ ОКТЯБРЯ"</f>
        <v>УЛ 50 ЛЕТ ОКТЯБРЯ</v>
      </c>
      <c r="U354" s="1" t="str">
        <f>"62А"</f>
        <v>62А</v>
      </c>
      <c r="V354" s="1" t="str">
        <f>""</f>
        <v/>
      </c>
      <c r="W354" s="1" t="str">
        <f>"2"</f>
        <v>2</v>
      </c>
      <c r="X354" s="1" t="str">
        <f>""</f>
        <v/>
      </c>
      <c r="Y354" s="1" t="str">
        <f>"31"</f>
        <v>31</v>
      </c>
      <c r="Z354" t="str">
        <f>"3463313311"</f>
        <v>3463313311</v>
      </c>
      <c r="AA354" t="str">
        <f>"9220737936"</f>
        <v>9220737936</v>
      </c>
      <c r="AB354" t="str">
        <f>"9058219457"</f>
        <v>9058219457</v>
      </c>
      <c r="AC354" t="str">
        <f>"9123906285"</f>
        <v>9123906285</v>
      </c>
      <c r="AD354" t="str">
        <f>"9220737936"</f>
        <v>9220737936</v>
      </c>
      <c r="AE354" t="str">
        <f>""</f>
        <v/>
      </c>
    </row>
    <row r="355" spans="1:31" x14ac:dyDescent="0.45">
      <c r="A355" t="str">
        <f>"БУРМИСТРОВА ИРИНА АЛЕКСАНДРОВНА"</f>
        <v>БУРМИСТРОВА ИРИНА АЛЕКСАНДРОВНА</v>
      </c>
      <c r="B355" t="str">
        <f>"1964-01-27"</f>
        <v>1964-01-27</v>
      </c>
      <c r="C355" t="str">
        <f>"71 09 735979"</f>
        <v>71 09 735979</v>
      </c>
      <c r="D355" t="str">
        <f>"4279016747934653"</f>
        <v>4279016747934653</v>
      </c>
      <c r="E355" t="str">
        <f t="shared" si="63"/>
        <v>2021-05-31</v>
      </c>
      <c r="F355" t="str">
        <f>"+"</f>
        <v>+</v>
      </c>
      <c r="G355" t="str">
        <f>"+"</f>
        <v>+</v>
      </c>
      <c r="H355" t="str">
        <f>"40817810116992400468"</f>
        <v>40817810116992400468</v>
      </c>
      <c r="I355" t="str">
        <f>"8647"</f>
        <v>8647</v>
      </c>
      <c r="J355" t="str">
        <f>"0069"</f>
        <v>0069</v>
      </c>
      <c r="K355" t="str">
        <f>"80000.00"</f>
        <v>80000.00</v>
      </c>
      <c r="L355" t="str">
        <f>"625000 ОБЛ ТЮМЕНСКАЯ ОБЛАСТЬ   Г ТЮМЕНЬ   УЛ ВОЛГОГРАДСКАЯ д. 119 кв. 54"</f>
        <v>625000 ОБЛ ТЮМЕНСКАЯ ОБЛАСТЬ   Г ТЮМЕНЬ   УЛ ВОЛГОГРАДСКАЯ д. 119 кв. 54</v>
      </c>
      <c r="M355" t="str">
        <f t="shared" si="57"/>
        <v>2019-08-24</v>
      </c>
      <c r="N355" t="str">
        <f>"ПЕНСИОНЕР"</f>
        <v>ПЕНСИОНЕР</v>
      </c>
      <c r="O355" t="str">
        <f>"625000"</f>
        <v>625000</v>
      </c>
      <c r="P355" t="str">
        <f t="shared" si="64"/>
        <v>ОБЛ ТЮМЕНСКАЯ</v>
      </c>
      <c r="Q355" t="str">
        <f>""</f>
        <v/>
      </c>
      <c r="R355" t="str">
        <f>"Г ТЮМЕНЬ"</f>
        <v>Г ТЮМЕНЬ</v>
      </c>
      <c r="S355" t="str">
        <f>""</f>
        <v/>
      </c>
      <c r="T355" t="str">
        <f>"УЛ ВОЛГОГРАДСКАЯ"</f>
        <v>УЛ ВОЛГОГРАДСКАЯ</v>
      </c>
      <c r="U355" s="1" t="str">
        <f>"119"</f>
        <v>119</v>
      </c>
      <c r="V355" s="1" t="str">
        <f>""</f>
        <v/>
      </c>
      <c r="W355" s="1" t="str">
        <f>""</f>
        <v/>
      </c>
      <c r="X355" s="1" t="str">
        <f>""</f>
        <v/>
      </c>
      <c r="Y355" s="1" t="str">
        <f>"54"</f>
        <v>54</v>
      </c>
      <c r="Z355" t="str">
        <f>""</f>
        <v/>
      </c>
      <c r="AA355" t="str">
        <f>"3452301158"</f>
        <v>3452301158</v>
      </c>
      <c r="AB355" t="str">
        <f>"9129238255"</f>
        <v>9129238255</v>
      </c>
      <c r="AC355" t="str">
        <f>"3452301158"</f>
        <v>3452301158</v>
      </c>
      <c r="AD355" t="str">
        <f>"9129238255"</f>
        <v>9129238255</v>
      </c>
      <c r="AE355" t="str">
        <f>""</f>
        <v/>
      </c>
    </row>
    <row r="356" spans="1:31" x14ac:dyDescent="0.45">
      <c r="A356" t="str">
        <f>"ВАСИЛЬЕВА МАРИНА ВАЛЕРЬЕВНА"</f>
        <v>ВАСИЛЬЕВА МАРИНА ВАЛЕРЬЕВНА</v>
      </c>
      <c r="B356" t="str">
        <f>"1969-01-04"</f>
        <v>1969-01-04</v>
      </c>
      <c r="C356" t="str">
        <f>"71 13 040188"</f>
        <v>71 13 040188</v>
      </c>
      <c r="D356" t="str">
        <f>"4279016735366249"</f>
        <v>4279016735366249</v>
      </c>
      <c r="E356" t="str">
        <f t="shared" si="63"/>
        <v>2021-05-31</v>
      </c>
      <c r="F356" t="str">
        <f>"Q"</f>
        <v>Q</v>
      </c>
      <c r="G356" t="str">
        <f>"Q"</f>
        <v>Q</v>
      </c>
      <c r="H356" t="str">
        <f>"40817810216992013328"</f>
        <v>40817810216992013328</v>
      </c>
      <c r="I356" t="str">
        <f>"8647"</f>
        <v>8647</v>
      </c>
      <c r="J356" t="str">
        <f>"0088"</f>
        <v>0088</v>
      </c>
      <c r="K356" t="str">
        <f>"0.00"</f>
        <v>0.00</v>
      </c>
      <c r="L356" t="str">
        <f>"625000 ОБЛ ТЮМЕНСКАЯ   Г ТЮМЕНЬ   УЛ ЩЕРБАКОВА д. 205 стр. А"</f>
        <v>625000 ОБЛ ТЮМЕНСКАЯ   Г ТЮМЕНЬ   УЛ ЩЕРБАКОВА д. 205 стр. А</v>
      </c>
      <c r="M356" t="str">
        <f t="shared" si="57"/>
        <v>2019-08-24</v>
      </c>
      <c r="N356" t="str">
        <f>"ООО МАРКЕТИНГ ОЙЛ"</f>
        <v>ООО МАРКЕТИНГ ОЙЛ</v>
      </c>
      <c r="O356" t="str">
        <f>"625000"</f>
        <v>625000</v>
      </c>
      <c r="P356" t="str">
        <f t="shared" si="64"/>
        <v>ОБЛ ТЮМЕНСКАЯ</v>
      </c>
      <c r="Q356" t="str">
        <f>""</f>
        <v/>
      </c>
      <c r="R356" t="str">
        <f>"Г ТЮМЕНЬ"</f>
        <v>Г ТЮМЕНЬ</v>
      </c>
      <c r="S356" t="str">
        <f>""</f>
        <v/>
      </c>
      <c r="T356" t="str">
        <f>"УЛ РЫЛЕЕВА"</f>
        <v>УЛ РЫЛЕЕВА</v>
      </c>
      <c r="U356" s="1" t="str">
        <f>"36"</f>
        <v>36</v>
      </c>
      <c r="V356" s="1" t="str">
        <f>""</f>
        <v/>
      </c>
      <c r="W356" s="1" t="str">
        <f>""</f>
        <v/>
      </c>
      <c r="X356" s="1" t="str">
        <f>""</f>
        <v/>
      </c>
      <c r="Y356" s="1" t="str">
        <f>"231"</f>
        <v>231</v>
      </c>
      <c r="Z356" t="str">
        <f>""</f>
        <v/>
      </c>
      <c r="AA356" t="str">
        <f>"9068229017"</f>
        <v>9068229017</v>
      </c>
      <c r="AB356" t="str">
        <f>"9120783505"</f>
        <v>9120783505</v>
      </c>
      <c r="AC356" t="str">
        <f>"9068229017"</f>
        <v>9068229017</v>
      </c>
      <c r="AD356" t="str">
        <f>"9120783505"</f>
        <v>9120783505</v>
      </c>
      <c r="AE356" t="str">
        <f>""</f>
        <v/>
      </c>
    </row>
    <row r="357" spans="1:31" x14ac:dyDescent="0.45">
      <c r="A357" t="str">
        <f>"МАТВЕЕВА АЛЛА ВАСИЛЬЕВНА"</f>
        <v>МАТВЕЕВА АЛЛА ВАСИЛЬЕВНА</v>
      </c>
      <c r="B357" t="str">
        <f>"1968-06-26"</f>
        <v>1968-06-26</v>
      </c>
      <c r="C357" t="str">
        <f>"71 13 013526"</f>
        <v>71 13 013526</v>
      </c>
      <c r="D357" t="str">
        <f>"4279016727941199"</f>
        <v>4279016727941199</v>
      </c>
      <c r="E357" t="str">
        <f t="shared" si="63"/>
        <v>2021-05-31</v>
      </c>
      <c r="F357" t="str">
        <f t="shared" ref="F357:G366" si="65">"+"</f>
        <v>+</v>
      </c>
      <c r="G357" t="str">
        <f t="shared" si="65"/>
        <v>+</v>
      </c>
      <c r="H357" t="str">
        <f>"40817810716992013378"</f>
        <v>40817810716992013378</v>
      </c>
      <c r="I357" t="str">
        <f>"8647"</f>
        <v>8647</v>
      </c>
      <c r="J357" t="str">
        <f>"0170"</f>
        <v>0170</v>
      </c>
      <c r="K357" t="str">
        <f>"180000.00"</f>
        <v>180000.00</v>
      </c>
      <c r="L357" t="str">
        <f>"625000 ОБЛ ТЮМЕНСКАЯ   Г ТЮМЕНЬ   УЛ ГЕОЛОГОРАЗВЕДЧИКОВ д. 1 стр. 1"</f>
        <v>625000 ОБЛ ТЮМЕНСКАЯ   Г ТЮМЕНЬ   УЛ ГЕОЛОГОРАЗВЕДЧИКОВ д. 1 стр. 1</v>
      </c>
      <c r="M357" t="str">
        <f t="shared" si="57"/>
        <v>2019-08-24</v>
      </c>
      <c r="N357" t="str">
        <f>"МАДОУ ДЕТСКИЙ САД № 106"</f>
        <v>МАДОУ ДЕТСКИЙ САД № 106</v>
      </c>
      <c r="O357" t="str">
        <f>"625000"</f>
        <v>625000</v>
      </c>
      <c r="P357" t="str">
        <f t="shared" si="64"/>
        <v>ОБЛ ТЮМЕНСКАЯ</v>
      </c>
      <c r="Q357" t="str">
        <f>""</f>
        <v/>
      </c>
      <c r="R357" t="str">
        <f>"Г ТЮМЕНЬ"</f>
        <v>Г ТЮМЕНЬ</v>
      </c>
      <c r="S357" t="str">
        <f>""</f>
        <v/>
      </c>
      <c r="T357" t="str">
        <f>"УЛ ТУЛЬСКАЯ"</f>
        <v>УЛ ТУЛЬСКАЯ</v>
      </c>
      <c r="U357" s="1" t="str">
        <f>"2"</f>
        <v>2</v>
      </c>
      <c r="V357" s="1" t="str">
        <f>""</f>
        <v/>
      </c>
      <c r="W357" s="1" t="str">
        <f>""</f>
        <v/>
      </c>
      <c r="X357" s="1" t="str">
        <f>""</f>
        <v/>
      </c>
      <c r="Y357" s="1" t="str">
        <f>"113"</f>
        <v>113</v>
      </c>
      <c r="Z357" t="str">
        <f>""</f>
        <v/>
      </c>
      <c r="AA357" t="str">
        <f>"9123905865"</f>
        <v>9123905865</v>
      </c>
      <c r="AB357" t="str">
        <f>"9044960163"</f>
        <v>9044960163</v>
      </c>
      <c r="AC357" t="str">
        <f>"9123905865"</f>
        <v>9123905865</v>
      </c>
      <c r="AD357" t="str">
        <f>"9044960163"</f>
        <v>9044960163</v>
      </c>
      <c r="AE357" t="str">
        <f>""</f>
        <v/>
      </c>
    </row>
    <row r="358" spans="1:31" x14ac:dyDescent="0.45">
      <c r="A358" t="str">
        <f>"ХАЙРУЛЛИН ЭМИЛЬ РАСИХОВИЧ"</f>
        <v>ХАЙРУЛЛИН ЭМИЛЬ РАСИХОВИЧ</v>
      </c>
      <c r="B358" t="str">
        <f>"1986-05-15"</f>
        <v>1986-05-15</v>
      </c>
      <c r="C358" t="str">
        <f>"74 07 631974"</f>
        <v>74 07 631974</v>
      </c>
      <c r="D358" t="str">
        <f>"4279016713823583"</f>
        <v>4279016713823583</v>
      </c>
      <c r="E358" t="str">
        <f t="shared" si="63"/>
        <v>2021-05-31</v>
      </c>
      <c r="F358" t="str">
        <f t="shared" si="65"/>
        <v>+</v>
      </c>
      <c r="G358" t="str">
        <f t="shared" si="65"/>
        <v>+</v>
      </c>
      <c r="H358" t="str">
        <f>"40817810916992353333"</f>
        <v>40817810916992353333</v>
      </c>
      <c r="I358" t="str">
        <f>"8369"</f>
        <v>8369</v>
      </c>
      <c r="J358" t="str">
        <f>"0031"</f>
        <v>0031</v>
      </c>
      <c r="K358" t="str">
        <f>"87000.00"</f>
        <v>87000.00</v>
      </c>
      <c r="L358" t="str">
        <f>"629000 АО ЯМАЛО-НЕНЕЦКИЙ   Г МУРАВЛЕНКО   УЛ ЛЕНИНА д. 84"</f>
        <v>629000 АО ЯМАЛО-НЕНЕЦКИЙ   Г МУРАВЛЕНКО   УЛ ЛЕНИНА д. 84</v>
      </c>
      <c r="M358" t="str">
        <f t="shared" si="57"/>
        <v>2019-08-24</v>
      </c>
      <c r="N358" t="str">
        <f>"ГАЗПРОМНЕФТЬ МУРАВЛЕНКО"</f>
        <v>ГАЗПРОМНЕФТЬ МУРАВЛЕНКО</v>
      </c>
      <c r="O358" t="str">
        <f>"629600"</f>
        <v>629600</v>
      </c>
      <c r="P358" t="str">
        <f t="shared" si="64"/>
        <v>ОБЛ ТЮМЕНСКАЯ</v>
      </c>
      <c r="Q358" t="str">
        <f>""</f>
        <v/>
      </c>
      <c r="R358" t="str">
        <f>"Г МУРАВЛЕНКО"</f>
        <v>Г МУРАВЛЕНКО</v>
      </c>
      <c r="S358" t="str">
        <f>""</f>
        <v/>
      </c>
      <c r="T358" t="str">
        <f>"УЛ 70 ЛЕТ ОКТЯБРЯ"</f>
        <v>УЛ 70 ЛЕТ ОКТЯБРЯ</v>
      </c>
      <c r="U358" s="1" t="str">
        <f>"16"</f>
        <v>16</v>
      </c>
      <c r="V358" s="1" t="str">
        <f>""</f>
        <v/>
      </c>
      <c r="W358" s="1" t="str">
        <f>""</f>
        <v/>
      </c>
      <c r="X358" s="1" t="str">
        <f>""</f>
        <v/>
      </c>
      <c r="Y358" s="1" t="str">
        <f>"12"</f>
        <v>12</v>
      </c>
      <c r="Z358" t="str">
        <f>""</f>
        <v/>
      </c>
      <c r="AA358" t="str">
        <f>"9320500087"</f>
        <v>9320500087</v>
      </c>
      <c r="AB358" t="str">
        <f>"9320500086"</f>
        <v>9320500086</v>
      </c>
      <c r="AC358" t="str">
        <f>"9320500087"</f>
        <v>9320500087</v>
      </c>
      <c r="AD358" t="str">
        <f>"9320500086"</f>
        <v>9320500086</v>
      </c>
      <c r="AE358" t="str">
        <f>""</f>
        <v/>
      </c>
    </row>
    <row r="359" spans="1:31" x14ac:dyDescent="0.45">
      <c r="A359" t="str">
        <f>"НАДИРАШВИЛИ НАТО ДЖЕМАЛОВНА"</f>
        <v>НАДИРАШВИЛИ НАТО ДЖЕМАЛОВНА</v>
      </c>
      <c r="B359" t="str">
        <f>"1987-12-02"</f>
        <v>1987-12-02</v>
      </c>
      <c r="C359" t="str">
        <f>"67 13 291392"</f>
        <v>67 13 291392</v>
      </c>
      <c r="D359" t="str">
        <f>"4279016716991072"</f>
        <v>4279016716991072</v>
      </c>
      <c r="E359" t="str">
        <f t="shared" si="63"/>
        <v>2021-05-31</v>
      </c>
      <c r="F359" t="str">
        <f t="shared" si="65"/>
        <v>+</v>
      </c>
      <c r="G359" t="str">
        <f t="shared" si="65"/>
        <v>+</v>
      </c>
      <c r="H359" t="str">
        <f>"40817810816992011461"</f>
        <v>40817810816992011461</v>
      </c>
      <c r="I359" t="str">
        <f>"1791"</f>
        <v>1791</v>
      </c>
      <c r="J359" t="str">
        <f>"0081"</f>
        <v>0081</v>
      </c>
      <c r="K359" t="str">
        <f>"30000.00"</f>
        <v>30000.00</v>
      </c>
      <c r="L359" t="str">
        <f>"628285 ОБЛ ТЮМЕНСКАЯ   Г УРАЙ   МКР 2 д. 88"</f>
        <v>628285 ОБЛ ТЮМЕНСКАЯ   Г УРАЙ   МКР 2 д. 88</v>
      </c>
      <c r="M359" t="str">
        <f t="shared" si="57"/>
        <v>2019-08-24</v>
      </c>
      <c r="N359" t="str">
        <f>"МКК ФИНАНСОВЫЙ КОМПАС"</f>
        <v>МКК ФИНАНСОВЫЙ КОМПАС</v>
      </c>
      <c r="O359" t="str">
        <f>"628285"</f>
        <v>628285</v>
      </c>
      <c r="P359" t="str">
        <f t="shared" si="64"/>
        <v>ОБЛ ТЮМЕНСКАЯ</v>
      </c>
      <c r="Q359" t="str">
        <f>""</f>
        <v/>
      </c>
      <c r="R359" t="str">
        <f>"Г УРАЙ"</f>
        <v>Г УРАЙ</v>
      </c>
      <c r="S359" t="str">
        <f>""</f>
        <v/>
      </c>
      <c r="T359" t="str">
        <f>"МКР 1Д"</f>
        <v>МКР 1Д</v>
      </c>
      <c r="U359" s="1" t="str">
        <f>"49Д"</f>
        <v>49Д</v>
      </c>
      <c r="V359" s="1" t="str">
        <f>""</f>
        <v/>
      </c>
      <c r="W359" s="1" t="str">
        <f>""</f>
        <v/>
      </c>
      <c r="X359" s="1" t="str">
        <f>""</f>
        <v/>
      </c>
      <c r="Y359" s="1" t="str">
        <f>"34"</f>
        <v>34</v>
      </c>
      <c r="Z359" t="str">
        <f>"+7 (3466) 491330"</f>
        <v>+7 (3466) 491330</v>
      </c>
      <c r="AA359" t="str">
        <f>"+7 (34676) 29310"</f>
        <v>+7 (34676) 29310</v>
      </c>
      <c r="AB359" t="str">
        <f>"+7 (982) 8829891"</f>
        <v>+7 (982) 8829891</v>
      </c>
      <c r="AC359" t="str">
        <f>"3467629310"</f>
        <v>3467629310</v>
      </c>
      <c r="AD359" t="str">
        <f>"9828829891"</f>
        <v>9828829891</v>
      </c>
      <c r="AE359" t="str">
        <f>"9527099659"</f>
        <v>9527099659</v>
      </c>
    </row>
    <row r="360" spans="1:31" x14ac:dyDescent="0.45">
      <c r="A360" t="str">
        <f>"ЛЕЩЕНКО ЛЮДМИЛА ВИКТОРОВНА"</f>
        <v>ЛЕЩЕНКО ЛЮДМИЛА ВИКТОРОВНА</v>
      </c>
      <c r="B360" t="str">
        <f>"1984-06-01"</f>
        <v>1984-06-01</v>
      </c>
      <c r="C360" t="str">
        <f>"67 08 901684"</f>
        <v>67 08 901684</v>
      </c>
      <c r="D360" t="str">
        <f>"4279016732810892"</f>
        <v>4279016732810892</v>
      </c>
      <c r="E360" t="str">
        <f t="shared" si="63"/>
        <v>2021-05-31</v>
      </c>
      <c r="F360" t="str">
        <f t="shared" si="65"/>
        <v>+</v>
      </c>
      <c r="G360" t="str">
        <f t="shared" si="65"/>
        <v>+</v>
      </c>
      <c r="H360" t="str">
        <f>"40817810916992400503"</f>
        <v>40817810916992400503</v>
      </c>
      <c r="I360" t="str">
        <f>"5940"</f>
        <v>5940</v>
      </c>
      <c r="J360" t="str">
        <f>"0086"</f>
        <v>0086</v>
      </c>
      <c r="K360" t="str">
        <f>"40000.00"</f>
        <v>40000.00</v>
      </c>
      <c r="L360" t="str">
        <f>"628400 ОБЛ ТЮМЕНСКАЯ     П СОЛНЕЧНЫЙ ПЕР ТРАССОВЫЙ д. 7А"</f>
        <v>628400 ОБЛ ТЮМЕНСКАЯ     П СОЛНЕЧНЫЙ ПЕР ТРАССОВЫЙ д. 7А</v>
      </c>
      <c r="M360" t="str">
        <f t="shared" si="57"/>
        <v>2019-08-24</v>
      </c>
      <c r="N360" t="str">
        <f>"ДС БЕЛОСНЕЖКА"</f>
        <v>ДС БЕЛОСНЕЖКА</v>
      </c>
      <c r="O360" t="str">
        <f>"628400"</f>
        <v>628400</v>
      </c>
      <c r="P360" t="str">
        <f t="shared" si="64"/>
        <v>ОБЛ ТЮМЕНСКАЯ</v>
      </c>
      <c r="Q360" t="str">
        <f>""</f>
        <v/>
      </c>
      <c r="R360" t="str">
        <f>""</f>
        <v/>
      </c>
      <c r="S360" t="str">
        <f>"П СОЛНЕЧНЫЙ"</f>
        <v>П СОЛНЕЧНЫЙ</v>
      </c>
      <c r="T360" t="str">
        <f>"УЛ СТРОИТЕЛЕЙ"</f>
        <v>УЛ СТРОИТЕЛЕЙ</v>
      </c>
      <c r="U360" s="1" t="str">
        <f>"33"</f>
        <v>33</v>
      </c>
      <c r="V360" s="1" t="str">
        <f>""</f>
        <v/>
      </c>
      <c r="W360" s="1" t="str">
        <f>""</f>
        <v/>
      </c>
      <c r="X360" s="1" t="str">
        <f>""</f>
        <v/>
      </c>
      <c r="Y360" s="1" t="str">
        <f>"8"</f>
        <v>8</v>
      </c>
      <c r="Z360" t="str">
        <f>""</f>
        <v/>
      </c>
      <c r="AA360" t="str">
        <f>"9058291237"</f>
        <v>9058291237</v>
      </c>
      <c r="AB360" t="str">
        <f>"9224224352"</f>
        <v>9224224352</v>
      </c>
      <c r="AC360" t="str">
        <f>"9058291237"</f>
        <v>9058291237</v>
      </c>
      <c r="AD360" t="str">
        <f>"9224224352"</f>
        <v>9224224352</v>
      </c>
      <c r="AE360" t="str">
        <f>""</f>
        <v/>
      </c>
    </row>
    <row r="361" spans="1:31" x14ac:dyDescent="0.45">
      <c r="A361" t="str">
        <f>"АНДРЕЕВ АЛЕКСЕЙ ВЛАДИМИРОВИЧ"</f>
        <v>АНДРЕЕВ АЛЕКСЕЙ ВЛАДИМИРОВИЧ</v>
      </c>
      <c r="B361" t="str">
        <f>"1984-07-14"</f>
        <v>1984-07-14</v>
      </c>
      <c r="C361" t="str">
        <f>"67 05 644370"</f>
        <v>67 05 644370</v>
      </c>
      <c r="D361" t="str">
        <f>"4279016745797698"</f>
        <v>4279016745797698</v>
      </c>
      <c r="E361" t="str">
        <f t="shared" si="63"/>
        <v>2021-05-31</v>
      </c>
      <c r="F361" t="str">
        <f t="shared" si="65"/>
        <v>+</v>
      </c>
      <c r="G361" t="str">
        <f t="shared" si="65"/>
        <v>+</v>
      </c>
      <c r="H361" t="str">
        <f>"40817810216992400559"</f>
        <v>40817810216992400559</v>
      </c>
      <c r="I361" t="str">
        <f>"5940"</f>
        <v>5940</v>
      </c>
      <c r="J361" t="str">
        <f>"0117"</f>
        <v>0117</v>
      </c>
      <c r="K361" t="str">
        <f>"160000.00"</f>
        <v>160000.00</v>
      </c>
      <c r="L361" t="str">
        <f>"628600 ОБЛ ТЮМЕНСКАЯ   Г НИЖНЕВАРТОВСК   УЛ ПЕРМСКАЯ д. 16 корп. Б кв. 17"</f>
        <v>628600 ОБЛ ТЮМЕНСКАЯ   Г НИЖНЕВАРТОВСК   УЛ ПЕРМСКАЯ д. 16 корп. Б кв. 17</v>
      </c>
      <c r="M361" t="str">
        <f t="shared" si="57"/>
        <v>2019-08-24</v>
      </c>
      <c r="N361" t="str">
        <f>"ИНДРАЙВЕР"</f>
        <v>ИНДРАЙВЕР</v>
      </c>
      <c r="O361" t="str">
        <f>"628600"</f>
        <v>628600</v>
      </c>
      <c r="P361" t="str">
        <f t="shared" si="64"/>
        <v>ОБЛ ТЮМЕНСКАЯ</v>
      </c>
      <c r="Q361" t="str">
        <f>""</f>
        <v/>
      </c>
      <c r="R361" t="str">
        <f>"Г НИЖНЕВАРТОВСК"</f>
        <v>Г НИЖНЕВАРТОВСК</v>
      </c>
      <c r="S361" t="str">
        <f>""</f>
        <v/>
      </c>
      <c r="T361" t="str">
        <f>"УЛ ПЕРМСКАЯ"</f>
        <v>УЛ ПЕРМСКАЯ</v>
      </c>
      <c r="U361" s="1" t="str">
        <f>"16"</f>
        <v>16</v>
      </c>
      <c r="V361" s="1" t="str">
        <f>""</f>
        <v/>
      </c>
      <c r="W361" s="1" t="str">
        <f>"Б"</f>
        <v>Б</v>
      </c>
      <c r="X361" s="1" t="str">
        <f>""</f>
        <v/>
      </c>
      <c r="Y361" s="1" t="str">
        <f>"17"</f>
        <v>17</v>
      </c>
      <c r="Z361" t="str">
        <f>""</f>
        <v/>
      </c>
      <c r="AA361" t="str">
        <f>"9519701627"</f>
        <v>9519701627</v>
      </c>
      <c r="AB361" t="str">
        <f>"9226553064"</f>
        <v>9226553064</v>
      </c>
      <c r="AC361" t="str">
        <f>"9519701627"</f>
        <v>9519701627</v>
      </c>
      <c r="AD361" t="str">
        <f>"9226553064"</f>
        <v>9226553064</v>
      </c>
      <c r="AE361" t="str">
        <f>""</f>
        <v/>
      </c>
    </row>
    <row r="362" spans="1:31" x14ac:dyDescent="0.45">
      <c r="A362" t="str">
        <f>"НОЗДРИН ИГОРЬ СЕРГЕЕВИЧ"</f>
        <v>НОЗДРИН ИГОРЬ СЕРГЕЕВИЧ</v>
      </c>
      <c r="B362" t="str">
        <f>"1985-02-28"</f>
        <v>1985-02-28</v>
      </c>
      <c r="C362" t="str">
        <f>"01 05 704031"</f>
        <v>01 05 704031</v>
      </c>
      <c r="D362" t="str">
        <f>"4279016717812483"</f>
        <v>4279016717812483</v>
      </c>
      <c r="E362" t="str">
        <f t="shared" si="63"/>
        <v>2021-05-31</v>
      </c>
      <c r="F362" t="str">
        <f t="shared" si="65"/>
        <v>+</v>
      </c>
      <c r="G362" t="str">
        <f t="shared" si="65"/>
        <v>+</v>
      </c>
      <c r="H362" t="str">
        <f>"40817810716992013705"</f>
        <v>40817810716992013705</v>
      </c>
      <c r="I362" t="str">
        <f>"5940"</f>
        <v>5940</v>
      </c>
      <c r="J362" t="str">
        <f>"0133"</f>
        <v>0133</v>
      </c>
      <c r="K362" t="str">
        <f>"110000.00"</f>
        <v>110000.00</v>
      </c>
      <c r="L362" t="str">
        <f>"623000 КРАЙ АЛТАЙСКИЙ     С ПОСПЕЛИХА УЛ ВОКЗАЛЬНАЯ д. 115"</f>
        <v>623000 КРАЙ АЛТАЙСКИЙ     С ПОСПЕЛИХА УЛ ВОКЗАЛЬНАЯ д. 115</v>
      </c>
      <c r="M362" t="str">
        <f t="shared" si="57"/>
        <v>2019-08-24</v>
      </c>
      <c r="N362" t="str">
        <f>"МОЛОЧНЫЙ КОМБИНАТ"</f>
        <v>МОЛОЧНЫЙ КОМБИНАТ</v>
      </c>
      <c r="O362" t="str">
        <f>"628672"</f>
        <v>628672</v>
      </c>
      <c r="P362" t="str">
        <f t="shared" si="64"/>
        <v>ОБЛ ТЮМЕНСКАЯ</v>
      </c>
      <c r="Q362" t="str">
        <f>""</f>
        <v/>
      </c>
      <c r="R362" t="str">
        <f>""</f>
        <v/>
      </c>
      <c r="S362" t="str">
        <f>"Г ЛАНГЕПАС"</f>
        <v>Г ЛАНГЕПАС</v>
      </c>
      <c r="T362" t="str">
        <f>"УЛ ЛЕНИНА"</f>
        <v>УЛ ЛЕНИНА</v>
      </c>
      <c r="U362" s="1" t="str">
        <f>"26"</f>
        <v>26</v>
      </c>
      <c r="V362" s="1" t="str">
        <f>""</f>
        <v/>
      </c>
      <c r="W362" s="1" t="str">
        <f>""</f>
        <v/>
      </c>
      <c r="X362" s="1" t="str">
        <f>""</f>
        <v/>
      </c>
      <c r="Y362" s="1" t="str">
        <f>"12"</f>
        <v>12</v>
      </c>
      <c r="Z362" t="str">
        <f>"+7 (38556) 23021"</f>
        <v>+7 (38556) 23021</v>
      </c>
      <c r="AA362" t="str">
        <f>"+7 (904) 4895740"</f>
        <v>+7 (904) 4895740</v>
      </c>
      <c r="AB362" t="str">
        <f>"9227930015"</f>
        <v>9227930015</v>
      </c>
      <c r="AC362" t="str">
        <f>"9293236044"</f>
        <v>9293236044</v>
      </c>
      <c r="AD362" t="str">
        <f>"9044895740"</f>
        <v>9044895740</v>
      </c>
      <c r="AE362" t="str">
        <f>"9293236044"</f>
        <v>9293236044</v>
      </c>
    </row>
    <row r="363" spans="1:31" x14ac:dyDescent="0.45">
      <c r="A363" t="str">
        <f>"ЧАНБАЕВА ЛАРИСА ХУСАИНОВНА"</f>
        <v>ЧАНБАЕВА ЛАРИСА ХУСАИНОВНА</v>
      </c>
      <c r="B363" t="str">
        <f>"1974-05-20"</f>
        <v>1974-05-20</v>
      </c>
      <c r="C363" t="str">
        <f>"67 19 832980"</f>
        <v>67 19 832980</v>
      </c>
      <c r="D363" t="str">
        <f>"4279016716154747"</f>
        <v>4279016716154747</v>
      </c>
      <c r="E363" t="str">
        <f t="shared" si="63"/>
        <v>2021-05-31</v>
      </c>
      <c r="F363" t="str">
        <f t="shared" si="65"/>
        <v>+</v>
      </c>
      <c r="G363" t="str">
        <f t="shared" si="65"/>
        <v>+</v>
      </c>
      <c r="H363" t="str">
        <f>"40817810016992013780"</f>
        <v>40817810016992013780</v>
      </c>
      <c r="I363" t="str">
        <f>"1791"</f>
        <v>1791</v>
      </c>
      <c r="J363" t="str">
        <f>"0003"</f>
        <v>0003</v>
      </c>
      <c r="K363" t="str">
        <f>"87000.00"</f>
        <v>87000.00</v>
      </c>
      <c r="L363" t="str">
        <f>"628000 ОБЛ ТЮМЕНСКАЯ   Г ХАНТЫ-МАНСИЙСК   УЛ ОБЪЕЗДНАЯ д. 55"</f>
        <v>628000 ОБЛ ТЮМЕНСКАЯ   Г ХАНТЫ-МАНСИЙСК   УЛ ОБЪЕЗДНАЯ д. 55</v>
      </c>
      <c r="M363" t="str">
        <f t="shared" si="57"/>
        <v>2019-08-24</v>
      </c>
      <c r="N363" t="str">
        <f>"ДЕТСИЙ САД 20"</f>
        <v>ДЕТСИЙ САД 20</v>
      </c>
      <c r="O363" t="str">
        <f>"628000"</f>
        <v>628000</v>
      </c>
      <c r="P363" t="str">
        <f t="shared" si="64"/>
        <v>ОБЛ ТЮМЕНСКАЯ</v>
      </c>
      <c r="Q363" t="str">
        <f>""</f>
        <v/>
      </c>
      <c r="R363" t="str">
        <f>"Г ХАНТЫ-МАНСИЙСК"</f>
        <v>Г ХАНТЫ-МАНСИЙСК</v>
      </c>
      <c r="S363" t="str">
        <f>""</f>
        <v/>
      </c>
      <c r="T363" t="str">
        <f>"УЛ МИРА"</f>
        <v>УЛ МИРА</v>
      </c>
      <c r="U363" s="1" t="str">
        <f>"151"</f>
        <v>151</v>
      </c>
      <c r="V363" s="1" t="str">
        <f>""</f>
        <v/>
      </c>
      <c r="W363" s="1" t="str">
        <f>""</f>
        <v/>
      </c>
      <c r="X363" s="1" t="str">
        <f>""</f>
        <v/>
      </c>
      <c r="Y363" s="1" t="str">
        <f>"14"</f>
        <v>14</v>
      </c>
      <c r="Z363" t="str">
        <f>"9995501206"</f>
        <v>9995501206</v>
      </c>
      <c r="AA363" t="str">
        <f>"+7 (952) 7173727"</f>
        <v>+7 (952) 7173727</v>
      </c>
      <c r="AB363" t="str">
        <f>"+7 (952) 7173727"</f>
        <v>+7 (952) 7173727</v>
      </c>
      <c r="AC363" t="str">
        <f>"9505199109"</f>
        <v>9505199109</v>
      </c>
      <c r="AD363" t="str">
        <f>"9995501206"</f>
        <v>9995501206</v>
      </c>
      <c r="AE363" t="str">
        <f>""</f>
        <v/>
      </c>
    </row>
    <row r="364" spans="1:31" x14ac:dyDescent="0.45">
      <c r="A364" t="str">
        <f>"ХАРЬКОВА ОЛЬГА ВЛАДИМИРОВНА"</f>
        <v>ХАРЬКОВА ОЛЬГА ВЛАДИМИРОВНА</v>
      </c>
      <c r="B364" t="str">
        <f>"1979-01-25"</f>
        <v>1979-01-25</v>
      </c>
      <c r="C364" t="str">
        <f>"71 13 031488"</f>
        <v>71 13 031488</v>
      </c>
      <c r="D364" t="str">
        <f>"4279016727123822"</f>
        <v>4279016727123822</v>
      </c>
      <c r="E364" t="str">
        <f t="shared" si="63"/>
        <v>2021-05-31</v>
      </c>
      <c r="F364" t="str">
        <f t="shared" si="65"/>
        <v>+</v>
      </c>
      <c r="G364" t="str">
        <f t="shared" si="65"/>
        <v>+</v>
      </c>
      <c r="H364" t="str">
        <f>"40817810316992400666"</f>
        <v>40817810316992400666</v>
      </c>
      <c r="I364" t="str">
        <f>"8647"</f>
        <v>8647</v>
      </c>
      <c r="J364" t="str">
        <f>"0118"</f>
        <v>0118</v>
      </c>
      <c r="K364" t="str">
        <f>"100000.00"</f>
        <v>100000.00</v>
      </c>
      <c r="L364" t="str">
        <f>"625000 ОБЛ ТЮМЕНСКАЯ Р-Н ТЮМЕСНКИЙ Г ТЮМЕНЬ   УЛ ХОЛОДИЛЬНАЯ д. 138"</f>
        <v>625000 ОБЛ ТЮМЕНСКАЯ Р-Н ТЮМЕСНКИЙ Г ТЮМЕНЬ   УЛ ХОЛОДИЛЬНАЯ д. 138</v>
      </c>
      <c r="M364" t="str">
        <f t="shared" si="57"/>
        <v>2019-08-24</v>
      </c>
      <c r="N364" t="str">
        <f>"ООО АВИАЛЬ"</f>
        <v>ООО АВИАЛЬ</v>
      </c>
      <c r="O364" t="str">
        <f>"625000"</f>
        <v>625000</v>
      </c>
      <c r="P364" t="str">
        <f t="shared" si="64"/>
        <v>ОБЛ ТЮМЕНСКАЯ</v>
      </c>
      <c r="Q364" t="str">
        <f>""</f>
        <v/>
      </c>
      <c r="R364" t="str">
        <f>"Г ТЮМЕНЬ"</f>
        <v>Г ТЮМЕНЬ</v>
      </c>
      <c r="S364" t="str">
        <f>""</f>
        <v/>
      </c>
      <c r="T364" t="str">
        <f>"УЛ 50 ЛЕТ ОКТЯБРЯ"</f>
        <v>УЛ 50 ЛЕТ ОКТЯБРЯ</v>
      </c>
      <c r="U364" s="1" t="str">
        <f>"47"</f>
        <v>47</v>
      </c>
      <c r="V364" s="1" t="str">
        <f>""</f>
        <v/>
      </c>
      <c r="W364" s="1" t="str">
        <f>""</f>
        <v/>
      </c>
      <c r="X364" s="1" t="str">
        <f>""</f>
        <v/>
      </c>
      <c r="Y364" s="1" t="str">
        <f>"85"</f>
        <v>85</v>
      </c>
      <c r="Z364" t="str">
        <f>"3452607372"</f>
        <v>3452607372</v>
      </c>
      <c r="AA364" t="str">
        <f>"3452000000"</f>
        <v>3452000000</v>
      </c>
      <c r="AB364" t="str">
        <f>"9324890025"</f>
        <v>9324890025</v>
      </c>
      <c r="AC364" t="str">
        <f>"3452000000"</f>
        <v>3452000000</v>
      </c>
      <c r="AD364" t="str">
        <f>"9324890025"</f>
        <v>9324890025</v>
      </c>
      <c r="AE364" t="str">
        <f>"3452607372"</f>
        <v>3452607372</v>
      </c>
    </row>
    <row r="365" spans="1:31" x14ac:dyDescent="0.45">
      <c r="A365" t="str">
        <f>"ЛЮТАШИН ВИТАЛИЙ СЕРГЕЕВИЧ"</f>
        <v>ЛЮТАШИН ВИТАЛИЙ СЕРГЕЕВИЧ</v>
      </c>
      <c r="B365" t="str">
        <f>"1970-03-26"</f>
        <v>1970-03-26</v>
      </c>
      <c r="C365" t="str">
        <f>"67 14 451057"</f>
        <v>67 14 451057</v>
      </c>
      <c r="D365" t="str">
        <f>"4279016715665818"</f>
        <v>4279016715665818</v>
      </c>
      <c r="E365" t="str">
        <f t="shared" si="63"/>
        <v>2021-05-31</v>
      </c>
      <c r="F365" t="str">
        <f t="shared" si="65"/>
        <v>+</v>
      </c>
      <c r="G365" t="str">
        <f t="shared" si="65"/>
        <v>+</v>
      </c>
      <c r="H365" t="str">
        <f>"40817810016992013861"</f>
        <v>40817810016992013861</v>
      </c>
      <c r="I365" t="str">
        <f>"5940"</f>
        <v>5940</v>
      </c>
      <c r="J365" t="str">
        <f>"0116"</f>
        <v>0116</v>
      </c>
      <c r="K365" t="str">
        <f>"150000.00"</f>
        <v>150000.00</v>
      </c>
      <c r="L365" t="str">
        <f>"628624 ОБЛ ТЮМЕНСКАЯ   Г НИЖНЕВАРТОВСК   УЛ ГЕРОЕВ САМОТЛОРА д. 18 кв. 13"</f>
        <v>628624 ОБЛ ТЮМЕНСКАЯ   Г НИЖНЕВАРТОВСК   УЛ ГЕРОЕВ САМОТЛОРА д. 18 кв. 13</v>
      </c>
      <c r="M365" t="str">
        <f t="shared" si="57"/>
        <v>2019-08-24</v>
      </c>
      <c r="N365" t="str">
        <f>"НЕ РАБОТАЕТ"</f>
        <v>НЕ РАБОТАЕТ</v>
      </c>
      <c r="O365" t="str">
        <f>"628624"</f>
        <v>628624</v>
      </c>
      <c r="P365" t="str">
        <f t="shared" si="64"/>
        <v>ОБЛ ТЮМЕНСКАЯ</v>
      </c>
      <c r="Q365" t="str">
        <f>""</f>
        <v/>
      </c>
      <c r="R365" t="str">
        <f>"Г НИЖНЕВАРТОВСК"</f>
        <v>Г НИЖНЕВАРТОВСК</v>
      </c>
      <c r="S365" t="str">
        <f>""</f>
        <v/>
      </c>
      <c r="T365" t="str">
        <f>"УЛ ГЕРОЕВ САМОТЛОРА"</f>
        <v>УЛ ГЕРОЕВ САМОТЛОРА</v>
      </c>
      <c r="U365" s="1" t="str">
        <f>"18"</f>
        <v>18</v>
      </c>
      <c r="V365" s="1" t="str">
        <f>""</f>
        <v/>
      </c>
      <c r="W365" s="1" t="str">
        <f>""</f>
        <v/>
      </c>
      <c r="X365" s="1" t="str">
        <f>""</f>
        <v/>
      </c>
      <c r="Y365" s="1" t="str">
        <f>"13"</f>
        <v>13</v>
      </c>
      <c r="Z365" t="str">
        <f>""</f>
        <v/>
      </c>
      <c r="AA365" t="str">
        <f>"9222557373"</f>
        <v>9222557373</v>
      </c>
      <c r="AB365" t="str">
        <f>"9028585810"</f>
        <v>9028585810</v>
      </c>
      <c r="AC365" t="str">
        <f>"9222557373"</f>
        <v>9222557373</v>
      </c>
      <c r="AD365" t="str">
        <f>"9028585810"</f>
        <v>9028585810</v>
      </c>
      <c r="AE365" t="str">
        <f>""</f>
        <v/>
      </c>
    </row>
    <row r="366" spans="1:31" x14ac:dyDescent="0.45">
      <c r="A366" t="str">
        <f>"ДРУГАНОВ АЛЕКСАНДР АНАТОЛЬЕВИЧ"</f>
        <v>ДРУГАНОВ АЛЕКСАНДР АНАТОЛЬЕВИЧ</v>
      </c>
      <c r="B366" t="str">
        <f>"1963-12-27"</f>
        <v>1963-12-27</v>
      </c>
      <c r="C366" t="str">
        <f>"71 08 664608"</f>
        <v>71 08 664608</v>
      </c>
      <c r="D366" t="str">
        <f>"4279016718305016"</f>
        <v>4279016718305016</v>
      </c>
      <c r="E366" t="str">
        <f t="shared" si="63"/>
        <v>2021-05-31</v>
      </c>
      <c r="F366" t="str">
        <f t="shared" si="65"/>
        <v>+</v>
      </c>
      <c r="G366" t="str">
        <f t="shared" si="65"/>
        <v>+</v>
      </c>
      <c r="H366" t="str">
        <f>"40817810416992013908"</f>
        <v>40817810416992013908</v>
      </c>
      <c r="I366" t="str">
        <f>"8647"</f>
        <v>8647</v>
      </c>
      <c r="J366" t="str">
        <f>"0178"</f>
        <v>0178</v>
      </c>
      <c r="K366" t="str">
        <f>"100000.00"</f>
        <v>100000.00</v>
      </c>
      <c r="L366" t="str">
        <f>"625000 ОБЛ ТЮМЕНСКАЯ   Г ТЮМЕНЬ   УЛ ВЕТЕРАНОВ ТРУДА д. 11"</f>
        <v>625000 ОБЛ ТЮМЕНСКАЯ   Г ТЮМЕНЬ   УЛ ВЕТЕРАНОВ ТРУДА д. 11</v>
      </c>
      <c r="M366" t="str">
        <f t="shared" si="57"/>
        <v>2019-08-24</v>
      </c>
      <c r="N366" t="str">
        <f>"ОАО АВТОТЕПЛОТЕХНИК"</f>
        <v>ОАО АВТОТЕПЛОТЕХНИК</v>
      </c>
      <c r="O366" t="str">
        <f>"625000"</f>
        <v>625000</v>
      </c>
      <c r="P366" t="str">
        <f t="shared" si="64"/>
        <v>ОБЛ ТЮМЕНСКАЯ</v>
      </c>
      <c r="Q366" t="str">
        <f>""</f>
        <v/>
      </c>
      <c r="R366" t="str">
        <f>"Г ТЮМЕНЬ"</f>
        <v>Г ТЮМЕНЬ</v>
      </c>
      <c r="S366" t="str">
        <f>""</f>
        <v/>
      </c>
      <c r="T366" t="str">
        <f>"УЛ ШИШКОВА"</f>
        <v>УЛ ШИШКОВА</v>
      </c>
      <c r="U366" s="1" t="str">
        <f>"16"</f>
        <v>16</v>
      </c>
      <c r="V366" s="1" t="str">
        <f>""</f>
        <v/>
      </c>
      <c r="W366" s="1" t="str">
        <f>"1"</f>
        <v>1</v>
      </c>
      <c r="X366" s="1" t="str">
        <f>""</f>
        <v/>
      </c>
      <c r="Y366" s="1" t="str">
        <f>"162"</f>
        <v>162</v>
      </c>
      <c r="Z366" t="str">
        <f>""</f>
        <v/>
      </c>
      <c r="AA366" t="str">
        <f>"9199450273"</f>
        <v>9199450273</v>
      </c>
      <c r="AB366" t="str">
        <f>"9123960082"</f>
        <v>9123960082</v>
      </c>
      <c r="AC366" t="str">
        <f>"9199450273"</f>
        <v>9199450273</v>
      </c>
      <c r="AD366" t="str">
        <f>"9123960082"</f>
        <v>9123960082</v>
      </c>
      <c r="AE366" t="str">
        <f>""</f>
        <v/>
      </c>
    </row>
    <row r="367" spans="1:31" x14ac:dyDescent="0.45">
      <c r="A367" t="str">
        <f>"НУРСАДЫКОВА ЛАЗЗАТ НУРГОЖИЕВНА"</f>
        <v>НУРСАДЫКОВА ЛАЗЗАТ НУРГОЖИЕВНА</v>
      </c>
      <c r="B367" t="str">
        <f>"1985-05-02"</f>
        <v>1985-05-02</v>
      </c>
      <c r="C367" t="str">
        <f>"71 14 068474"</f>
        <v>71 14 068474</v>
      </c>
      <c r="D367" t="str">
        <f>"4279016723657567"</f>
        <v>4279016723657567</v>
      </c>
      <c r="E367" t="str">
        <f t="shared" si="63"/>
        <v>2021-05-31</v>
      </c>
      <c r="F367" t="str">
        <f>"K"</f>
        <v>K</v>
      </c>
      <c r="G367" t="str">
        <f>"+"</f>
        <v>+</v>
      </c>
      <c r="H367" t="str">
        <f>"40817810816992013980"</f>
        <v>40817810816992013980</v>
      </c>
      <c r="I367" t="str">
        <f>"8647"</f>
        <v>8647</v>
      </c>
      <c r="J367" t="str">
        <f>"0162"</f>
        <v>0162</v>
      </c>
      <c r="K367" t="str">
        <f>"190000.00"</f>
        <v>190000.00</v>
      </c>
      <c r="L367" t="str">
        <f>"625000 ОБЛ ТЮМЕНСКАЯ Р-Н ТЮМЕНСКИЙ Г ТЮМЕНЬ   УЛ ТОБОЛЬСКИЙ ТРАКТ д. 103"</f>
        <v>625000 ОБЛ ТЮМЕНСКАЯ Р-Н ТЮМЕНСКИЙ Г ТЮМЕНЬ   УЛ ТОБОЛЬСКИЙ ТРАКТ д. 103</v>
      </c>
      <c r="M367" t="str">
        <f t="shared" si="57"/>
        <v>2019-08-24</v>
      </c>
      <c r="N367" t="str">
        <f>"ООО ЛЕРУА МЕРЛЕН ВОСТОК"</f>
        <v>ООО ЛЕРУА МЕРЛЕН ВОСТОК</v>
      </c>
      <c r="O367" t="str">
        <f>"625512"</f>
        <v>625512</v>
      </c>
      <c r="P367" t="str">
        <f t="shared" si="64"/>
        <v>ОБЛ ТЮМЕНСКАЯ</v>
      </c>
      <c r="Q367" t="str">
        <f>"Р-Н ТЮМЕНСКИЙ"</f>
        <v>Р-Н ТЮМЕНСКИЙ</v>
      </c>
      <c r="R367" t="str">
        <f>""</f>
        <v/>
      </c>
      <c r="S367" t="str">
        <f>"С КАСКАРА"</f>
        <v>С КАСКАРА</v>
      </c>
      <c r="T367" t="str">
        <f>"УЛ ЦВЕТОЧНАЯ"</f>
        <v>УЛ ЦВЕТОЧНАЯ</v>
      </c>
      <c r="U367" s="1" t="str">
        <f>"4"</f>
        <v>4</v>
      </c>
      <c r="V367" s="1" t="str">
        <f>""</f>
        <v/>
      </c>
      <c r="W367" s="1" t="str">
        <f>""</f>
        <v/>
      </c>
      <c r="X367" s="1" t="str">
        <f>""</f>
        <v/>
      </c>
      <c r="Y367" s="1" t="str">
        <f>""</f>
        <v/>
      </c>
      <c r="Z367" t="str">
        <f>"9097429449"</f>
        <v>9097429449</v>
      </c>
      <c r="AA367" t="str">
        <f>"9097429449"</f>
        <v>9097429449</v>
      </c>
      <c r="AB367" t="str">
        <f>"9630571763"</f>
        <v>9630571763</v>
      </c>
      <c r="AC367" t="str">
        <f>"9097429449"</f>
        <v>9097429449</v>
      </c>
      <c r="AD367" t="str">
        <f>"9630571763"</f>
        <v>9630571763</v>
      </c>
      <c r="AE367" t="str">
        <f>"9097429449"</f>
        <v>9097429449</v>
      </c>
    </row>
    <row r="368" spans="1:31" x14ac:dyDescent="0.45">
      <c r="A368" t="str">
        <f>"ЯБЛОКОВА ИРИНА АЛЕКСАНДРОВНА"</f>
        <v>ЯБЛОКОВА ИРИНА АЛЕКСАНДРОВНА</v>
      </c>
      <c r="B368" t="str">
        <f>"1991-06-29"</f>
        <v>1991-06-29</v>
      </c>
      <c r="C368" t="str">
        <f>"71 17 271339"</f>
        <v>71 17 271339</v>
      </c>
      <c r="D368" t="str">
        <f>"4279016740393964"</f>
        <v>4279016740393964</v>
      </c>
      <c r="E368" t="str">
        <f t="shared" si="63"/>
        <v>2021-05-31</v>
      </c>
      <c r="F368" t="str">
        <f>"+"</f>
        <v>+</v>
      </c>
      <c r="G368" t="str">
        <f>"+"</f>
        <v>+</v>
      </c>
      <c r="H368" t="str">
        <f>"40817810616992014024"</f>
        <v>40817810616992014024</v>
      </c>
      <c r="I368" t="str">
        <f>"8647"</f>
        <v>8647</v>
      </c>
      <c r="J368" t="str">
        <f>"0095"</f>
        <v>0095</v>
      </c>
      <c r="K368" t="str">
        <f>"22000.00"</f>
        <v>22000.00</v>
      </c>
      <c r="L368" t="str">
        <f>"625000 ОБЛ ТЮМЕНСКАЯ   Г ТЮМЕНЬ   УЛ ПРОЕЗД ЗАРЕЧНЫЙ д. 6 стр. 2 корп. 4"</f>
        <v>625000 ОБЛ ТЮМЕНСКАЯ   Г ТЮМЕНЬ   УЛ ПРОЕЗД ЗАРЕЧНЫЙ д. 6 стр. 2 корп. 4</v>
      </c>
      <c r="M368" t="str">
        <f t="shared" si="57"/>
        <v>2019-08-24</v>
      </c>
      <c r="N368" t="str">
        <f>"ООО ЭЛЕМЕНТ-ТРЕЙД"</f>
        <v>ООО ЭЛЕМЕНТ-ТРЕЙД</v>
      </c>
      <c r="O368" t="str">
        <f>"625000"</f>
        <v>625000</v>
      </c>
      <c r="P368" t="str">
        <f t="shared" si="64"/>
        <v>ОБЛ ТЮМЕНСКАЯ</v>
      </c>
      <c r="Q368" t="str">
        <f>""</f>
        <v/>
      </c>
      <c r="R368" t="str">
        <f>"Г ТЮМЕНЬ"</f>
        <v>Г ТЮМЕНЬ</v>
      </c>
      <c r="S368" t="str">
        <f>""</f>
        <v/>
      </c>
      <c r="T368" t="str">
        <f>"УЛ ВЕЛИЖАНСКАЯ"</f>
        <v>УЛ ВЕЛИЖАНСКАЯ</v>
      </c>
      <c r="U368" s="1" t="str">
        <f>"72"</f>
        <v>72</v>
      </c>
      <c r="V368" s="1" t="str">
        <f>""</f>
        <v/>
      </c>
      <c r="W368" s="1" t="str">
        <f>""</f>
        <v/>
      </c>
      <c r="X368" s="1" t="str">
        <f>""</f>
        <v/>
      </c>
      <c r="Y368" s="1" t="str">
        <f>"70"</f>
        <v>70</v>
      </c>
      <c r="Z368" t="str">
        <f>""</f>
        <v/>
      </c>
      <c r="AA368" t="str">
        <f>"9220093935"</f>
        <v>9220093935</v>
      </c>
      <c r="AB368" t="str">
        <f>"9129975305"</f>
        <v>9129975305</v>
      </c>
      <c r="AC368" t="str">
        <f>"9220093935"</f>
        <v>9220093935</v>
      </c>
      <c r="AD368" t="str">
        <f>"9129975305"</f>
        <v>9129975305</v>
      </c>
      <c r="AE368" t="str">
        <f>""</f>
        <v/>
      </c>
    </row>
    <row r="369" spans="1:31" x14ac:dyDescent="0.45">
      <c r="A369" t="str">
        <f>"ЗАВГОРОДНИЙ СТАНИСЛАВ СЕРГЕЕВИЧ"</f>
        <v>ЗАВГОРОДНИЙ СТАНИСЛАВ СЕРГЕЕВИЧ</v>
      </c>
      <c r="B369" t="str">
        <f>"1992-01-16"</f>
        <v>1992-01-16</v>
      </c>
      <c r="C369" t="str">
        <f>"71 11 930810"</f>
        <v>71 11 930810</v>
      </c>
      <c r="D369" t="str">
        <f>"4279016746991951"</f>
        <v>4279016746991951</v>
      </c>
      <c r="E369" t="str">
        <f t="shared" si="63"/>
        <v>2021-05-31</v>
      </c>
      <c r="F369" t="str">
        <f>"+"</f>
        <v>+</v>
      </c>
      <c r="G369" t="str">
        <f>"+"</f>
        <v>+</v>
      </c>
      <c r="H369" t="str">
        <f>"40817810416992400760"</f>
        <v>40817810416992400760</v>
      </c>
      <c r="I369" t="str">
        <f>"8647"</f>
        <v>8647</v>
      </c>
      <c r="J369" t="str">
        <f>"0095"</f>
        <v>0095</v>
      </c>
      <c r="K369" t="str">
        <f>"175000.00"</f>
        <v>175000.00</v>
      </c>
      <c r="L369" t="str">
        <f>"625000 ОБЛ ТЮМЕНСКАЯ   Г НИЖНЕВАРТОВСК   УЛ 2П2 ЗАПАДНЫЙ ПРОМЫШЛЕННЫЙ УЗЕЛ д. 97 стр. 3"</f>
        <v>625000 ОБЛ ТЮМЕНСКАЯ   Г НИЖНЕВАРТОВСК   УЛ 2П2 ЗАПАДНЫЙ ПРОМЫШЛЕННЫЙ УЗЕЛ д. 97 стр. 3</v>
      </c>
      <c r="M369" t="str">
        <f t="shared" si="57"/>
        <v>2019-08-24</v>
      </c>
      <c r="N369" t="str">
        <f>"ЗАО ЕПРС"</f>
        <v>ЗАО ЕПРС</v>
      </c>
      <c r="O369" t="str">
        <f>"625000"</f>
        <v>625000</v>
      </c>
      <c r="P369" t="str">
        <f t="shared" si="64"/>
        <v>ОБЛ ТЮМЕНСКАЯ</v>
      </c>
      <c r="Q369" t="str">
        <f>"АО ХМАО"</f>
        <v>АО ХМАО</v>
      </c>
      <c r="R369" t="str">
        <f>""</f>
        <v/>
      </c>
      <c r="S369" t="str">
        <f>"Г НИЖНЕВАРТОВСК"</f>
        <v>Г НИЖНЕВАРТОВСК</v>
      </c>
      <c r="T369" t="str">
        <f>"УЛ ГЕРОЕВ САМОТЛОРА"</f>
        <v>УЛ ГЕРОЕВ САМОТЛОРА</v>
      </c>
      <c r="U369" s="1" t="str">
        <f>"23"</f>
        <v>23</v>
      </c>
      <c r="V369" s="1" t="str">
        <f>""</f>
        <v/>
      </c>
      <c r="W369" s="1" t="str">
        <f>""</f>
        <v/>
      </c>
      <c r="X369" s="1" t="str">
        <f>""</f>
        <v/>
      </c>
      <c r="Y369" s="1" t="str">
        <f>"27"</f>
        <v>27</v>
      </c>
      <c r="Z369" t="str">
        <f>""</f>
        <v/>
      </c>
      <c r="AA369" t="str">
        <f>"9822160019"</f>
        <v>9822160019</v>
      </c>
      <c r="AB369" t="str">
        <f>"9825223617"</f>
        <v>9825223617</v>
      </c>
      <c r="AC369" t="str">
        <f>"9822160019"</f>
        <v>9822160019</v>
      </c>
      <c r="AD369" t="str">
        <f>"9829441807"</f>
        <v>9829441807</v>
      </c>
      <c r="AE369" t="str">
        <f>""</f>
        <v/>
      </c>
    </row>
    <row r="370" spans="1:31" x14ac:dyDescent="0.45">
      <c r="A370" t="str">
        <f>"СОЛОВЬЕВ ИВАН ГЕННАДЬЕВИЧ"</f>
        <v>СОЛОВЬЕВ ИВАН ГЕННАДЬЕВИЧ</v>
      </c>
      <c r="B370" t="str">
        <f>"1984-04-30"</f>
        <v>1984-04-30</v>
      </c>
      <c r="C370" t="str">
        <f>"74 19 006359"</f>
        <v>74 19 006359</v>
      </c>
      <c r="D370" t="str">
        <f>"4279016716955317"</f>
        <v>4279016716955317</v>
      </c>
      <c r="E370" t="str">
        <f t="shared" si="63"/>
        <v>2021-05-31</v>
      </c>
      <c r="F370" t="str">
        <f>"+"</f>
        <v>+</v>
      </c>
      <c r="G370" t="str">
        <f>"+"</f>
        <v>+</v>
      </c>
      <c r="H370" t="str">
        <f>"40817810616992011603"</f>
        <v>40817810616992011603</v>
      </c>
      <c r="I370" t="str">
        <f>"8369"</f>
        <v>8369</v>
      </c>
      <c r="J370" t="str">
        <f>"0003"</f>
        <v>0003</v>
      </c>
      <c r="K370" t="str">
        <f>"15000.00"</f>
        <v>15000.00</v>
      </c>
      <c r="L370" t="str">
        <f>"629300 ОБЛ ТЮМЕНСКАЯ Р-Н ЯНАО Г НОВЫЙ УРЕНГОЙ НП НОВЫЙ УРЕНГОЙ УЛ ГЕОЛОГОРАЗВЕДЧИКОВ д. 16 корп. Г кв. СТРОЕНИЕ"</f>
        <v>629300 ОБЛ ТЮМЕНСКАЯ Р-Н ЯНАО Г НОВЫЙ УРЕНГОЙ НП НОВЫЙ УРЕНГОЙ УЛ ГЕОЛОГОРАЗВЕДЧИКОВ д. 16 корп. Г кв. СТРОЕНИЕ</v>
      </c>
      <c r="M370" t="str">
        <f t="shared" si="57"/>
        <v>2019-08-24</v>
      </c>
      <c r="N370" t="str">
        <f>"МУ ТРИАИМПУЛЬС"</f>
        <v>МУ ТРИАИМПУЛЬС</v>
      </c>
      <c r="O370" t="str">
        <f>"629303"</f>
        <v>629303</v>
      </c>
      <c r="P370" t="str">
        <f t="shared" si="64"/>
        <v>ОБЛ ТЮМЕНСКАЯ</v>
      </c>
      <c r="Q370" t="str">
        <f>""</f>
        <v/>
      </c>
      <c r="R370" t="str">
        <f>"Г НОВЫЙ УРЕНГОЙ"</f>
        <v>Г НОВЫЙ УРЕНГОЙ</v>
      </c>
      <c r="S370" t="str">
        <f>""</f>
        <v/>
      </c>
      <c r="T370" t="str">
        <f>"МКР ВОСТОЧНЫЙ"</f>
        <v>МКР ВОСТОЧНЫЙ</v>
      </c>
      <c r="U370" s="1" t="str">
        <f>"2"</f>
        <v>2</v>
      </c>
      <c r="V370" s="1" t="str">
        <f>"А"</f>
        <v>А</v>
      </c>
      <c r="W370" s="1" t="str">
        <f>"2"</f>
        <v>2</v>
      </c>
      <c r="X370" s="1" t="str">
        <f>""</f>
        <v/>
      </c>
      <c r="Y370" s="1" t="str">
        <f>"10"</f>
        <v>10</v>
      </c>
      <c r="Z370" t="str">
        <f>"+7 (3494) 220509"</f>
        <v>+7 (3494) 220509</v>
      </c>
      <c r="AA370" t="str">
        <f>"9091988486"</f>
        <v>9091988486</v>
      </c>
      <c r="AB370" t="str">
        <f>"+7 (909) 1988486"</f>
        <v>+7 (909) 1988486</v>
      </c>
      <c r="AC370" t="str">
        <f>"9091988486"</f>
        <v>9091988486</v>
      </c>
      <c r="AD370" t="str">
        <f>"9091988486"</f>
        <v>9091988486</v>
      </c>
      <c r="AE370" t="str">
        <f>"3494220509"</f>
        <v>3494220509</v>
      </c>
    </row>
    <row r="371" spans="1:31" x14ac:dyDescent="0.45">
      <c r="A371" t="str">
        <f>"КОТОВА ВИКТОРИЯ СЕРГЕЕВНА"</f>
        <v>КОТОВА ВИКТОРИЯ СЕРГЕЕВНА</v>
      </c>
      <c r="B371" t="str">
        <f>"1995-08-30"</f>
        <v>1995-08-30</v>
      </c>
      <c r="C371" t="str">
        <f>"67 15 509665"</f>
        <v>67 15 509665</v>
      </c>
      <c r="D371" t="str">
        <f>"4279016716164001"</f>
        <v>4279016716164001</v>
      </c>
      <c r="E371" t="str">
        <f t="shared" si="63"/>
        <v>2021-05-31</v>
      </c>
      <c r="F371" t="str">
        <f>"K"</f>
        <v>K</v>
      </c>
      <c r="G371" t="str">
        <f>"W"</f>
        <v>W</v>
      </c>
      <c r="H371" t="str">
        <f>"40817810216992011605"</f>
        <v>40817810216992011605</v>
      </c>
      <c r="I371" t="str">
        <f>"5940"</f>
        <v>5940</v>
      </c>
      <c r="J371" t="str">
        <f>"0128"</f>
        <v>0128</v>
      </c>
      <c r="K371" t="str">
        <f>"50000.00"</f>
        <v>50000.00</v>
      </c>
      <c r="L371" t="str">
        <f>"628690 ОБЛ ТЮМЕНСКАЯ   П ВЫСОКИЙ   УЛ СОВЕТСКАЯ д. 15"</f>
        <v>628690 ОБЛ ТЮМЕНСКАЯ   П ВЫСОКИЙ   УЛ СОВЕТСКАЯ д. 15</v>
      </c>
      <c r="M371" t="str">
        <f t="shared" si="57"/>
        <v>2019-08-24</v>
      </c>
      <c r="N371" t="str">
        <f>"ООО ЭЛЕМЕНТТРЕЙД"</f>
        <v>ООО ЭЛЕМЕНТТРЕЙД</v>
      </c>
      <c r="O371" t="str">
        <f>"628690"</f>
        <v>628690</v>
      </c>
      <c r="P371" t="str">
        <f t="shared" si="64"/>
        <v>ОБЛ ТЮМЕНСКАЯ</v>
      </c>
      <c r="Q371" t="str">
        <f>""</f>
        <v/>
      </c>
      <c r="R371" t="str">
        <f>"П ВЫСОКИЙ"</f>
        <v>П ВЫСОКИЙ</v>
      </c>
      <c r="S371" t="str">
        <f>""</f>
        <v/>
      </c>
      <c r="T371" t="str">
        <f>"УЛ СОВЕТСКАЯ"</f>
        <v>УЛ СОВЕТСКАЯ</v>
      </c>
      <c r="U371" s="1" t="str">
        <f>"22"</f>
        <v>22</v>
      </c>
      <c r="V371" s="1" t="str">
        <f>""</f>
        <v/>
      </c>
      <c r="W371" s="1" t="str">
        <f>""</f>
        <v/>
      </c>
      <c r="X371" s="1" t="str">
        <f>""</f>
        <v/>
      </c>
      <c r="Y371" s="1" t="str">
        <f>"10"</f>
        <v>10</v>
      </c>
      <c r="Z371" t="str">
        <f>"9044704961"</f>
        <v>9044704961</v>
      </c>
      <c r="AA371" t="str">
        <f>"9044704961"</f>
        <v>9044704961</v>
      </c>
      <c r="AB371" t="str">
        <f>"9044569828"</f>
        <v>9044569828</v>
      </c>
      <c r="AC371" t="str">
        <f>"9044704961"</f>
        <v>9044704961</v>
      </c>
      <c r="AD371" t="str">
        <f>"9044569828"</f>
        <v>9044569828</v>
      </c>
      <c r="AE371" t="str">
        <f>"9044704961"</f>
        <v>9044704961</v>
      </c>
    </row>
    <row r="372" spans="1:31" x14ac:dyDescent="0.45">
      <c r="A372" t="str">
        <f>"ШУМИЛОВ ЮРИЙ НИКОЛАЕВИЧ"</f>
        <v>ШУМИЛОВ ЮРИЙ НИКОЛАЕВИЧ</v>
      </c>
      <c r="B372" t="str">
        <f>"1971-06-14"</f>
        <v>1971-06-14</v>
      </c>
      <c r="C372" t="str">
        <f>"67 16 563638"</f>
        <v>67 16 563638</v>
      </c>
      <c r="D372" t="str">
        <f>"4279016743421432"</f>
        <v>4279016743421432</v>
      </c>
      <c r="E372" t="str">
        <f t="shared" si="63"/>
        <v>2021-05-31</v>
      </c>
      <c r="F372" t="str">
        <f>"+"</f>
        <v>+</v>
      </c>
      <c r="G372" t="str">
        <f>"+"</f>
        <v>+</v>
      </c>
      <c r="H372" t="str">
        <f>"40817810716992353478"</f>
        <v>40817810716992353478</v>
      </c>
      <c r="I372" t="str">
        <f>"5940"</f>
        <v>5940</v>
      </c>
      <c r="J372" t="str">
        <f>"0100"</f>
        <v>0100</v>
      </c>
      <c r="K372" t="str">
        <f>"175000.00"</f>
        <v>175000.00</v>
      </c>
      <c r="L372" t="str">
        <f>"628300 ОБЛ ТЮМЕНСКАЯ   Г НЕФТЕЮГАНСК   МКР 14"</f>
        <v>628300 ОБЛ ТЮМЕНСКАЯ   Г НЕФТЕЮГАНСК   МКР 14</v>
      </c>
      <c r="M372" t="str">
        <f t="shared" si="57"/>
        <v>2019-08-24</v>
      </c>
      <c r="N372" t="str">
        <f>"ООО СЕВЕР-ЮГРА"</f>
        <v>ООО СЕВЕР-ЮГРА</v>
      </c>
      <c r="O372" t="str">
        <f>"628300"</f>
        <v>628300</v>
      </c>
      <c r="P372" t="str">
        <f t="shared" si="64"/>
        <v>ОБЛ ТЮМЕНСКАЯ</v>
      </c>
      <c r="Q372" t="str">
        <f>""</f>
        <v/>
      </c>
      <c r="R372" t="str">
        <f>"Г НЕФТЕЮГАНСК"</f>
        <v>Г НЕФТЕЮГАНСК</v>
      </c>
      <c r="S372" t="str">
        <f>""</f>
        <v/>
      </c>
      <c r="T372" t="str">
        <f>"МКР 12"</f>
        <v>МКР 12</v>
      </c>
      <c r="U372" s="1" t="str">
        <f>"28"</f>
        <v>28</v>
      </c>
      <c r="V372" s="1" t="str">
        <f>""</f>
        <v/>
      </c>
      <c r="W372" s="1" t="str">
        <f>""</f>
        <v/>
      </c>
      <c r="X372" s="1" t="str">
        <f>""</f>
        <v/>
      </c>
      <c r="Y372" s="1" t="str">
        <f>"85"</f>
        <v>85</v>
      </c>
      <c r="Z372" t="str">
        <f>"3463237115"</f>
        <v>3463237115</v>
      </c>
      <c r="AA372" t="str">
        <f>"9822123834"</f>
        <v>9822123834</v>
      </c>
      <c r="AB372" t="str">
        <f>"9964457463"</f>
        <v>9964457463</v>
      </c>
      <c r="AC372" t="str">
        <f>"9822123834"</f>
        <v>9822123834</v>
      </c>
      <c r="AD372" t="str">
        <f>"9964457463"</f>
        <v>9964457463</v>
      </c>
      <c r="AE372" t="str">
        <f>""</f>
        <v/>
      </c>
    </row>
    <row r="373" spans="1:31" x14ac:dyDescent="0.45">
      <c r="A373" t="str">
        <f>"КИСТРУГА АЛЕКСАНДР ФЕДОРОВИЧ"</f>
        <v>КИСТРУГА АЛЕКСАНДР ФЕДОРОВИЧ</v>
      </c>
      <c r="B373" t="str">
        <f>"1984-03-02"</f>
        <v>1984-03-02</v>
      </c>
      <c r="C373" t="str">
        <f>"67 04 107916"</f>
        <v>67 04 107916</v>
      </c>
      <c r="D373" t="str">
        <f>"4279016721899179"</f>
        <v>4279016721899179</v>
      </c>
      <c r="E373" t="str">
        <f t="shared" si="63"/>
        <v>2021-05-31</v>
      </c>
      <c r="F373" t="str">
        <f>"+"</f>
        <v>+</v>
      </c>
      <c r="G373" t="str">
        <f>"+"</f>
        <v>+</v>
      </c>
      <c r="H373" t="str">
        <f>"40817810616992011674"</f>
        <v>40817810616992011674</v>
      </c>
      <c r="I373" t="str">
        <f>"1791"</f>
        <v>1791</v>
      </c>
      <c r="J373" t="str">
        <f>"0100"</f>
        <v>0100</v>
      </c>
      <c r="K373" t="str">
        <f>"58000.00"</f>
        <v>58000.00</v>
      </c>
      <c r="L373" t="str">
        <f>"628181 ОБЛ ТЮМЕНСКАЯ   Г НЯГАНЬ   ПРОЕЗД 6"</f>
        <v>628181 ОБЛ ТЮМЕНСКАЯ   Г НЯГАНЬ   ПРОЕЗД 6</v>
      </c>
      <c r="M373" t="str">
        <f t="shared" si="57"/>
        <v>2019-08-24</v>
      </c>
      <c r="N373" t="str">
        <f>"ОО СК ЮВИС"</f>
        <v>ОО СК ЮВИС</v>
      </c>
      <c r="O373" t="str">
        <f>"628181"</f>
        <v>628181</v>
      </c>
      <c r="P373" t="str">
        <f t="shared" si="64"/>
        <v>ОБЛ ТЮМЕНСКАЯ</v>
      </c>
      <c r="Q373" t="str">
        <f>""</f>
        <v/>
      </c>
      <c r="R373" t="str">
        <f>"Г НЯГАНЬ"</f>
        <v>Г НЯГАНЬ</v>
      </c>
      <c r="S373" t="str">
        <f>""</f>
        <v/>
      </c>
      <c r="T373" t="str">
        <f>"УЛ РЕЧНАЯ"</f>
        <v>УЛ РЕЧНАЯ</v>
      </c>
      <c r="U373" s="1" t="str">
        <f>"177"</f>
        <v>177</v>
      </c>
      <c r="V373" s="1" t="str">
        <f>""</f>
        <v/>
      </c>
      <c r="W373" s="1" t="str">
        <f>""</f>
        <v/>
      </c>
      <c r="X373" s="1" t="str">
        <f>""</f>
        <v/>
      </c>
      <c r="Y373" s="1" t="str">
        <f>"9"</f>
        <v>9</v>
      </c>
      <c r="Z373" t="str">
        <f>"9825567260"</f>
        <v>9825567260</v>
      </c>
      <c r="AA373" t="str">
        <f>"9044875042"</f>
        <v>9044875042</v>
      </c>
      <c r="AB373" t="str">
        <f>"9227613131"</f>
        <v>9227613131</v>
      </c>
      <c r="AC373" t="str">
        <f>"9044875042"</f>
        <v>9044875042</v>
      </c>
      <c r="AD373" t="str">
        <f>"9224389988"</f>
        <v>9224389988</v>
      </c>
      <c r="AE373" t="str">
        <f>"9825567260"</f>
        <v>9825567260</v>
      </c>
    </row>
    <row r="374" spans="1:31" x14ac:dyDescent="0.45">
      <c r="A374" t="str">
        <f>"САТКЕЕВА ЕВГЕНИЯ ВИКТОРОВНА"</f>
        <v>САТКЕЕВА ЕВГЕНИЯ ВИКТОРОВНА</v>
      </c>
      <c r="B374" t="str">
        <f>"1986-07-23"</f>
        <v>1986-07-23</v>
      </c>
      <c r="C374" t="str">
        <f>"71 09 735631"</f>
        <v>71 09 735631</v>
      </c>
      <c r="D374" t="str">
        <f>"4279016734885975"</f>
        <v>4279016734885975</v>
      </c>
      <c r="E374" t="str">
        <f t="shared" si="63"/>
        <v>2021-05-31</v>
      </c>
      <c r="F374" t="str">
        <f>"Q"</f>
        <v>Q</v>
      </c>
      <c r="G374" t="str">
        <f>"Q"</f>
        <v>Q</v>
      </c>
      <c r="H374" t="str">
        <f>"40817810816992011681"</f>
        <v>40817810816992011681</v>
      </c>
      <c r="I374" t="str">
        <f t="shared" ref="I374:I379" si="66">"8647"</f>
        <v>8647</v>
      </c>
      <c r="J374" t="str">
        <f>"0113"</f>
        <v>0113</v>
      </c>
      <c r="K374" t="str">
        <f>"0.00"</f>
        <v>0.00</v>
      </c>
      <c r="L374" t="str">
        <f>"625046 ОБЛ ТЮМЕНСКАЯ   Г ТЮМЕНЬ   УЛ ШИРОТНАЯ д. 115"</f>
        <v>625046 ОБЛ ТЮМЕНСКАЯ   Г ТЮМЕНЬ   УЛ ШИРОТНАЯ д. 115</v>
      </c>
      <c r="M374" t="str">
        <f t="shared" si="57"/>
        <v>2019-08-24</v>
      </c>
      <c r="N374" t="str">
        <f>"МАОУ СОШ 42"</f>
        <v>МАОУ СОШ 42</v>
      </c>
      <c r="O374" t="str">
        <f>"625000"</f>
        <v>625000</v>
      </c>
      <c r="P374" t="str">
        <f t="shared" si="64"/>
        <v>ОБЛ ТЮМЕНСКАЯ</v>
      </c>
      <c r="Q374" t="str">
        <f>""</f>
        <v/>
      </c>
      <c r="R374" t="str">
        <f>"Г ТЮМЕНЬ"</f>
        <v>Г ТЮМЕНЬ</v>
      </c>
      <c r="S374" t="str">
        <f>""</f>
        <v/>
      </c>
      <c r="T374" t="str">
        <f>"УЛ ОЛИМПИЙСКАЯ"</f>
        <v>УЛ ОЛИМПИЙСКАЯ</v>
      </c>
      <c r="U374" s="1" t="str">
        <f>"47"</f>
        <v>47</v>
      </c>
      <c r="V374" s="1" t="str">
        <f>""</f>
        <v/>
      </c>
      <c r="W374" s="1" t="str">
        <f>""</f>
        <v/>
      </c>
      <c r="X374" s="1" t="str">
        <f>""</f>
        <v/>
      </c>
      <c r="Y374" s="1" t="str">
        <f>"74"</f>
        <v>74</v>
      </c>
      <c r="Z374" t="str">
        <f>"3452332701"</f>
        <v>3452332701</v>
      </c>
      <c r="AA374" t="str">
        <f>"9224799469"</f>
        <v>9224799469</v>
      </c>
      <c r="AB374" t="str">
        <f>"9698000310"</f>
        <v>9698000310</v>
      </c>
      <c r="AC374" t="str">
        <f>"9224799469"</f>
        <v>9224799469</v>
      </c>
      <c r="AD374" t="str">
        <f>"9698000310"</f>
        <v>9698000310</v>
      </c>
      <c r="AE374" t="str">
        <f>""</f>
        <v/>
      </c>
    </row>
    <row r="375" spans="1:31" x14ac:dyDescent="0.45">
      <c r="A375" t="str">
        <f>"СКИПИНА ЛЮБОВЬ ПАВЛОВНА"</f>
        <v>СКИПИНА ЛЮБОВЬ ПАВЛОВНА</v>
      </c>
      <c r="B375" t="str">
        <f>"1968-02-15"</f>
        <v>1968-02-15</v>
      </c>
      <c r="C375" t="str">
        <f>"71 12 985172"</f>
        <v>71 12 985172</v>
      </c>
      <c r="D375" t="str">
        <f>"4279016725395547"</f>
        <v>4279016725395547</v>
      </c>
      <c r="E375" t="str">
        <f t="shared" si="63"/>
        <v>2021-05-31</v>
      </c>
      <c r="F375" t="str">
        <f>"+"</f>
        <v>+</v>
      </c>
      <c r="G375" t="str">
        <f>"+"</f>
        <v>+</v>
      </c>
      <c r="H375" t="str">
        <f>"40817810716992014131"</f>
        <v>40817810716992014131</v>
      </c>
      <c r="I375" t="str">
        <f t="shared" si="66"/>
        <v>8647</v>
      </c>
      <c r="J375" t="str">
        <f>"0155"</f>
        <v>0155</v>
      </c>
      <c r="K375" t="str">
        <f>"85000.00"</f>
        <v>85000.00</v>
      </c>
      <c r="L375" t="str">
        <f>"625550 ОБЛ ТЮМЕНСКАЯ Р-Н ТЮМЕНСКИЙ   П БОРОВСКИЙ УЛ ОСТРОВСКОГО д. 1А"</f>
        <v>625550 ОБЛ ТЮМЕНСКАЯ Р-Н ТЮМЕНСКИЙ   П БОРОВСКИЙ УЛ ОСТРОВСКОГО д. 1А</v>
      </c>
      <c r="M375" t="str">
        <f t="shared" si="57"/>
        <v>2019-08-24</v>
      </c>
      <c r="N375" t="str">
        <f>"ПАО ПТИЦЕФАБРИКА БОРОВСКАЯ"</f>
        <v>ПАО ПТИЦЕФАБРИКА БОРОВСКАЯ</v>
      </c>
      <c r="O375" t="str">
        <f>"625504"</f>
        <v>625504</v>
      </c>
      <c r="P375" t="str">
        <f t="shared" si="64"/>
        <v>ОБЛ ТЮМЕНСКАЯ</v>
      </c>
      <c r="Q375" t="str">
        <f>"Р-Н ТЮМЕНСКИЙ"</f>
        <v>Р-Н ТЮМЕНСКИЙ</v>
      </c>
      <c r="R375" t="str">
        <f>""</f>
        <v/>
      </c>
      <c r="S375" t="str">
        <f>"П БОРОВСКИЙ"</f>
        <v>П БОРОВСКИЙ</v>
      </c>
      <c r="T375" t="str">
        <f>"П БОРОВСКИЙ"</f>
        <v>П БОРОВСКИЙ</v>
      </c>
      <c r="U375" s="1" t="str">
        <f>"1"</f>
        <v>1</v>
      </c>
      <c r="V375" s="1" t="str">
        <f>""</f>
        <v/>
      </c>
      <c r="W375" s="1" t="str">
        <f>""</f>
        <v/>
      </c>
      <c r="X375" s="1" t="str">
        <f>""</f>
        <v/>
      </c>
      <c r="Y375" s="1" t="str">
        <f>"93"</f>
        <v>93</v>
      </c>
      <c r="Z375" t="str">
        <f>""</f>
        <v/>
      </c>
      <c r="AA375" t="str">
        <f>"9129225339"</f>
        <v>9129225339</v>
      </c>
      <c r="AB375" t="str">
        <f>"9199220312"</f>
        <v>9199220312</v>
      </c>
      <c r="AC375" t="str">
        <f>"9129225339"</f>
        <v>9129225339</v>
      </c>
      <c r="AD375" t="str">
        <f>"9199220312"</f>
        <v>9199220312</v>
      </c>
      <c r="AE375" t="str">
        <f>""</f>
        <v/>
      </c>
    </row>
    <row r="376" spans="1:31" x14ac:dyDescent="0.45">
      <c r="A376" t="str">
        <f>"СУРМАЛЯН СУМБАТ ВАРАЗДАТОВИЧ"</f>
        <v>СУРМАЛЯН СУМБАТ ВАРАЗДАТОВИЧ</v>
      </c>
      <c r="B376" t="str">
        <f>"1965-10-13"</f>
        <v>1965-10-13</v>
      </c>
      <c r="C376" t="str">
        <f>"52 14 362385"</f>
        <v>52 14 362385</v>
      </c>
      <c r="D376" t="str">
        <f>"4279016713110478"</f>
        <v>4279016713110478</v>
      </c>
      <c r="E376" t="str">
        <f t="shared" si="63"/>
        <v>2021-05-31</v>
      </c>
      <c r="F376" t="str">
        <f>"+"</f>
        <v>+</v>
      </c>
      <c r="G376" t="str">
        <f>"W"</f>
        <v>W</v>
      </c>
      <c r="H376" t="str">
        <f>"40817810316992014201"</f>
        <v>40817810316992014201</v>
      </c>
      <c r="I376" t="str">
        <f t="shared" si="66"/>
        <v>8647</v>
      </c>
      <c r="J376" t="str">
        <f>"0096"</f>
        <v>0096</v>
      </c>
      <c r="K376" t="str">
        <f>"600000.00"</f>
        <v>600000.00</v>
      </c>
      <c r="L376" t="str">
        <f>"625000 ОБЛ ТЮМЕНСКАЯ   Г ТЮМЕНЬ   УЛ МАЛЫГИНА д. 49 корп. 1"</f>
        <v>625000 ОБЛ ТЮМЕНСКАЯ   Г ТЮМЕНЬ   УЛ МАЛЫГИНА д. 49 корп. 1</v>
      </c>
      <c r="M376" t="str">
        <f t="shared" si="57"/>
        <v>2019-08-24</v>
      </c>
      <c r="N376" t="str">
        <f>"МОНОЛИТСТРОЙ"</f>
        <v>МОНОЛИТСТРОЙ</v>
      </c>
      <c r="O376" t="str">
        <f>"625000"</f>
        <v>625000</v>
      </c>
      <c r="P376" t="str">
        <f t="shared" si="64"/>
        <v>ОБЛ ТЮМЕНСКАЯ</v>
      </c>
      <c r="Q376" t="str">
        <f>""</f>
        <v/>
      </c>
      <c r="R376" t="str">
        <f>"Г ТЮМЕНЬ"</f>
        <v>Г ТЮМЕНЬ</v>
      </c>
      <c r="S376" t="str">
        <f>""</f>
        <v/>
      </c>
      <c r="T376" t="str">
        <f>"УЛ МАЛЫГИНА"</f>
        <v>УЛ МАЛЫГИНА</v>
      </c>
      <c r="U376" s="1" t="str">
        <f>"90"</f>
        <v>90</v>
      </c>
      <c r="V376" s="1" t="str">
        <f>""</f>
        <v/>
      </c>
      <c r="W376" s="1" t="str">
        <f>""</f>
        <v/>
      </c>
      <c r="X376" s="1" t="str">
        <f>""</f>
        <v/>
      </c>
      <c r="Y376" s="1" t="str">
        <f>"152"</f>
        <v>152</v>
      </c>
      <c r="Z376" t="str">
        <f>""</f>
        <v/>
      </c>
      <c r="AA376" t="str">
        <f>"9821337373"</f>
        <v>9821337373</v>
      </c>
      <c r="AB376" t="str">
        <f>"9961347373"</f>
        <v>9961347373</v>
      </c>
      <c r="AC376" t="str">
        <f>"9821337373"</f>
        <v>9821337373</v>
      </c>
      <c r="AD376" t="str">
        <f>"9961347373"</f>
        <v>9961347373</v>
      </c>
      <c r="AE376" t="str">
        <f>""</f>
        <v/>
      </c>
    </row>
    <row r="377" spans="1:31" x14ac:dyDescent="0.45">
      <c r="A377" t="str">
        <f>"СКОРОБОГАТОВ АЛЕКСАНДР ЮРЬЕВИЧ"</f>
        <v>СКОРОБОГАТОВ АЛЕКСАНДР ЮРЬЕВИЧ</v>
      </c>
      <c r="B377" t="str">
        <f>"1970-01-06"</f>
        <v>1970-01-06</v>
      </c>
      <c r="C377" t="str">
        <f>"71 14 120976"</f>
        <v>71 14 120976</v>
      </c>
      <c r="D377" t="str">
        <f>"4279016741304879"</f>
        <v>4279016741304879</v>
      </c>
      <c r="E377" t="str">
        <f t="shared" si="63"/>
        <v>2021-05-31</v>
      </c>
      <c r="F377" t="str">
        <f>"+"</f>
        <v>+</v>
      </c>
      <c r="G377" t="str">
        <f>"+"</f>
        <v>+</v>
      </c>
      <c r="H377" t="str">
        <f>"40817810716992014241"</f>
        <v>40817810716992014241</v>
      </c>
      <c r="I377" t="str">
        <f t="shared" si="66"/>
        <v>8647</v>
      </c>
      <c r="J377" t="str">
        <f>"0181"</f>
        <v>0181</v>
      </c>
      <c r="K377" t="str">
        <f>"200000.00"</f>
        <v>200000.00</v>
      </c>
      <c r="L377" t="str">
        <f>"625000 ОБЛ ТЮМЕНСКАЯ   Г ТЮМЕНЬ   УЛ БАКИНСКИХ КОММИСАРОВ д. 5"</f>
        <v>625000 ОБЛ ТЮМЕНСКАЯ   Г ТЮМЕНЬ   УЛ БАКИНСКИХ КОММИСАРОВ д. 5</v>
      </c>
      <c r="M377" t="str">
        <f t="shared" si="57"/>
        <v>2019-08-24</v>
      </c>
      <c r="N377" t="str">
        <f>"ИП СКОРОБОГАТОВА Н.Г."</f>
        <v>ИП СКОРОБОГАТОВА Н.Г.</v>
      </c>
      <c r="O377" t="str">
        <f>"625000"</f>
        <v>625000</v>
      </c>
      <c r="P377" t="str">
        <f t="shared" si="64"/>
        <v>ОБЛ ТЮМЕНСКАЯ</v>
      </c>
      <c r="Q377" t="str">
        <f>""</f>
        <v/>
      </c>
      <c r="R377" t="str">
        <f>"Г ТЮМЕНЬ"</f>
        <v>Г ТЮМЕНЬ</v>
      </c>
      <c r="S377" t="str">
        <f>""</f>
        <v/>
      </c>
      <c r="T377" t="str">
        <f>"УЛ АГРАРНАЯ"</f>
        <v>УЛ АГРАРНАЯ</v>
      </c>
      <c r="U377" s="1" t="str">
        <f>"1"</f>
        <v>1</v>
      </c>
      <c r="V377" s="1" t="str">
        <f>""</f>
        <v/>
      </c>
      <c r="W377" s="1" t="str">
        <f>""</f>
        <v/>
      </c>
      <c r="X377" s="1" t="str">
        <f>""</f>
        <v/>
      </c>
      <c r="Y377" s="1" t="str">
        <f>""</f>
        <v/>
      </c>
      <c r="Z377" t="str">
        <f>""</f>
        <v/>
      </c>
      <c r="AA377" t="str">
        <f>"9088731575"</f>
        <v>9088731575</v>
      </c>
      <c r="AB377" t="str">
        <f>"9995499651"</f>
        <v>9995499651</v>
      </c>
      <c r="AC377" t="str">
        <f>"9088731575"</f>
        <v>9088731575</v>
      </c>
      <c r="AD377" t="str">
        <f>"9995499651"</f>
        <v>9995499651</v>
      </c>
      <c r="AE377" t="str">
        <f>""</f>
        <v/>
      </c>
    </row>
    <row r="378" spans="1:31" x14ac:dyDescent="0.45">
      <c r="A378" t="str">
        <f>"САВЕЛЬЕВ СЕРГЕЙ АНАТОЛЬЕВИЧ"</f>
        <v>САВЕЛЬЕВ СЕРГЕЙ АНАТОЛЬЕВИЧ</v>
      </c>
      <c r="B378" t="str">
        <f>"1982-07-12"</f>
        <v>1982-07-12</v>
      </c>
      <c r="C378" t="str">
        <f>"74 02 313716"</f>
        <v>74 02 313716</v>
      </c>
      <c r="D378" t="str">
        <f>"4279016720613282"</f>
        <v>4279016720613282</v>
      </c>
      <c r="E378" t="str">
        <f t="shared" si="63"/>
        <v>2021-05-31</v>
      </c>
      <c r="F378" t="str">
        <f>"Q"</f>
        <v>Q</v>
      </c>
      <c r="G378" t="str">
        <f>"Q"</f>
        <v>Q</v>
      </c>
      <c r="H378" t="str">
        <f>"40817810416992400883"</f>
        <v>40817810416992400883</v>
      </c>
      <c r="I378" t="str">
        <f t="shared" si="66"/>
        <v>8647</v>
      </c>
      <c r="J378" t="str">
        <f>"0288"</f>
        <v>0288</v>
      </c>
      <c r="K378" t="str">
        <f>"0.00"</f>
        <v>0.00</v>
      </c>
      <c r="L378" t="str">
        <f>"629000 АО ЯМАЛО-НЕНЕЦКИЙ   Г МУРАВЛЕНКО   УЛ ГУБКИНА д. 4"</f>
        <v>629000 АО ЯМАЛО-НЕНЕЦКИЙ   Г МУРАВЛЕНКО   УЛ ГУБКИНА д. 4</v>
      </c>
      <c r="M378" t="str">
        <f t="shared" si="57"/>
        <v>2019-08-24</v>
      </c>
      <c r="N378" t="str">
        <f>"АВИА ЛЕС ОХРАНА"</f>
        <v>АВИА ЛЕС ОХРАНА</v>
      </c>
      <c r="O378" t="str">
        <f>"629000"</f>
        <v>629000</v>
      </c>
      <c r="P378" t="str">
        <f>"АО ЯМАЛО-НЕНЕЦКИЙ"</f>
        <v>АО ЯМАЛО-НЕНЕЦКИЙ</v>
      </c>
      <c r="Q378" t="str">
        <f>""</f>
        <v/>
      </c>
      <c r="R378" t="str">
        <f>"Г МУРАВЛЕНКО"</f>
        <v>Г МУРАВЛЕНКО</v>
      </c>
      <c r="S378" t="str">
        <f>""</f>
        <v/>
      </c>
      <c r="T378" t="str">
        <f>"УЛ 70 ЛЕТ ОКТЯБРЯ"</f>
        <v>УЛ 70 ЛЕТ ОКТЯБРЯ</v>
      </c>
      <c r="U378" s="1" t="str">
        <f>"49"</f>
        <v>49</v>
      </c>
      <c r="V378" s="1" t="str">
        <f>""</f>
        <v/>
      </c>
      <c r="W378" s="1" t="str">
        <f>""</f>
        <v/>
      </c>
      <c r="X378" s="1" t="str">
        <f>""</f>
        <v/>
      </c>
      <c r="Y378" s="1" t="str">
        <f>"72"</f>
        <v>72</v>
      </c>
      <c r="Z378" t="str">
        <f>"3493821059"</f>
        <v>3493821059</v>
      </c>
      <c r="AA378" t="str">
        <f>"3493821059"</f>
        <v>3493821059</v>
      </c>
      <c r="AB378" t="str">
        <f>"9199460024"</f>
        <v>9199460024</v>
      </c>
      <c r="AC378" t="str">
        <f>"9199460024"</f>
        <v>9199460024</v>
      </c>
      <c r="AD378" t="str">
        <f>"9966390988"</f>
        <v>9966390988</v>
      </c>
      <c r="AE378" t="str">
        <f>""</f>
        <v/>
      </c>
    </row>
    <row r="379" spans="1:31" x14ac:dyDescent="0.45">
      <c r="A379" t="str">
        <f>"РИРАХОВСКАЯ АНАСТАСИЯ ЯРОСЛАВОВНА"</f>
        <v>РИРАХОВСКАЯ АНАСТАСИЯ ЯРОСЛАВОВНА</v>
      </c>
      <c r="B379" t="str">
        <f>"1985-09-25"</f>
        <v>1985-09-25</v>
      </c>
      <c r="C379" t="str">
        <f>"71 09 716154"</f>
        <v>71 09 716154</v>
      </c>
      <c r="D379" t="str">
        <f>"4279016710754625"</f>
        <v>4279016710754625</v>
      </c>
      <c r="E379" t="str">
        <f t="shared" si="63"/>
        <v>2021-05-31</v>
      </c>
      <c r="F379" t="str">
        <f t="shared" ref="F379:G382" si="67">"+"</f>
        <v>+</v>
      </c>
      <c r="G379" t="str">
        <f t="shared" si="67"/>
        <v>+</v>
      </c>
      <c r="H379" t="str">
        <f>"40817810816992014280"</f>
        <v>40817810816992014280</v>
      </c>
      <c r="I379" t="str">
        <f t="shared" si="66"/>
        <v>8647</v>
      </c>
      <c r="J379" t="str">
        <f>"0053"</f>
        <v>0053</v>
      </c>
      <c r="K379" t="str">
        <f>"85000.00"</f>
        <v>85000.00</v>
      </c>
      <c r="L379" t="str">
        <f>"625000 ОБЛ ТЮМЕНСКАЯ   Г ТЮМЕНЬ   УЛ 50 ЛЕТ ВЛКСМ д. 13 корп. 2"</f>
        <v>625000 ОБЛ ТЮМЕНСКАЯ   Г ТЮМЕНЬ   УЛ 50 ЛЕТ ВЛКСМ д. 13 корп. 2</v>
      </c>
      <c r="M379" t="str">
        <f t="shared" si="57"/>
        <v>2019-08-24</v>
      </c>
      <c r="N379" t="str">
        <f>"ООО ТД-УРАЛ"</f>
        <v>ООО ТД-УРАЛ</v>
      </c>
      <c r="O379" t="str">
        <f>"625000"</f>
        <v>625000</v>
      </c>
      <c r="P379" t="str">
        <f t="shared" ref="P379:P392" si="68">"ОБЛ ТЮМЕНСКАЯ"</f>
        <v>ОБЛ ТЮМЕНСКАЯ</v>
      </c>
      <c r="Q379" t="str">
        <f>""</f>
        <v/>
      </c>
      <c r="R379" t="str">
        <f>"Г ТЮМЕНЬ"</f>
        <v>Г ТЮМЕНЬ</v>
      </c>
      <c r="S379" t="str">
        <f>""</f>
        <v/>
      </c>
      <c r="T379" t="str">
        <f>"УЛ КАМЧАТСКАЯ"</f>
        <v>УЛ КАМЧАТСКАЯ</v>
      </c>
      <c r="U379" s="1" t="str">
        <f>"94"</f>
        <v>94</v>
      </c>
      <c r="V379" s="1" t="str">
        <f>""</f>
        <v/>
      </c>
      <c r="W379" s="1" t="str">
        <f>""</f>
        <v/>
      </c>
      <c r="X379" s="1" t="str">
        <f>""</f>
        <v/>
      </c>
      <c r="Y379" s="1" t="str">
        <f>"4"</f>
        <v>4</v>
      </c>
      <c r="Z379" t="str">
        <f>""</f>
        <v/>
      </c>
      <c r="AA379" t="str">
        <f>"3452482302"</f>
        <v>3452482302</v>
      </c>
      <c r="AB379" t="str">
        <f>"9058264478"</f>
        <v>9058264478</v>
      </c>
      <c r="AC379" t="str">
        <f>"9088730806"</f>
        <v>9088730806</v>
      </c>
      <c r="AD379" t="str">
        <f>"9058264478"</f>
        <v>9058264478</v>
      </c>
      <c r="AE379" t="str">
        <f>""</f>
        <v/>
      </c>
    </row>
    <row r="380" spans="1:31" x14ac:dyDescent="0.45">
      <c r="A380" t="str">
        <f>"КУДРЯШОВ АЛЕКСАНДР ВЛАДИМИРОВИЧ"</f>
        <v>КУДРЯШОВ АЛЕКСАНДР ВЛАДИМИРОВИЧ</v>
      </c>
      <c r="B380" t="str">
        <f>"1982-08-21"</f>
        <v>1982-08-21</v>
      </c>
      <c r="C380" t="str">
        <f>"67 04 032210"</f>
        <v>67 04 032210</v>
      </c>
      <c r="D380" t="str">
        <f>"4279016744153265"</f>
        <v>4279016744153265</v>
      </c>
      <c r="E380" t="str">
        <f t="shared" si="63"/>
        <v>2021-05-31</v>
      </c>
      <c r="F380" t="str">
        <f t="shared" si="67"/>
        <v>+</v>
      </c>
      <c r="G380" t="str">
        <f t="shared" si="67"/>
        <v>+</v>
      </c>
      <c r="H380" t="str">
        <f>"40817810616992014312"</f>
        <v>40817810616992014312</v>
      </c>
      <c r="I380" t="str">
        <f>"5940"</f>
        <v>5940</v>
      </c>
      <c r="J380" t="str">
        <f>"0138"</f>
        <v>0138</v>
      </c>
      <c r="K380" t="str">
        <f>"340000.00"</f>
        <v>340000.00</v>
      </c>
      <c r="L380" t="str">
        <f>"628600 ОБЛ ТЮМЕНСКАЯ   Г НИЖНЕВАРТОВСК   УЛ ИНТЕРНАЦИОНАЛЬНАЯ д. 8 Б кв. 8"</f>
        <v>628600 ОБЛ ТЮМЕНСКАЯ   Г НИЖНЕВАРТОВСК   УЛ ИНТЕРНАЦИОНАЛЬНАЯ д. 8 Б кв. 8</v>
      </c>
      <c r="M380" t="str">
        <f t="shared" si="57"/>
        <v>2019-08-24</v>
      </c>
      <c r="N380" t="str">
        <f>"ИП КУДРЯШОВ АЛЕКСАНДР ВЛАДИМИРОВИЧ"</f>
        <v>ИП КУДРЯШОВ АЛЕКСАНДР ВЛАДИМИРОВИЧ</v>
      </c>
      <c r="O380" t="str">
        <f>"628600"</f>
        <v>628600</v>
      </c>
      <c r="P380" t="str">
        <f t="shared" si="68"/>
        <v>ОБЛ ТЮМЕНСКАЯ</v>
      </c>
      <c r="Q380" t="str">
        <f>""</f>
        <v/>
      </c>
      <c r="R380" t="str">
        <f>"Г НИЖНЕВАРТОВСК"</f>
        <v>Г НИЖНЕВАРТОВСК</v>
      </c>
      <c r="S380" t="str">
        <f>""</f>
        <v/>
      </c>
      <c r="T380" t="str">
        <f>"УЛ ИНТЕРНАЦИОНАЛЬНАЯ"</f>
        <v>УЛ ИНТЕРНАЦИОНАЛЬНАЯ</v>
      </c>
      <c r="U380" s="1" t="str">
        <f>"8 Б"</f>
        <v>8 Б</v>
      </c>
      <c r="V380" s="1" t="str">
        <f>""</f>
        <v/>
      </c>
      <c r="W380" s="1" t="str">
        <f>""</f>
        <v/>
      </c>
      <c r="X380" s="1" t="str">
        <f>""</f>
        <v/>
      </c>
      <c r="Y380" s="1" t="str">
        <f>"8"</f>
        <v>8</v>
      </c>
      <c r="Z380" t="str">
        <f>""</f>
        <v/>
      </c>
      <c r="AA380" t="str">
        <f>"9028512058"</f>
        <v>9028512058</v>
      </c>
      <c r="AB380" t="str">
        <f>"9028512058"</f>
        <v>9028512058</v>
      </c>
      <c r="AC380" t="str">
        <f>"9028512058"</f>
        <v>9028512058</v>
      </c>
      <c r="AD380" t="str">
        <f>"9028512058"</f>
        <v>9028512058</v>
      </c>
      <c r="AE380" t="str">
        <f>""</f>
        <v/>
      </c>
    </row>
    <row r="381" spans="1:31" x14ac:dyDescent="0.45">
      <c r="A381" t="str">
        <f>"ХАЛИКОВА АЛЬФИЯ РАХИМОВНА"</f>
        <v>ХАЛИКОВА АЛЬФИЯ РАХИМОВНА</v>
      </c>
      <c r="B381" t="str">
        <f>"1991-10-09"</f>
        <v>1991-10-09</v>
      </c>
      <c r="C381" t="str">
        <f>"71 11 935017"</f>
        <v>71 11 935017</v>
      </c>
      <c r="D381" t="str">
        <f>"4279016714922616"</f>
        <v>4279016714922616</v>
      </c>
      <c r="E381" t="str">
        <f t="shared" si="63"/>
        <v>2021-05-31</v>
      </c>
      <c r="F381" t="str">
        <f t="shared" si="67"/>
        <v>+</v>
      </c>
      <c r="G381" t="str">
        <f t="shared" si="67"/>
        <v>+</v>
      </c>
      <c r="H381" t="str">
        <f>"40817810816992401013"</f>
        <v>40817810816992401013</v>
      </c>
      <c r="I381" t="str">
        <f>"8647"</f>
        <v>8647</v>
      </c>
      <c r="J381" t="str">
        <f>"0328"</f>
        <v>0328</v>
      </c>
      <c r="K381" t="str">
        <f>"28000.00"</f>
        <v>28000.00</v>
      </c>
      <c r="L381" t="str">
        <f>"626150 ОБЛ ТЮМЕНСКАЯ   Г ТОБОЛЬСК   УЛ ЗНАМЕНСКОГО д. 62"</f>
        <v>626150 ОБЛ ТЮМЕНСКАЯ   Г ТОБОЛЬСК   УЛ ЗНАМЕНСКОГО д. 62</v>
      </c>
      <c r="M381" t="str">
        <f t="shared" si="57"/>
        <v>2019-08-24</v>
      </c>
      <c r="N381" t="str">
        <f>"ИП ХАРИН СП"</f>
        <v>ИП ХАРИН СП</v>
      </c>
      <c r="O381" t="str">
        <f>"626150"</f>
        <v>626150</v>
      </c>
      <c r="P381" t="str">
        <f t="shared" si="68"/>
        <v>ОБЛ ТЮМЕНСКАЯ</v>
      </c>
      <c r="Q381" t="str">
        <f>""</f>
        <v/>
      </c>
      <c r="R381" t="str">
        <f>"Г ТОБОЛЬСК"</f>
        <v>Г ТОБОЛЬСК</v>
      </c>
      <c r="S381" t="str">
        <f>""</f>
        <v/>
      </c>
      <c r="T381" t="str">
        <f>"МКР 4-Й"</f>
        <v>МКР 4-Й</v>
      </c>
      <c r="U381" s="1" t="str">
        <f>"38А"</f>
        <v>38А</v>
      </c>
      <c r="V381" s="1" t="str">
        <f>""</f>
        <v/>
      </c>
      <c r="W381" s="1" t="str">
        <f>""</f>
        <v/>
      </c>
      <c r="X381" s="1" t="str">
        <f>""</f>
        <v/>
      </c>
      <c r="Y381" s="1" t="str">
        <f>"98"</f>
        <v>98</v>
      </c>
      <c r="Z381" t="str">
        <f>""</f>
        <v/>
      </c>
      <c r="AA381" t="str">
        <f>"9199597821"</f>
        <v>9199597821</v>
      </c>
      <c r="AB381" t="str">
        <f>"9829759569"</f>
        <v>9829759569</v>
      </c>
      <c r="AC381" t="str">
        <f>"9199597821"</f>
        <v>9199597821</v>
      </c>
      <c r="AD381" t="str">
        <f>"9829759569"</f>
        <v>9829759569</v>
      </c>
      <c r="AE381" t="str">
        <f>""</f>
        <v/>
      </c>
    </row>
    <row r="382" spans="1:31" x14ac:dyDescent="0.45">
      <c r="A382" t="str">
        <f>"ЗУЕВ АЛЕКСЕЙ НИКОЛАЕВИЧ"</f>
        <v>ЗУЕВ АЛЕКСЕЙ НИКОЛАЕВИЧ</v>
      </c>
      <c r="B382" t="str">
        <f>"1982-07-23"</f>
        <v>1982-07-23</v>
      </c>
      <c r="C382" t="str">
        <f>"67 02 698017"</f>
        <v>67 02 698017</v>
      </c>
      <c r="D382" t="str">
        <f>"4279016718939558"</f>
        <v>4279016718939558</v>
      </c>
      <c r="E382" t="str">
        <f t="shared" si="63"/>
        <v>2021-05-31</v>
      </c>
      <c r="F382" t="str">
        <f t="shared" si="67"/>
        <v>+</v>
      </c>
      <c r="G382" t="str">
        <f t="shared" si="67"/>
        <v>+</v>
      </c>
      <c r="H382" t="str">
        <f>"40817810816992352573"</f>
        <v>40817810816992352573</v>
      </c>
      <c r="I382" t="str">
        <f>"5940"</f>
        <v>5940</v>
      </c>
      <c r="J382" t="str">
        <f>"0067"</f>
        <v>0067</v>
      </c>
      <c r="K382" t="str">
        <f>"200000.00"</f>
        <v>200000.00</v>
      </c>
      <c r="L382" t="str">
        <f>"628400 ОБЛ ТЮМЕНСКАЯ Р-Н СУРГУТСКИЙ Г СУРГУТ   УЛ ИНДУСТРИАЛЬНАЯ д. 41"</f>
        <v>628400 ОБЛ ТЮМЕНСКАЯ Р-Н СУРГУТСКИЙ Г СУРГУТ   УЛ ИНДУСТРИАЛЬНАЯ д. 41</v>
      </c>
      <c r="M382" t="str">
        <f t="shared" si="57"/>
        <v>2019-08-24</v>
      </c>
      <c r="N382" t="str">
        <f>"СУРГУТСКОЕ ТОМПОНАЖНОЕ УПРАВЛЕНИЕ"</f>
        <v>СУРГУТСКОЕ ТОМПОНАЖНОЕ УПРАВЛЕНИЕ</v>
      </c>
      <c r="O382" t="str">
        <f>"628456"</f>
        <v>628456</v>
      </c>
      <c r="P382" t="str">
        <f t="shared" si="68"/>
        <v>ОБЛ ТЮМЕНСКАЯ</v>
      </c>
      <c r="Q382" t="str">
        <f>"Р-Н СУРГУТСКИЙ"</f>
        <v>Р-Н СУРГУТСКИЙ</v>
      </c>
      <c r="R382" t="str">
        <f>""</f>
        <v/>
      </c>
      <c r="S382" t="str">
        <f>"ПГТ ФЕДОРОВСКИЙ"</f>
        <v>ПГТ ФЕДОРОВСКИЙ</v>
      </c>
      <c r="T382" t="str">
        <f>"УЛ МОХОВАЯ"</f>
        <v>УЛ МОХОВАЯ</v>
      </c>
      <c r="U382" s="1" t="str">
        <f>"8"</f>
        <v>8</v>
      </c>
      <c r="V382" s="1" t="str">
        <f>""</f>
        <v/>
      </c>
      <c r="W382" s="1" t="str">
        <f>"ОБЩ"</f>
        <v>ОБЩ</v>
      </c>
      <c r="X382" s="1" t="str">
        <f>""</f>
        <v/>
      </c>
      <c r="Y382" s="1" t="str">
        <f>"4"</f>
        <v>4</v>
      </c>
      <c r="Z382" t="str">
        <f>""</f>
        <v/>
      </c>
      <c r="AA382" t="str">
        <f>"9324110089"</f>
        <v>9324110089</v>
      </c>
      <c r="AB382" t="str">
        <f>"9044863315"</f>
        <v>9044863315</v>
      </c>
      <c r="AC382" t="str">
        <f>"9324110089"</f>
        <v>9324110089</v>
      </c>
      <c r="AD382" t="str">
        <f>"9044863315"</f>
        <v>9044863315</v>
      </c>
      <c r="AE382" t="str">
        <f>""</f>
        <v/>
      </c>
    </row>
    <row r="383" spans="1:31" x14ac:dyDescent="0.45">
      <c r="A383" t="str">
        <f>"ЛЫСЮК АНАСТАСИЯ НИКОЛАЕВНА"</f>
        <v>ЛЫСЮК АНАСТАСИЯ НИКОЛАЕВНА</v>
      </c>
      <c r="B383" t="str">
        <f>"1990-06-01"</f>
        <v>1990-06-01</v>
      </c>
      <c r="C383" t="str">
        <f>"67 09 944053"</f>
        <v>67 09 944053</v>
      </c>
      <c r="D383" t="str">
        <f>"4279016716473782"</f>
        <v>4279016716473782</v>
      </c>
      <c r="E383" t="str">
        <f t="shared" si="63"/>
        <v>2021-05-31</v>
      </c>
      <c r="F383" t="str">
        <f>"+"</f>
        <v>+</v>
      </c>
      <c r="G383" t="str">
        <f>"W"</f>
        <v>W</v>
      </c>
      <c r="H383" t="str">
        <f>"40817810916992352664"</f>
        <v>40817810916992352664</v>
      </c>
      <c r="I383" t="str">
        <f>"1791"</f>
        <v>1791</v>
      </c>
      <c r="J383" t="str">
        <f>"0115"</f>
        <v>0115</v>
      </c>
      <c r="K383" t="str">
        <f>"10000.00"</f>
        <v>10000.00</v>
      </c>
      <c r="L383" t="str">
        <f>"628260 ОБЛ ТЮМЕНСКАЯ   Г ЮГОРСК   УЛ ОКТЯБРЬСКАЯ д. 2"</f>
        <v>628260 ОБЛ ТЮМЕНСКАЯ   Г ЮГОРСК   УЛ ОКТЯБРЬСКАЯ д. 2</v>
      </c>
      <c r="M383" t="str">
        <f t="shared" si="57"/>
        <v>2019-08-24</v>
      </c>
      <c r="N383" t="str">
        <f>"АО РТК"</f>
        <v>АО РТК</v>
      </c>
      <c r="O383" t="str">
        <f>"628263"</f>
        <v>628263</v>
      </c>
      <c r="P383" t="str">
        <f t="shared" si="68"/>
        <v>ОБЛ ТЮМЕНСКАЯ</v>
      </c>
      <c r="Q383" t="str">
        <f>""</f>
        <v/>
      </c>
      <c r="R383" t="str">
        <f>"Г ЮГОРСК"</f>
        <v>Г ЮГОРСК</v>
      </c>
      <c r="S383" t="str">
        <f>""</f>
        <v/>
      </c>
      <c r="T383" t="str">
        <f>"УЛ СВЕРДЛОВА"</f>
        <v>УЛ СВЕРДЛОВА</v>
      </c>
      <c r="U383" s="1" t="str">
        <f>"8"</f>
        <v>8</v>
      </c>
      <c r="V383" s="1" t="str">
        <f>""</f>
        <v/>
      </c>
      <c r="W383" s="1" t="str">
        <f>""</f>
        <v/>
      </c>
      <c r="X383" s="1" t="str">
        <f>""</f>
        <v/>
      </c>
      <c r="Y383" s="1" t="str">
        <f>"11"</f>
        <v>11</v>
      </c>
      <c r="Z383" t="str">
        <f>"9292493000"</f>
        <v>9292493000</v>
      </c>
      <c r="AA383" t="str">
        <f>"9292493000"</f>
        <v>9292493000</v>
      </c>
      <c r="AB383" t="str">
        <f>"9215764717"</f>
        <v>9215764717</v>
      </c>
      <c r="AC383" t="str">
        <f>"9292493000"</f>
        <v>9292493000</v>
      </c>
      <c r="AD383" t="str">
        <f>"9215764717"</f>
        <v>9215764717</v>
      </c>
      <c r="AE383" t="str">
        <f>"9292493000"</f>
        <v>9292493000</v>
      </c>
    </row>
    <row r="384" spans="1:31" x14ac:dyDescent="0.45">
      <c r="A384" t="str">
        <f>"БОГОСЛАВСКАЯ ИРИНА ВАЛЕРЬЕВНА"</f>
        <v>БОГОСЛАВСКАЯ ИРИНА ВАЛЕРЬЕВНА</v>
      </c>
      <c r="B384" t="str">
        <f>"1967-12-15"</f>
        <v>1967-12-15</v>
      </c>
      <c r="C384" t="str">
        <f>"67 12 257123"</f>
        <v>67 12 257123</v>
      </c>
      <c r="D384" t="str">
        <f>"4279016723920502"</f>
        <v>4279016723920502</v>
      </c>
      <c r="E384" t="str">
        <f t="shared" si="63"/>
        <v>2021-05-31</v>
      </c>
      <c r="F384" t="str">
        <f>"Q"</f>
        <v>Q</v>
      </c>
      <c r="G384" t="str">
        <f>"Q"</f>
        <v>Q</v>
      </c>
      <c r="H384" t="str">
        <f>"40817810316992353470"</f>
        <v>40817810316992353470</v>
      </c>
      <c r="I384" t="str">
        <f>"1791"</f>
        <v>1791</v>
      </c>
      <c r="J384" t="str">
        <f>"0113"</f>
        <v>0113</v>
      </c>
      <c r="K384" t="str">
        <f>"0.00"</f>
        <v>0.00</v>
      </c>
      <c r="L384" t="str">
        <f>"628240 ОБЛ ТЮМЕНСКАЯ АО ХМАО Г СОВЕТСКИЙ Г СОВЕТСКИЙ УЛ КИЕВСКАЯ д. 26"</f>
        <v>628240 ОБЛ ТЮМЕНСКАЯ АО ХМАО Г СОВЕТСКИЙ Г СОВЕТСКИЙ УЛ КИЕВСКАЯ д. 26</v>
      </c>
      <c r="M384" t="str">
        <f t="shared" si="57"/>
        <v>2019-08-24</v>
      </c>
      <c r="N384" t="str">
        <f>"ГИМНАЗИЯ"</f>
        <v>ГИМНАЗИЯ</v>
      </c>
      <c r="O384" t="str">
        <f>"628240"</f>
        <v>628240</v>
      </c>
      <c r="P384" t="str">
        <f t="shared" si="68"/>
        <v>ОБЛ ТЮМЕНСКАЯ</v>
      </c>
      <c r="Q384" t="str">
        <f>"АО ХМАО"</f>
        <v>АО ХМАО</v>
      </c>
      <c r="R384" t="str">
        <f>"Г СОВЕТСКИЙ"</f>
        <v>Г СОВЕТСКИЙ</v>
      </c>
      <c r="S384" t="str">
        <f>"Г СОВЕТСКИЙ"</f>
        <v>Г СОВЕТСКИЙ</v>
      </c>
      <c r="T384" t="str">
        <f>"УЛ КИЕВСКАЯ"</f>
        <v>УЛ КИЕВСКАЯ</v>
      </c>
      <c r="U384" s="1" t="str">
        <f>"17"</f>
        <v>17</v>
      </c>
      <c r="V384" s="1" t="str">
        <f>""</f>
        <v/>
      </c>
      <c r="W384" s="1" t="str">
        <f>""</f>
        <v/>
      </c>
      <c r="X384" s="1" t="str">
        <f>""</f>
        <v/>
      </c>
      <c r="Y384" s="1" t="str">
        <f>"8"</f>
        <v>8</v>
      </c>
      <c r="Z384" t="str">
        <f>"+7 (34675) 31272"</f>
        <v>+7 (34675) 31272</v>
      </c>
      <c r="AA384" t="str">
        <f>"9048857988"</f>
        <v>9048857988</v>
      </c>
      <c r="AB384" t="str">
        <f>"9048853695"</f>
        <v>9048853695</v>
      </c>
      <c r="AC384" t="str">
        <f>"9048857988"</f>
        <v>9048857988</v>
      </c>
      <c r="AD384" t="str">
        <f>"9048853695"</f>
        <v>9048853695</v>
      </c>
      <c r="AE384" t="str">
        <f>"3467531272"</f>
        <v>3467531272</v>
      </c>
    </row>
    <row r="385" spans="1:31" x14ac:dyDescent="0.45">
      <c r="A385" t="str">
        <f>"ГАЛКИН ЕВГЕНИЙ АНАТОЛЬЕВИЧ"</f>
        <v>ГАЛКИН ЕВГЕНИЙ АНАТОЛЬЕВИЧ</v>
      </c>
      <c r="B385" t="str">
        <f>"1988-07-18"</f>
        <v>1988-07-18</v>
      </c>
      <c r="C385" t="str">
        <f>"37 07 242006"</f>
        <v>37 07 242006</v>
      </c>
      <c r="D385" t="str">
        <f>"4279016749684892"</f>
        <v>4279016749684892</v>
      </c>
      <c r="E385" t="str">
        <f t="shared" si="63"/>
        <v>2021-05-31</v>
      </c>
      <c r="F385" t="str">
        <f t="shared" ref="F385:G387" si="69">"+"</f>
        <v>+</v>
      </c>
      <c r="G385" t="str">
        <f t="shared" si="69"/>
        <v>+</v>
      </c>
      <c r="H385" t="str">
        <f>"40817810816992011759"</f>
        <v>40817810816992011759</v>
      </c>
      <c r="I385" t="str">
        <f>"5940"</f>
        <v>5940</v>
      </c>
      <c r="J385" t="str">
        <f>"0115"</f>
        <v>0115</v>
      </c>
      <c r="K385" t="str">
        <f>"275000.00"</f>
        <v>275000.00</v>
      </c>
      <c r="L385" t="str">
        <f>"628600 ОБЛ ТЮМЕНСКАЯ   Г РАДУЖНЫЙ   УЛ ПРОМЫШЛЕННАЯ д. 27"</f>
        <v>628600 ОБЛ ТЮМЕНСКАЯ   Г РАДУЖНЫЙ   УЛ ПРОМЫШЛЕННАЯ д. 27</v>
      </c>
      <c r="M385" t="str">
        <f t="shared" si="57"/>
        <v>2019-08-24</v>
      </c>
      <c r="N385" t="str">
        <f>"ООО ВНБК"</f>
        <v>ООО ВНБК</v>
      </c>
      <c r="O385" t="str">
        <f>"620600"</f>
        <v>620600</v>
      </c>
      <c r="P385" t="str">
        <f t="shared" si="68"/>
        <v>ОБЛ ТЮМЕНСКАЯ</v>
      </c>
      <c r="Q385" t="str">
        <f>"Р-Н НИЖНЕВАРТОВСКИЙ"</f>
        <v>Р-Н НИЖНЕВАРТОВСКИЙ</v>
      </c>
      <c r="R385" t="str">
        <f>""</f>
        <v/>
      </c>
      <c r="S385" t="str">
        <f>"П ВАХОВСК"</f>
        <v>П ВАХОВСК</v>
      </c>
      <c r="T385" t="str">
        <f>"УЛ ЗЕЛЕНАЯ"</f>
        <v>УЛ ЗЕЛЕНАЯ</v>
      </c>
      <c r="U385" s="1" t="str">
        <f>"18"</f>
        <v>18</v>
      </c>
      <c r="V385" s="1" t="str">
        <f>""</f>
        <v/>
      </c>
      <c r="W385" s="1" t="str">
        <f>""</f>
        <v/>
      </c>
      <c r="X385" s="1" t="str">
        <f>""</f>
        <v/>
      </c>
      <c r="Y385" s="1" t="str">
        <f>"2"</f>
        <v>2</v>
      </c>
      <c r="Z385" t="str">
        <f>""</f>
        <v/>
      </c>
      <c r="AA385" t="str">
        <f>"9324178718"</f>
        <v>9324178718</v>
      </c>
      <c r="AB385" t="str">
        <f>"9224215309"</f>
        <v>9224215309</v>
      </c>
      <c r="AC385" t="str">
        <f>"9324178718"</f>
        <v>9324178718</v>
      </c>
      <c r="AD385" t="str">
        <f>"9224215309"</f>
        <v>9224215309</v>
      </c>
      <c r="AE385" t="str">
        <f>""</f>
        <v/>
      </c>
    </row>
    <row r="386" spans="1:31" x14ac:dyDescent="0.45">
      <c r="A386" t="str">
        <f>"ДМИТРИЕВ АЛЕКСАНДР СЕРГЕЕВИЧ"</f>
        <v>ДМИТРИЕВ АЛЕКСАНДР СЕРГЕЕВИЧ</v>
      </c>
      <c r="B386" t="str">
        <f>"1982-10-24"</f>
        <v>1982-10-24</v>
      </c>
      <c r="C386" t="str">
        <f>"71 06 520429"</f>
        <v>71 06 520429</v>
      </c>
      <c r="D386" t="str">
        <f>"4279016705037440"</f>
        <v>4279016705037440</v>
      </c>
      <c r="E386" t="str">
        <f t="shared" si="63"/>
        <v>2021-05-31</v>
      </c>
      <c r="F386" t="str">
        <f t="shared" si="69"/>
        <v>+</v>
      </c>
      <c r="G386" t="str">
        <f t="shared" si="69"/>
        <v>+</v>
      </c>
      <c r="H386" t="str">
        <f>"40817810016992353550"</f>
        <v>40817810016992353550</v>
      </c>
      <c r="I386" t="str">
        <f>"8647"</f>
        <v>8647</v>
      </c>
      <c r="J386" t="str">
        <f>"0170"</f>
        <v>0170</v>
      </c>
      <c r="K386" t="str">
        <f>"17000.00"</f>
        <v>17000.00</v>
      </c>
      <c r="L386" t="str">
        <f>"625000 ОБЛ ТЮМЕНСКАЯ   Г ТЮМЕНЬ   УЛ ПЕРМЯКОВА д. 1 корп. 5"</f>
        <v>625000 ОБЛ ТЮМЕНСКАЯ   Г ТЮМЕНЬ   УЛ ПЕРМЯКОВА д. 1 корп. 5</v>
      </c>
      <c r="M386" t="str">
        <f t="shared" ref="M386:M449" si="70">"2019-08-24"</f>
        <v>2019-08-24</v>
      </c>
      <c r="N386" t="str">
        <f>"ООО ИКСОНИКА"</f>
        <v>ООО ИКСОНИКА</v>
      </c>
      <c r="O386" t="str">
        <f>"625000"</f>
        <v>625000</v>
      </c>
      <c r="P386" t="str">
        <f t="shared" si="68"/>
        <v>ОБЛ ТЮМЕНСКАЯ</v>
      </c>
      <c r="Q386" t="str">
        <f>""</f>
        <v/>
      </c>
      <c r="R386" t="str">
        <f>"Г ТЮМЕНЬ"</f>
        <v>Г ТЮМЕНЬ</v>
      </c>
      <c r="S386" t="str">
        <f>""</f>
        <v/>
      </c>
      <c r="T386" t="str">
        <f>"УЛ 50 ЛЕТ ОКТЯБРЯ"</f>
        <v>УЛ 50 ЛЕТ ОКТЯБРЯ</v>
      </c>
      <c r="U386" s="1" t="str">
        <f>"39"</f>
        <v>39</v>
      </c>
      <c r="V386" s="1" t="str">
        <f>""</f>
        <v/>
      </c>
      <c r="W386" s="1" t="str">
        <f>""</f>
        <v/>
      </c>
      <c r="X386" s="1" t="str">
        <f>""</f>
        <v/>
      </c>
      <c r="Y386" s="1" t="str">
        <f>"10"</f>
        <v>10</v>
      </c>
      <c r="Z386" t="str">
        <f>""</f>
        <v/>
      </c>
      <c r="AA386" t="str">
        <f>"9612024942"</f>
        <v>9612024942</v>
      </c>
      <c r="AB386" t="str">
        <f>"9129288412"</f>
        <v>9129288412</v>
      </c>
      <c r="AC386" t="str">
        <f>"9612024942"</f>
        <v>9612024942</v>
      </c>
      <c r="AD386" t="str">
        <f>"9129288412"</f>
        <v>9129288412</v>
      </c>
      <c r="AE386" t="str">
        <f>""</f>
        <v/>
      </c>
    </row>
    <row r="387" spans="1:31" x14ac:dyDescent="0.45">
      <c r="A387" t="str">
        <f>"ЕРЕМИНА ДИАНА РОМАНОВНА"</f>
        <v>ЕРЕМИНА ДИАНА РОМАНОВНА</v>
      </c>
      <c r="B387" t="str">
        <f>"1986-06-02"</f>
        <v>1986-06-02</v>
      </c>
      <c r="C387" t="str">
        <f>"67 16 613528"</f>
        <v>67 16 613528</v>
      </c>
      <c r="D387" t="str">
        <f>"4279016722092949"</f>
        <v>4279016722092949</v>
      </c>
      <c r="E387" t="str">
        <f t="shared" si="63"/>
        <v>2021-05-31</v>
      </c>
      <c r="F387" t="str">
        <f t="shared" si="69"/>
        <v>+</v>
      </c>
      <c r="G387" t="str">
        <f t="shared" si="69"/>
        <v>+</v>
      </c>
      <c r="H387" t="str">
        <f>"40817810816992353763"</f>
        <v>40817810816992353763</v>
      </c>
      <c r="I387" t="str">
        <f>"5940"</f>
        <v>5940</v>
      </c>
      <c r="J387" t="str">
        <f>"0116"</f>
        <v>0116</v>
      </c>
      <c r="K387" t="str">
        <f>"40000.00"</f>
        <v>40000.00</v>
      </c>
      <c r="L387" t="str">
        <f>"628600 ОБЛ ТЮМЕНСКАЯ   Г НИЖНЕВАРТОВСК   УЛ ИНДУСТРИАЛЬНАЯ д. 107 стр. 1"</f>
        <v>628600 ОБЛ ТЮМЕНСКАЯ   Г НИЖНЕВАРТОВСК   УЛ ИНДУСТРИАЛЬНАЯ д. 107 стр. 1</v>
      </c>
      <c r="M387" t="str">
        <f t="shared" si="70"/>
        <v>2019-08-24</v>
      </c>
      <c r="N387" t="str">
        <f>"ООО ИНТЕР-АВТО"</f>
        <v>ООО ИНТЕР-АВТО</v>
      </c>
      <c r="O387" t="str">
        <f>"628600"</f>
        <v>628600</v>
      </c>
      <c r="P387" t="str">
        <f t="shared" si="68"/>
        <v>ОБЛ ТЮМЕНСКАЯ</v>
      </c>
      <c r="Q387" t="str">
        <f>""</f>
        <v/>
      </c>
      <c r="R387" t="str">
        <f>"Г НИЖНЕВАРТОВСК"</f>
        <v>Г НИЖНЕВАРТОВСК</v>
      </c>
      <c r="S387" t="str">
        <f>""</f>
        <v/>
      </c>
      <c r="T387" t="str">
        <f>"УЛ МИРА"</f>
        <v>УЛ МИРА</v>
      </c>
      <c r="U387" s="1" t="str">
        <f>"38"</f>
        <v>38</v>
      </c>
      <c r="V387" s="1" t="str">
        <f>""</f>
        <v/>
      </c>
      <c r="W387" s="1" t="str">
        <f>""</f>
        <v/>
      </c>
      <c r="X387" s="1" t="str">
        <f>""</f>
        <v/>
      </c>
      <c r="Y387" s="1" t="str">
        <f>"69"</f>
        <v>69</v>
      </c>
      <c r="Z387" t="str">
        <f>"613229"</f>
        <v>613229</v>
      </c>
      <c r="AA387" t="str">
        <f>"9324233385"</f>
        <v>9324233385</v>
      </c>
      <c r="AB387" t="str">
        <f>"9324004609"</f>
        <v>9324004609</v>
      </c>
      <c r="AC387" t="str">
        <f>"9324233385"</f>
        <v>9324233385</v>
      </c>
      <c r="AD387" t="str">
        <f>"9324004609"</f>
        <v>9324004609</v>
      </c>
      <c r="AE387" t="str">
        <f>""</f>
        <v/>
      </c>
    </row>
    <row r="388" spans="1:31" x14ac:dyDescent="0.45">
      <c r="A388" t="str">
        <f>"СОКОЛОВА ИРИНА ВАСИЛЬЕВНА"</f>
        <v>СОКОЛОВА ИРИНА ВАСИЛЬЕВНА</v>
      </c>
      <c r="B388" t="str">
        <f>"1958-12-15"</f>
        <v>1958-12-15</v>
      </c>
      <c r="C388" t="str">
        <f>"67 06 666230"</f>
        <v>67 06 666230</v>
      </c>
      <c r="D388" t="str">
        <f>"4279016715594232"</f>
        <v>4279016715594232</v>
      </c>
      <c r="E388" t="str">
        <f t="shared" si="63"/>
        <v>2021-05-31</v>
      </c>
      <c r="F388" t="str">
        <f>"K"</f>
        <v>K</v>
      </c>
      <c r="G388" t="str">
        <f>"+"</f>
        <v>+</v>
      </c>
      <c r="H388" t="str">
        <f>"40817810516992353788"</f>
        <v>40817810516992353788</v>
      </c>
      <c r="I388" t="str">
        <f>"1791"</f>
        <v>1791</v>
      </c>
      <c r="J388" t="str">
        <f>"0100"</f>
        <v>0100</v>
      </c>
      <c r="K388" t="str">
        <f>"35000.00"</f>
        <v>35000.00</v>
      </c>
      <c r="L388" t="str">
        <f>"628183 ОБЛ ТЮМЕНСКАЯ   Г НЯГАНЬ   УЛ СИБИРСКАЯ"</f>
        <v>628183 ОБЛ ТЮМЕНСКАЯ   Г НЯГАНЬ   УЛ СИБИРСКАЯ</v>
      </c>
      <c r="M388" t="str">
        <f t="shared" si="70"/>
        <v>2019-08-24</v>
      </c>
      <c r="N388" t="str">
        <f>"ПЕНСИОННЫЙ ФОНД НЯГАНИ"</f>
        <v>ПЕНСИОННЫЙ ФОНД НЯГАНИ</v>
      </c>
      <c r="O388" t="str">
        <f>"628186"</f>
        <v>628186</v>
      </c>
      <c r="P388" t="str">
        <f t="shared" si="68"/>
        <v>ОБЛ ТЮМЕНСКАЯ</v>
      </c>
      <c r="Q388" t="str">
        <f>""</f>
        <v/>
      </c>
      <c r="R388" t="str">
        <f>"Г НЯГАНЬ"</f>
        <v>Г НЯГАНЬ</v>
      </c>
      <c r="S388" t="str">
        <f>""</f>
        <v/>
      </c>
      <c r="T388" t="str">
        <f>"УЛ ПИОНЕРСКАЯ"</f>
        <v>УЛ ПИОНЕРСКАЯ</v>
      </c>
      <c r="U388" s="1" t="str">
        <f>"1"</f>
        <v>1</v>
      </c>
      <c r="V388" s="1" t="str">
        <f>"ОБЩ"</f>
        <v>ОБЩ</v>
      </c>
      <c r="W388" s="1" t="str">
        <f>""</f>
        <v/>
      </c>
      <c r="X388" s="1" t="str">
        <f>""</f>
        <v/>
      </c>
      <c r="Y388" s="1" t="str">
        <f>"28"</f>
        <v>28</v>
      </c>
      <c r="Z388" t="str">
        <f>""</f>
        <v/>
      </c>
      <c r="AA388" t="str">
        <f>"9088866851"</f>
        <v>9088866851</v>
      </c>
      <c r="AB388" t="str">
        <f>"9088866851"</f>
        <v>9088866851</v>
      </c>
      <c r="AC388" t="str">
        <f>"9825676380"</f>
        <v>9825676380</v>
      </c>
      <c r="AD388" t="str">
        <f>"9088866851"</f>
        <v>9088866851</v>
      </c>
      <c r="AE388" t="str">
        <f>""</f>
        <v/>
      </c>
    </row>
    <row r="389" spans="1:31" x14ac:dyDescent="0.45">
      <c r="A389" t="str">
        <f>"ДМИТРИЕВА РАМИЛЯ ЛИНАРОВНА"</f>
        <v>ДМИТРИЕВА РАМИЛЯ ЛИНАРОВНА</v>
      </c>
      <c r="B389" t="str">
        <f>"1987-07-13"</f>
        <v>1987-07-13</v>
      </c>
      <c r="C389" t="str">
        <f>"71 13 030807"</f>
        <v>71 13 030807</v>
      </c>
      <c r="D389" t="str">
        <f>"4279016745965394"</f>
        <v>4279016745965394</v>
      </c>
      <c r="E389" t="str">
        <f t="shared" si="63"/>
        <v>2021-05-31</v>
      </c>
      <c r="F389" t="str">
        <f>"+"</f>
        <v>+</v>
      </c>
      <c r="G389" t="str">
        <f>"+"</f>
        <v>+</v>
      </c>
      <c r="H389" t="str">
        <f>"40817810816992401068"</f>
        <v>40817810816992401068</v>
      </c>
      <c r="I389" t="str">
        <f>"8647"</f>
        <v>8647</v>
      </c>
      <c r="J389" t="str">
        <f>"0069"</f>
        <v>0069</v>
      </c>
      <c r="K389" t="str">
        <f>"360000.00"</f>
        <v>360000.00</v>
      </c>
      <c r="L389" t="str">
        <f>"625000 ОБЛ ТЮМЕНСКАЯ   Г ТЮМЕНЬ   УЛ 50 ЛЕТ ОКТЯБРЯ д. 14"</f>
        <v>625000 ОБЛ ТЮМЕНСКАЯ   Г ТЮМЕНЬ   УЛ 50 ЛЕТ ОКТЯБРЯ д. 14</v>
      </c>
      <c r="M389" t="str">
        <f t="shared" si="70"/>
        <v>2019-08-24</v>
      </c>
      <c r="N389" t="str">
        <f>"ООО ТК ШЛЮМБЕРЖЕ"</f>
        <v>ООО ТК ШЛЮМБЕРЖЕ</v>
      </c>
      <c r="O389" t="str">
        <f>"625000"</f>
        <v>625000</v>
      </c>
      <c r="P389" t="str">
        <f t="shared" si="68"/>
        <v>ОБЛ ТЮМЕНСКАЯ</v>
      </c>
      <c r="Q389" t="str">
        <f>""</f>
        <v/>
      </c>
      <c r="R389" t="str">
        <f>"Г ТЮМЕНЬ"</f>
        <v>Г ТЮМЕНЬ</v>
      </c>
      <c r="S389" t="str">
        <f>""</f>
        <v/>
      </c>
      <c r="T389" t="str">
        <f>"УЛ ДОМОСТРОИТЕЛЕЙ"</f>
        <v>УЛ ДОМОСТРОИТЕЛЕЙ</v>
      </c>
      <c r="U389" s="1" t="str">
        <f>"10"</f>
        <v>10</v>
      </c>
      <c r="V389" s="1" t="str">
        <f>""</f>
        <v/>
      </c>
      <c r="W389" s="1" t="str">
        <f>""</f>
        <v/>
      </c>
      <c r="X389" s="1" t="str">
        <f>""</f>
        <v/>
      </c>
      <c r="Y389" s="1" t="str">
        <f>"59"</f>
        <v>59</v>
      </c>
      <c r="Z389" t="str">
        <f>""</f>
        <v/>
      </c>
      <c r="AA389" t="str">
        <f>"9523444606"</f>
        <v>9523444606</v>
      </c>
      <c r="AB389" t="str">
        <f>"9523444605"</f>
        <v>9523444605</v>
      </c>
      <c r="AC389" t="str">
        <f>"9523444606"</f>
        <v>9523444606</v>
      </c>
      <c r="AD389" t="str">
        <f>"9523444605"</f>
        <v>9523444605</v>
      </c>
      <c r="AE389" t="str">
        <f>""</f>
        <v/>
      </c>
    </row>
    <row r="390" spans="1:31" x14ac:dyDescent="0.45">
      <c r="A390" t="str">
        <f>"МИШАГИН ВИТАЛИЙ МИХАЙЛОВИЧ"</f>
        <v>МИШАГИН ВИТАЛИЙ МИХАЙЛОВИЧ</v>
      </c>
      <c r="B390" t="str">
        <f>"1976-06-01"</f>
        <v>1976-06-01</v>
      </c>
      <c r="C390" t="str">
        <f>"67 02 585800"</f>
        <v>67 02 585800</v>
      </c>
      <c r="D390" t="str">
        <f>"4276016708439034"</f>
        <v>4276016708439034</v>
      </c>
      <c r="E390" t="str">
        <f t="shared" si="63"/>
        <v>2021-05-31</v>
      </c>
      <c r="F390" t="str">
        <f>"+"</f>
        <v>+</v>
      </c>
      <c r="G390" t="str">
        <f>"+"</f>
        <v>+</v>
      </c>
      <c r="H390" t="str">
        <f>"40817810316992401144"</f>
        <v>40817810316992401144</v>
      </c>
      <c r="I390" t="str">
        <f>"5940"</f>
        <v>5940</v>
      </c>
      <c r="J390" t="str">
        <f>"0052"</f>
        <v>0052</v>
      </c>
      <c r="K390" t="str">
        <f>"50000.00"</f>
        <v>50000.00</v>
      </c>
      <c r="L390" t="str">
        <f>"628400 ОБЛ ТЮМЕНСКАЯ   Г СУРГУТ   УЛ КАРОЛИНСКОГО д. 13"</f>
        <v>628400 ОБЛ ТЮМЕНСКАЯ   Г СУРГУТ   УЛ КАРОЛИНСКОГО д. 13</v>
      </c>
      <c r="M390" t="str">
        <f t="shared" si="70"/>
        <v>2019-08-24</v>
      </c>
      <c r="N390" t="str">
        <f>"ООО АПВ"</f>
        <v>ООО АПВ</v>
      </c>
      <c r="O390" t="str">
        <f>"628400"</f>
        <v>628400</v>
      </c>
      <c r="P390" t="str">
        <f t="shared" si="68"/>
        <v>ОБЛ ТЮМЕНСКАЯ</v>
      </c>
      <c r="Q390" t="str">
        <f>""</f>
        <v/>
      </c>
      <c r="R390" t="str">
        <f>"Г СУРГУТ"</f>
        <v>Г СУРГУТ</v>
      </c>
      <c r="S390" t="str">
        <f>""</f>
        <v/>
      </c>
      <c r="T390" t="str">
        <f>"Б-Р ПИСАТЕЛЕЙ"</f>
        <v>Б-Р ПИСАТЕЛЕЙ</v>
      </c>
      <c r="U390" s="1" t="str">
        <f>"21"</f>
        <v>21</v>
      </c>
      <c r="V390" s="1" t="str">
        <f>""</f>
        <v/>
      </c>
      <c r="W390" s="1" t="str">
        <f>""</f>
        <v/>
      </c>
      <c r="X390" s="1" t="str">
        <f>""</f>
        <v/>
      </c>
      <c r="Y390" s="1" t="str">
        <f>"105"</f>
        <v>105</v>
      </c>
      <c r="Z390" t="str">
        <f>""</f>
        <v/>
      </c>
      <c r="AA390" t="str">
        <f>"9282141458"</f>
        <v>9282141458</v>
      </c>
      <c r="AB390" t="str">
        <f>"9224422364"</f>
        <v>9224422364</v>
      </c>
      <c r="AC390" t="str">
        <f>"9282141458"</f>
        <v>9282141458</v>
      </c>
      <c r="AD390" t="str">
        <f>"9224422364"</f>
        <v>9224422364</v>
      </c>
      <c r="AE390" t="str">
        <f>""</f>
        <v/>
      </c>
    </row>
    <row r="391" spans="1:31" x14ac:dyDescent="0.45">
      <c r="A391" t="str">
        <f>"ВАХРУШЕВ ИВАН ПАНТИЛЕЕВИЧ"</f>
        <v>ВАХРУШЕВ ИВАН ПАНТИЛЕЕВИЧ</v>
      </c>
      <c r="B391" t="str">
        <f>"1969-01-31"</f>
        <v>1969-01-31</v>
      </c>
      <c r="C391" t="str">
        <f>"67 14 402194"</f>
        <v>67 14 402194</v>
      </c>
      <c r="D391" t="str">
        <f>"4279016746741273"</f>
        <v>4279016746741273</v>
      </c>
      <c r="E391" t="str">
        <f t="shared" si="63"/>
        <v>2021-05-31</v>
      </c>
      <c r="F391" t="str">
        <f>"Q"</f>
        <v>Q</v>
      </c>
      <c r="G391" t="str">
        <f>"Q"</f>
        <v>Q</v>
      </c>
      <c r="H391" t="str">
        <f>"40817810567720689771"</f>
        <v>40817810567720689771</v>
      </c>
      <c r="I391" t="str">
        <f>"1791"</f>
        <v>1791</v>
      </c>
      <c r="J391" t="str">
        <f>"0055"</f>
        <v>0055</v>
      </c>
      <c r="K391" t="str">
        <f>"0.00"</f>
        <v>0.00</v>
      </c>
      <c r="L391" t="str">
        <f>"628000 ОБЛ ИРКУТСКАЯ   Г УСТЬ-КУТ   УЛ КИРОВА д. 77"</f>
        <v>628000 ОБЛ ИРКУТСКАЯ   Г УСТЬ-КУТ   УЛ КИРОВА д. 77</v>
      </c>
      <c r="M391" t="str">
        <f t="shared" si="70"/>
        <v>2019-08-24</v>
      </c>
      <c r="N391" t="str">
        <f>"ГЕОТЭК ООО ВГК"</f>
        <v>ГЕОТЭК ООО ВГК</v>
      </c>
      <c r="O391" t="str">
        <f>"628000"</f>
        <v>628000</v>
      </c>
      <c r="P391" t="str">
        <f t="shared" si="68"/>
        <v>ОБЛ ТЮМЕНСКАЯ</v>
      </c>
      <c r="Q391" t="str">
        <f>"Р-Н КОНДИНСКИЙ"</f>
        <v>Р-Н КОНДИНСКИЙ</v>
      </c>
      <c r="R391" t="str">
        <f>""</f>
        <v/>
      </c>
      <c r="S391" t="str">
        <f>"Д ШУГУР"</f>
        <v>Д ШУГУР</v>
      </c>
      <c r="T391" t="str">
        <f>"УЛ БОРОВАЯ"</f>
        <v>УЛ БОРОВАЯ</v>
      </c>
      <c r="U391" s="1" t="str">
        <f>"5"</f>
        <v>5</v>
      </c>
      <c r="V391" s="1" t="str">
        <f>""</f>
        <v/>
      </c>
      <c r="W391" s="1" t="str">
        <f>""</f>
        <v/>
      </c>
      <c r="X391" s="1" t="str">
        <f>""</f>
        <v/>
      </c>
      <c r="Y391" s="1" t="str">
        <f>""</f>
        <v/>
      </c>
      <c r="Z391" t="str">
        <f>"9527210449"</f>
        <v>9527210449</v>
      </c>
      <c r="AA391" t="str">
        <f>"9505018809"</f>
        <v>9505018809</v>
      </c>
      <c r="AB391" t="str">
        <f>"9527210449"</f>
        <v>9527210449</v>
      </c>
      <c r="AC391" t="str">
        <f>"9505018809"</f>
        <v>9505018809</v>
      </c>
      <c r="AD391" t="str">
        <f>"9527210449"</f>
        <v>9527210449</v>
      </c>
      <c r="AE391" t="str">
        <f>"9527210449"</f>
        <v>9527210449</v>
      </c>
    </row>
    <row r="392" spans="1:31" x14ac:dyDescent="0.45">
      <c r="A392" t="str">
        <f>"САМКОВА ГАЛИНА ВАСИЛЬЕВНА"</f>
        <v>САМКОВА ГАЛИНА ВАСИЛЬЕВНА</v>
      </c>
      <c r="B392" t="str">
        <f>"1957-06-28"</f>
        <v>1957-06-28</v>
      </c>
      <c r="C392" t="str">
        <f>"67 04 143635"</f>
        <v>67 04 143635</v>
      </c>
      <c r="D392" t="str">
        <f>"4279016713896050"</f>
        <v>4279016713896050</v>
      </c>
      <c r="E392" t="str">
        <f t="shared" si="63"/>
        <v>2021-05-31</v>
      </c>
      <c r="F392" t="str">
        <f>"+"</f>
        <v>+</v>
      </c>
      <c r="G392" t="str">
        <f>"+"</f>
        <v>+</v>
      </c>
      <c r="H392" t="str">
        <f>"40817810116992401292"</f>
        <v>40817810116992401292</v>
      </c>
      <c r="I392" t="str">
        <f>"5940"</f>
        <v>5940</v>
      </c>
      <c r="J392" t="str">
        <f>"0133"</f>
        <v>0133</v>
      </c>
      <c r="K392" t="str">
        <f>"200000.00"</f>
        <v>200000.00</v>
      </c>
      <c r="L392" t="str">
        <f>"628672 ОБЛ ТЮМЕНСКАЯ   Г ЛАНГЕПАС   УЛ ДРУЖБЫ НАРОДОВ д. 27"</f>
        <v>628672 ОБЛ ТЮМЕНСКАЯ   Г ЛАНГЕПАС   УЛ ДРУЖБЫ НАРОДОВ д. 27</v>
      </c>
      <c r="M392" t="str">
        <f t="shared" si="70"/>
        <v>2019-08-24</v>
      </c>
      <c r="N392" t="str">
        <f>"ЛГ МАУ ИМОЦ"</f>
        <v>ЛГ МАУ ИМОЦ</v>
      </c>
      <c r="O392" t="str">
        <f>"628672"</f>
        <v>628672</v>
      </c>
      <c r="P392" t="str">
        <f t="shared" si="68"/>
        <v>ОБЛ ТЮМЕНСКАЯ</v>
      </c>
      <c r="Q392" t="str">
        <f>""</f>
        <v/>
      </c>
      <c r="R392" t="str">
        <f>"Г ЛАНГЕПАС"</f>
        <v>Г ЛАНГЕПАС</v>
      </c>
      <c r="S392" t="str">
        <f>""</f>
        <v/>
      </c>
      <c r="T392" t="str">
        <f>"УЛ ЛЕНИНА"</f>
        <v>УЛ ЛЕНИНА</v>
      </c>
      <c r="U392" s="1" t="str">
        <f>"19"</f>
        <v>19</v>
      </c>
      <c r="V392" s="1" t="str">
        <f>""</f>
        <v/>
      </c>
      <c r="W392" s="1" t="str">
        <f>""</f>
        <v/>
      </c>
      <c r="X392" s="1" t="str">
        <f>""</f>
        <v/>
      </c>
      <c r="Y392" s="1" t="str">
        <f>"18"</f>
        <v>18</v>
      </c>
      <c r="Z392" t="str">
        <f>"9224446514"</f>
        <v>9224446514</v>
      </c>
      <c r="AA392" t="str">
        <f>"3466921226"</f>
        <v>3466921226</v>
      </c>
      <c r="AB392" t="str">
        <f>"9224446514"</f>
        <v>9224446514</v>
      </c>
      <c r="AC392" t="str">
        <f>"3466921226"</f>
        <v>3466921226</v>
      </c>
      <c r="AD392" t="str">
        <f>"9224446514"</f>
        <v>9224446514</v>
      </c>
      <c r="AE392" t="str">
        <f>""</f>
        <v/>
      </c>
    </row>
    <row r="393" spans="1:31" x14ac:dyDescent="0.45">
      <c r="A393" t="str">
        <f>"РООТ КОНСТАНТИН ИГОРЕВИЧ"</f>
        <v>РООТ КОНСТАНТИН ИГОРЕВИЧ</v>
      </c>
      <c r="B393" t="str">
        <f>"1970-08-23"</f>
        <v>1970-08-23</v>
      </c>
      <c r="C393" t="str">
        <f>"67 15 496243"</f>
        <v>67 15 496243</v>
      </c>
      <c r="D393" t="str">
        <f>"4279016715818102"</f>
        <v>4279016715818102</v>
      </c>
      <c r="E393" t="str">
        <f t="shared" si="63"/>
        <v>2021-05-31</v>
      </c>
      <c r="F393" t="str">
        <f>"Q"</f>
        <v>Q</v>
      </c>
      <c r="G393" t="str">
        <f>"Q"</f>
        <v>Q</v>
      </c>
      <c r="H393" t="str">
        <f>"40817810416992401358"</f>
        <v>40817810416992401358</v>
      </c>
      <c r="I393" t="str">
        <f>"5940"</f>
        <v>5940</v>
      </c>
      <c r="J393" t="str">
        <f>"0086"</f>
        <v>0086</v>
      </c>
      <c r="K393" t="str">
        <f>"0.00"</f>
        <v>0.00</v>
      </c>
      <c r="L393" t="str">
        <f>"999999 Г НЕ УКАЗАН         д. 1"</f>
        <v>999999 Г НЕ УКАЗАН         д. 1</v>
      </c>
      <c r="M393" t="str">
        <f t="shared" si="70"/>
        <v>2019-08-24</v>
      </c>
      <c r="N393" t="str">
        <f>"НЕ УКАЗАНО"</f>
        <v>НЕ УКАЗАНО</v>
      </c>
      <c r="O393" t="str">
        <f>"628402"</f>
        <v>628402</v>
      </c>
      <c r="P393" t="str">
        <f>"АО ХАНТЫ-МАНСИЙСКИЙ АВТОНОМНЫЙ ОКРУГ - ЮГРА"</f>
        <v>АО ХАНТЫ-МАНСИЙСКИЙ АВТОНОМНЫЙ ОКРУГ - ЮГРА</v>
      </c>
      <c r="Q393" t="str">
        <f>""</f>
        <v/>
      </c>
      <c r="R393" t="str">
        <f>"Г СУРГУТ"</f>
        <v>Г СУРГУТ</v>
      </c>
      <c r="S393" t="str">
        <f>""</f>
        <v/>
      </c>
      <c r="T393" t="str">
        <f>"УЛ МЕЛИК-КАРАМОВА"</f>
        <v>УЛ МЕЛИК-КАРАМОВА</v>
      </c>
      <c r="U393" s="1" t="str">
        <f>"25"</f>
        <v>25</v>
      </c>
      <c r="V393" s="1" t="str">
        <f>""</f>
        <v/>
      </c>
      <c r="W393" s="1" t="str">
        <f>""</f>
        <v/>
      </c>
      <c r="X393" s="1" t="str">
        <f>""</f>
        <v/>
      </c>
      <c r="Y393" s="1" t="str">
        <f>"4"</f>
        <v>4</v>
      </c>
      <c r="Z393" t="str">
        <f>"3462419760"</f>
        <v>3462419760</v>
      </c>
      <c r="AA393" t="str">
        <f>"9125106263"</f>
        <v>9125106263</v>
      </c>
      <c r="AB393" t="str">
        <f>"9227813916"</f>
        <v>9227813916</v>
      </c>
      <c r="AC393" t="str">
        <f>""</f>
        <v/>
      </c>
      <c r="AD393" t="str">
        <f>"9227813916"</f>
        <v>9227813916</v>
      </c>
      <c r="AE393" t="str">
        <f>"3462419760"</f>
        <v>3462419760</v>
      </c>
    </row>
    <row r="394" spans="1:31" x14ac:dyDescent="0.45">
      <c r="A394" t="str">
        <f>"ЗАКОМАЛДИН ВЛАДИМИР НИКОЛАЕВИЧ"</f>
        <v>ЗАКОМАЛДИН ВЛАДИМИР НИКОЛАЕВИЧ</v>
      </c>
      <c r="B394" t="str">
        <f>"1968-11-08"</f>
        <v>1968-11-08</v>
      </c>
      <c r="C394" t="str">
        <f>"71 13 045297"</f>
        <v>71 13 045297</v>
      </c>
      <c r="D394" t="str">
        <f>"4279016749055648"</f>
        <v>4279016749055648</v>
      </c>
      <c r="E394" t="str">
        <f t="shared" si="63"/>
        <v>2021-05-31</v>
      </c>
      <c r="F394" t="str">
        <f t="shared" ref="F394:G399" si="71">"+"</f>
        <v>+</v>
      </c>
      <c r="G394" t="str">
        <f t="shared" si="71"/>
        <v>+</v>
      </c>
      <c r="H394" t="str">
        <f>"40817810616992401475"</f>
        <v>40817810616992401475</v>
      </c>
      <c r="I394" t="str">
        <f>"8647"</f>
        <v>8647</v>
      </c>
      <c r="J394" t="str">
        <f>"0330"</f>
        <v>0330</v>
      </c>
      <c r="K394" t="str">
        <f>"295000.00"</f>
        <v>295000.00</v>
      </c>
      <c r="L394" t="str">
        <f>"625000 ОБЛ ТЮМЕНСКАЯ   Г ТЮМЕНЬ   УЛ ХАРЬКОВСКАЯ д. 78"</f>
        <v>625000 ОБЛ ТЮМЕНСКАЯ   Г ТЮМЕНЬ   УЛ ХАРЬКОВСКАЯ д. 78</v>
      </c>
      <c r="M394" t="str">
        <f t="shared" si="70"/>
        <v>2019-08-24</v>
      </c>
      <c r="N394" t="str">
        <f>"ООО АЛЬТЕИР 99"</f>
        <v>ООО АЛЬТЕИР 99</v>
      </c>
      <c r="O394" t="str">
        <f>"625000"</f>
        <v>625000</v>
      </c>
      <c r="P394" t="str">
        <f>"ОБЛ ТЮМЕНСКАЯ"</f>
        <v>ОБЛ ТЮМЕНСКАЯ</v>
      </c>
      <c r="Q394" t="str">
        <f>""</f>
        <v/>
      </c>
      <c r="R394" t="str">
        <f>"Г ТЮМЕНЬ"</f>
        <v>Г ТЮМЕНЬ</v>
      </c>
      <c r="S394" t="str">
        <f>""</f>
        <v/>
      </c>
      <c r="T394" t="str">
        <f>"УЛ ПРОЕЗД ШАИМСКИЙ"</f>
        <v>УЛ ПРОЕЗД ШАИМСКИЙ</v>
      </c>
      <c r="U394" s="1" t="str">
        <f>"10"</f>
        <v>10</v>
      </c>
      <c r="V394" s="1" t="str">
        <f>""</f>
        <v/>
      </c>
      <c r="W394" s="1" t="str">
        <f>""</f>
        <v/>
      </c>
      <c r="X394" s="1" t="str">
        <f>""</f>
        <v/>
      </c>
      <c r="Y394" s="1" t="str">
        <f>"50"</f>
        <v>50</v>
      </c>
      <c r="Z394" t="str">
        <f>"3452672673"</f>
        <v>3452672673</v>
      </c>
      <c r="AA394" t="str">
        <f>"3452672673"</f>
        <v>3452672673</v>
      </c>
      <c r="AB394" t="str">
        <f>"9504855843"</f>
        <v>9504855843</v>
      </c>
      <c r="AC394" t="str">
        <f>"3452672673"</f>
        <v>3452672673</v>
      </c>
      <c r="AD394" t="str">
        <f>"9504855843"</f>
        <v>9504855843</v>
      </c>
      <c r="AE394" t="str">
        <f>"3452672673"</f>
        <v>3452672673</v>
      </c>
    </row>
    <row r="395" spans="1:31" x14ac:dyDescent="0.45">
      <c r="A395" t="str">
        <f>"ИОВЛЕВА МАРИЯ АЛЕКСАНДРОВНА"</f>
        <v>ИОВЛЕВА МАРИЯ АЛЕКСАНДРОВНА</v>
      </c>
      <c r="B395" t="str">
        <f>"1983-01-11"</f>
        <v>1983-01-11</v>
      </c>
      <c r="C395" t="str">
        <f>"74 05 565251"</f>
        <v>74 05 565251</v>
      </c>
      <c r="D395" t="str">
        <f>"4279011604846132"</f>
        <v>4279011604846132</v>
      </c>
      <c r="E395" t="str">
        <f t="shared" si="63"/>
        <v>2021-05-31</v>
      </c>
      <c r="F395" t="str">
        <f t="shared" si="71"/>
        <v>+</v>
      </c>
      <c r="G395" t="str">
        <f t="shared" si="71"/>
        <v>+</v>
      </c>
      <c r="H395" t="str">
        <f>"40817810816992014442"</f>
        <v>40817810816992014442</v>
      </c>
      <c r="I395" t="str">
        <f>"1790"</f>
        <v>1790</v>
      </c>
      <c r="J395" t="str">
        <f>"0043"</f>
        <v>0043</v>
      </c>
      <c r="K395" t="str">
        <f>"67000.00"</f>
        <v>67000.00</v>
      </c>
      <c r="L395" t="str">
        <f>"629405 ОБЛ ТЮМЕНСКАЯ АО ЯМАЛО-НЕНЕЦКИЙ Г ЛАБЫТНАНГИ   УЛ ХАНМЕЙСКОЕ ШОССЕ д. 1"</f>
        <v>629405 ОБЛ ТЮМЕНСКАЯ АО ЯМАЛО-НЕНЕЦКИЙ Г ЛАБЫТНАНГИ   УЛ ХАНМЕЙСКОЕ ШОССЕ д. 1</v>
      </c>
      <c r="M395" t="str">
        <f t="shared" si="70"/>
        <v>2019-08-24</v>
      </c>
      <c r="N395" t="str">
        <f>"ЗАПСИБ БЛАГОУСТРОЙТСВО"</f>
        <v>ЗАПСИБ БЛАГОУСТРОЙТСВО</v>
      </c>
      <c r="O395" t="str">
        <f>"309512"</f>
        <v>309512</v>
      </c>
      <c r="P395" t="str">
        <f>"ОБЛ БЕЛГОРОДСКАЯ"</f>
        <v>ОБЛ БЕЛГОРОДСКАЯ</v>
      </c>
      <c r="Q395" t="str">
        <f>""</f>
        <v/>
      </c>
      <c r="R395" t="str">
        <f>""</f>
        <v/>
      </c>
      <c r="S395" t="str">
        <f>"Г СТАРЫЙ ОСКОЛ"</f>
        <v>Г СТАРЫЙ ОСКОЛ</v>
      </c>
      <c r="T395" t="str">
        <f>"УЛ ЖУКОВА"</f>
        <v>УЛ ЖУКОВА</v>
      </c>
      <c r="U395" s="1" t="str">
        <f>"23А"</f>
        <v>23А</v>
      </c>
      <c r="V395" s="1" t="str">
        <f>""</f>
        <v/>
      </c>
      <c r="W395" s="1" t="str">
        <f>""</f>
        <v/>
      </c>
      <c r="X395" s="1" t="str">
        <f>""</f>
        <v/>
      </c>
      <c r="Y395" s="1" t="str">
        <f>"66"</f>
        <v>66</v>
      </c>
      <c r="Z395" t="str">
        <f>""</f>
        <v/>
      </c>
      <c r="AA395" t="str">
        <f>"9615617971"</f>
        <v>9615617971</v>
      </c>
      <c r="AB395" t="str">
        <f>"9821654810"</f>
        <v>9821654810</v>
      </c>
      <c r="AC395" t="str">
        <f>"3499254095"</f>
        <v>3499254095</v>
      </c>
      <c r="AD395" t="str">
        <f>"9821654810"</f>
        <v>9821654810</v>
      </c>
      <c r="AE395" t="str">
        <f>""</f>
        <v/>
      </c>
    </row>
    <row r="396" spans="1:31" x14ac:dyDescent="0.45">
      <c r="A396" t="str">
        <f>"БОЙВАЛЕНКО ТАТЬЯНА ВИКТОРОВНА"</f>
        <v>БОЙВАЛЕНКО ТАТЬЯНА ВИКТОРОВНА</v>
      </c>
      <c r="B396" t="str">
        <f>"1980-01-26"</f>
        <v>1980-01-26</v>
      </c>
      <c r="C396" t="str">
        <f>"74 04 490413"</f>
        <v>74 04 490413</v>
      </c>
      <c r="D396" t="str">
        <f>"4279016731063527"</f>
        <v>4279016731063527</v>
      </c>
      <c r="E396" t="str">
        <f t="shared" si="63"/>
        <v>2021-05-31</v>
      </c>
      <c r="F396" t="str">
        <f t="shared" si="71"/>
        <v>+</v>
      </c>
      <c r="G396" t="str">
        <f t="shared" si="71"/>
        <v>+</v>
      </c>
      <c r="H396" t="str">
        <f>"40817810916992011167"</f>
        <v>40817810916992011167</v>
      </c>
      <c r="I396" t="str">
        <f>"1790"</f>
        <v>1790</v>
      </c>
      <c r="J396" t="str">
        <f>"0039"</f>
        <v>0039</v>
      </c>
      <c r="K396" t="str">
        <f>"370000.00"</f>
        <v>370000.00</v>
      </c>
      <c r="L396" t="str">
        <f>"629000 ОБЛ ТЮМЕНСКАЯ   Г САЛЕХАРД   УЛ МАТРОСОВА д. 7"</f>
        <v>629000 ОБЛ ТЮМЕНСКАЯ   Г САЛЕХАРД   УЛ МАТРОСОВА д. 7</v>
      </c>
      <c r="M396" t="str">
        <f t="shared" si="70"/>
        <v>2019-08-24</v>
      </c>
      <c r="N396" t="str">
        <f>"УМВД РОССИИ ПО ЯНАО"</f>
        <v>УМВД РОССИИ ПО ЯНАО</v>
      </c>
      <c r="O396" t="str">
        <f>"629000"</f>
        <v>629000</v>
      </c>
      <c r="P396" t="str">
        <f t="shared" ref="P396:P409" si="72">"ОБЛ ТЮМЕНСКАЯ"</f>
        <v>ОБЛ ТЮМЕНСКАЯ</v>
      </c>
      <c r="Q396" t="str">
        <f>""</f>
        <v/>
      </c>
      <c r="R396" t="str">
        <f>"Г САЛЕХАРД"</f>
        <v>Г САЛЕХАРД</v>
      </c>
      <c r="S396" t="str">
        <f>""</f>
        <v/>
      </c>
      <c r="T396" t="str">
        <f>"УЛ СВЕРДЛОВА"</f>
        <v>УЛ СВЕРДЛОВА</v>
      </c>
      <c r="U396" s="1" t="str">
        <f>"47"</f>
        <v>47</v>
      </c>
      <c r="V396" s="1" t="str">
        <f>""</f>
        <v/>
      </c>
      <c r="W396" s="1" t="str">
        <f>"А"</f>
        <v>А</v>
      </c>
      <c r="X396" s="1" t="str">
        <f>""</f>
        <v/>
      </c>
      <c r="Y396" s="1" t="str">
        <f>"29"</f>
        <v>29</v>
      </c>
      <c r="Z396" t="str">
        <f>"3492276230"</f>
        <v>3492276230</v>
      </c>
      <c r="AA396" t="str">
        <f>"3492276256"</f>
        <v>3492276256</v>
      </c>
      <c r="AB396" t="str">
        <f>"9124313253"</f>
        <v>9124313253</v>
      </c>
      <c r="AC396" t="str">
        <f>"3492244984"</f>
        <v>3492244984</v>
      </c>
      <c r="AD396" t="str">
        <f>"9124313253"</f>
        <v>9124313253</v>
      </c>
      <c r="AE396" t="str">
        <f>""</f>
        <v/>
      </c>
    </row>
    <row r="397" spans="1:31" x14ac:dyDescent="0.45">
      <c r="A397" t="str">
        <f>"РЯЗАНЦЕВ АЛЕКСЕЙ ИГОРЕВИЧ"</f>
        <v>РЯЗАНЦЕВ АЛЕКСЕЙ ИГОРЕВИЧ</v>
      </c>
      <c r="B397" t="str">
        <f>"1995-06-28"</f>
        <v>1995-06-28</v>
      </c>
      <c r="C397" t="str">
        <f>"67 17 644426"</f>
        <v>67 17 644426</v>
      </c>
      <c r="D397" t="str">
        <f>"4279016711212771"</f>
        <v>4279016711212771</v>
      </c>
      <c r="E397" t="str">
        <f t="shared" si="63"/>
        <v>2021-05-31</v>
      </c>
      <c r="F397" t="str">
        <f t="shared" si="71"/>
        <v>+</v>
      </c>
      <c r="G397" t="str">
        <f t="shared" si="71"/>
        <v>+</v>
      </c>
      <c r="H397" t="str">
        <f>"40817810216992011294"</f>
        <v>40817810216992011294</v>
      </c>
      <c r="I397" t="str">
        <f>"5940"</f>
        <v>5940</v>
      </c>
      <c r="J397" t="str">
        <f>"0105"</f>
        <v>0105</v>
      </c>
      <c r="K397" t="str">
        <f>"50000.00"</f>
        <v>50000.00</v>
      </c>
      <c r="L397" t="str">
        <f>"628300 ОБЛ ТЮМЕНСКАЯ АО ХМАО-ЮГРА Г НЕФТЕЮГАНСК   УЛ ЖИЛАЯ стр. 20"</f>
        <v>628300 ОБЛ ТЮМЕНСКАЯ АО ХМАО-ЮГРА Г НЕФТЕЮГАНСК   УЛ ЖИЛАЯ стр. 20</v>
      </c>
      <c r="M397" t="str">
        <f t="shared" si="70"/>
        <v>2019-08-24</v>
      </c>
      <c r="N397" t="str">
        <f>"ООО ЮГАНСКНЕФТЕГАЗ"</f>
        <v>ООО ЮГАНСКНЕФТЕГАЗ</v>
      </c>
      <c r="O397" t="str">
        <f>"628300"</f>
        <v>628300</v>
      </c>
      <c r="P397" t="str">
        <f t="shared" si="72"/>
        <v>ОБЛ ТЮМЕНСКАЯ</v>
      </c>
      <c r="Q397" t="str">
        <f>"АО ХМАО-ЮГРА"</f>
        <v>АО ХМАО-ЮГРА</v>
      </c>
      <c r="R397" t="str">
        <f>"Г НЕФТЕЮГАНСК"</f>
        <v>Г НЕФТЕЮГАНСК</v>
      </c>
      <c r="S397" t="str">
        <f>"МКР 11А"</f>
        <v>МКР 11А</v>
      </c>
      <c r="T397" t="str">
        <f>"УЛ ЧЕХОВА"</f>
        <v>УЛ ЧЕХОВА</v>
      </c>
      <c r="U397" s="1" t="str">
        <f>"1"</f>
        <v>1</v>
      </c>
      <c r="V397" s="1" t="str">
        <f>""</f>
        <v/>
      </c>
      <c r="W397" s="1" t="str">
        <f>""</f>
        <v/>
      </c>
      <c r="X397" s="1" t="str">
        <f>""</f>
        <v/>
      </c>
      <c r="Y397" s="1" t="str">
        <f>""</f>
        <v/>
      </c>
      <c r="Z397" t="str">
        <f>""</f>
        <v/>
      </c>
      <c r="AA397" t="str">
        <f>"9828751849"</f>
        <v>9828751849</v>
      </c>
      <c r="AB397" t="str">
        <f>"9822138869"</f>
        <v>9822138869</v>
      </c>
      <c r="AC397" t="str">
        <f>"9828751849"</f>
        <v>9828751849</v>
      </c>
      <c r="AD397" t="str">
        <f>"9822138869"</f>
        <v>9822138869</v>
      </c>
      <c r="AE397" t="str">
        <f>""</f>
        <v/>
      </c>
    </row>
    <row r="398" spans="1:31" x14ac:dyDescent="0.45">
      <c r="A398" t="str">
        <f>"ИСАКОВА ИРИНА СЕРГЕЕВНА"</f>
        <v>ИСАКОВА ИРИНА СЕРГЕЕВНА</v>
      </c>
      <c r="B398" t="str">
        <f>"1980-09-10"</f>
        <v>1980-09-10</v>
      </c>
      <c r="C398" t="str">
        <f>"67 08 863357"</f>
        <v>67 08 863357</v>
      </c>
      <c r="D398" t="str">
        <f>"4279016745653255"</f>
        <v>4279016745653255</v>
      </c>
      <c r="E398" t="str">
        <f t="shared" si="63"/>
        <v>2021-05-31</v>
      </c>
      <c r="F398" t="str">
        <f t="shared" si="71"/>
        <v>+</v>
      </c>
      <c r="G398" t="str">
        <f t="shared" si="71"/>
        <v>+</v>
      </c>
      <c r="H398" t="str">
        <f>"40817810316992352727"</f>
        <v>40817810316992352727</v>
      </c>
      <c r="I398" t="str">
        <f>"5940"</f>
        <v>5940</v>
      </c>
      <c r="J398" t="str">
        <f>"0138"</f>
        <v>0138</v>
      </c>
      <c r="K398" t="str">
        <f>"195000.00"</f>
        <v>195000.00</v>
      </c>
      <c r="L398" t="str">
        <f>"628600 ОБЛ ТЮМЕНСКАЯ   Г НИЖНЕВАРТОВСК   УЛ ЧАПАЕВА д. 27"</f>
        <v>628600 ОБЛ ТЮМЕНСКАЯ   Г НИЖНЕВАРТОВСК   УЛ ЧАПАЕВА д. 27</v>
      </c>
      <c r="M398" t="str">
        <f t="shared" si="70"/>
        <v>2019-08-24</v>
      </c>
      <c r="N398" t="str">
        <f>"ООО Х5-ГИПЕР"</f>
        <v>ООО Х5-ГИПЕР</v>
      </c>
      <c r="O398" t="str">
        <f>"628600"</f>
        <v>628600</v>
      </c>
      <c r="P398" t="str">
        <f t="shared" si="72"/>
        <v>ОБЛ ТЮМЕНСКАЯ</v>
      </c>
      <c r="Q398" t="str">
        <f>""</f>
        <v/>
      </c>
      <c r="R398" t="str">
        <f>"Г НИЖНЕВАРТОВСК"</f>
        <v>Г НИЖНЕВАРТОВСК</v>
      </c>
      <c r="S398" t="str">
        <f>""</f>
        <v/>
      </c>
      <c r="T398" t="str">
        <f>"УЛ СЕВЕРНАЯ"</f>
        <v>УЛ СЕВЕРНАЯ</v>
      </c>
      <c r="U398" s="1" t="str">
        <f>"3А"</f>
        <v>3А</v>
      </c>
      <c r="V398" s="1" t="str">
        <f>""</f>
        <v/>
      </c>
      <c r="W398" s="1" t="str">
        <f>""</f>
        <v/>
      </c>
      <c r="X398" s="1" t="str">
        <f>""</f>
        <v/>
      </c>
      <c r="Y398" s="1" t="str">
        <f>"108"</f>
        <v>108</v>
      </c>
      <c r="Z398" t="str">
        <f>""</f>
        <v/>
      </c>
      <c r="AA398" t="str">
        <f>"9519689851"</f>
        <v>9519689851</v>
      </c>
      <c r="AB398" t="str">
        <f>"9195359400"</f>
        <v>9195359400</v>
      </c>
      <c r="AC398" t="str">
        <f>"9519689851"</f>
        <v>9519689851</v>
      </c>
      <c r="AD398" t="str">
        <f>"9195359400"</f>
        <v>9195359400</v>
      </c>
      <c r="AE398" t="str">
        <f>""</f>
        <v/>
      </c>
    </row>
    <row r="399" spans="1:31" x14ac:dyDescent="0.45">
      <c r="A399" t="str">
        <f>"МЕЖНОВ АРТЕМ АЛЕКСЕЕВИЧ"</f>
        <v>МЕЖНОВ АРТЕМ АЛЕКСЕЕВИЧ</v>
      </c>
      <c r="B399" t="str">
        <f>"1990-06-29"</f>
        <v>1990-06-29</v>
      </c>
      <c r="C399" t="str">
        <f>"67 10 033357"</f>
        <v>67 10 033357</v>
      </c>
      <c r="D399" t="str">
        <f>"4279016746501982"</f>
        <v>4279016746501982</v>
      </c>
      <c r="E399" t="str">
        <f t="shared" si="63"/>
        <v>2021-05-31</v>
      </c>
      <c r="F399" t="str">
        <f t="shared" si="71"/>
        <v>+</v>
      </c>
      <c r="G399" t="str">
        <f t="shared" si="71"/>
        <v>+</v>
      </c>
      <c r="H399" t="str">
        <f>"40817810416992011829"</f>
        <v>40817810416992011829</v>
      </c>
      <c r="I399" t="str">
        <f>"5940"</f>
        <v>5940</v>
      </c>
      <c r="J399" t="str">
        <f>"0135"</f>
        <v>0135</v>
      </c>
      <c r="K399" t="str">
        <f>"112000.00"</f>
        <v>112000.00</v>
      </c>
      <c r="L399" t="str">
        <f>"628600 ОБЛ ТЮМЕНСКАЯ   Г НИЖНЕВАРТОВСК   УЛ ИНДУСТРИАЛЬНАЯ д. 12"</f>
        <v>628600 ОБЛ ТЮМЕНСКАЯ   Г НИЖНЕВАРТОВСК   УЛ ИНДУСТРИАЛЬНАЯ д. 12</v>
      </c>
      <c r="M399" t="str">
        <f t="shared" si="70"/>
        <v>2019-08-24</v>
      </c>
      <c r="N399" t="str">
        <f>"УГОЧС"</f>
        <v>УГОЧС</v>
      </c>
      <c r="O399" t="str">
        <f>"628600"</f>
        <v>628600</v>
      </c>
      <c r="P399" t="str">
        <f t="shared" si="72"/>
        <v>ОБЛ ТЮМЕНСКАЯ</v>
      </c>
      <c r="Q399" t="str">
        <f>""</f>
        <v/>
      </c>
      <c r="R399" t="str">
        <f>"Г НИЖНЕВАРТОВСК"</f>
        <v>Г НИЖНЕВАРТОВСК</v>
      </c>
      <c r="S399" t="str">
        <f>""</f>
        <v/>
      </c>
      <c r="T399" t="str">
        <f>"УЛ МАРШАЛА ЖУКОВА"</f>
        <v>УЛ МАРШАЛА ЖУКОВА</v>
      </c>
      <c r="U399" s="1" t="str">
        <f>"22"</f>
        <v>22</v>
      </c>
      <c r="V399" s="1" t="str">
        <f>""</f>
        <v/>
      </c>
      <c r="W399" s="1" t="str">
        <f>""</f>
        <v/>
      </c>
      <c r="X399" s="1" t="str">
        <f>""</f>
        <v/>
      </c>
      <c r="Y399" s="1" t="str">
        <f>"7"</f>
        <v>7</v>
      </c>
      <c r="Z399" t="str">
        <f>"3466670957"</f>
        <v>3466670957</v>
      </c>
      <c r="AA399" t="str">
        <f>"9125332396"</f>
        <v>9125332396</v>
      </c>
      <c r="AB399" t="str">
        <f>"9125332396"</f>
        <v>9125332396</v>
      </c>
      <c r="AC399" t="str">
        <f>"9125332396"</f>
        <v>9125332396</v>
      </c>
      <c r="AD399" t="str">
        <f>"9125332396"</f>
        <v>9125332396</v>
      </c>
      <c r="AE399" t="str">
        <f>"3466670957"</f>
        <v>3466670957</v>
      </c>
    </row>
    <row r="400" spans="1:31" x14ac:dyDescent="0.45">
      <c r="A400" t="str">
        <f>"ГАВРИЛЕНКО ЮЛИЯ СЕРГЕЕВНА"</f>
        <v>ГАВРИЛЕНКО ЮЛИЯ СЕРГЕЕВНА</v>
      </c>
      <c r="B400" t="str">
        <f>"1983-04-09"</f>
        <v>1983-04-09</v>
      </c>
      <c r="C400" t="str">
        <f>"67 04 378900"</f>
        <v>67 04 378900</v>
      </c>
      <c r="D400" t="str">
        <f>"4279016744071970"</f>
        <v>4279016744071970</v>
      </c>
      <c r="E400" t="str">
        <f t="shared" si="63"/>
        <v>2021-05-31</v>
      </c>
      <c r="F400" t="str">
        <f>"Y"</f>
        <v>Y</v>
      </c>
      <c r="G400" t="str">
        <f>"+"</f>
        <v>+</v>
      </c>
      <c r="H400" t="str">
        <f>"40817810116992011983"</f>
        <v>40817810116992011983</v>
      </c>
      <c r="I400" t="str">
        <f>"1791"</f>
        <v>1791</v>
      </c>
      <c r="J400" t="str">
        <f>"0081"</f>
        <v>0081</v>
      </c>
      <c r="K400" t="str">
        <f>"260000.00"</f>
        <v>260000.00</v>
      </c>
      <c r="L400" t="str">
        <f>"628285 ОБЛ ТЮМЕНСКАЯ АО ХМАО Г УРАЙ   МКР 2 д. 60"</f>
        <v>628285 ОБЛ ТЮМЕНСКАЯ АО ХМАО Г УРАЙ   МКР 2 д. 60</v>
      </c>
      <c r="M400" t="str">
        <f t="shared" si="70"/>
        <v>2019-08-24</v>
      </c>
      <c r="N400" t="str">
        <f>"АДМИНИСТРАЦИЯ"</f>
        <v>АДМИНИСТРАЦИЯ</v>
      </c>
      <c r="O400" t="str">
        <f>"628285"</f>
        <v>628285</v>
      </c>
      <c r="P400" t="str">
        <f t="shared" si="72"/>
        <v>ОБЛ ТЮМЕНСКАЯ</v>
      </c>
      <c r="Q400" t="str">
        <f>"АО ХМАО"</f>
        <v>АО ХМАО</v>
      </c>
      <c r="R400" t="str">
        <f>"Г УРАЙ"</f>
        <v>Г УРАЙ</v>
      </c>
      <c r="S400" t="str">
        <f>""</f>
        <v/>
      </c>
      <c r="T400" t="str">
        <f>"МКР 2"</f>
        <v>МКР 2</v>
      </c>
      <c r="U400" s="1" t="str">
        <f>"79"</f>
        <v>79</v>
      </c>
      <c r="V400" s="1" t="str">
        <f>""</f>
        <v/>
      </c>
      <c r="W400" s="1" t="str">
        <f>""</f>
        <v/>
      </c>
      <c r="X400" s="1" t="str">
        <f>""</f>
        <v/>
      </c>
      <c r="Y400" s="1" t="str">
        <f>"29"</f>
        <v>29</v>
      </c>
      <c r="Z400" t="str">
        <f>"3467623318"</f>
        <v>3467623318</v>
      </c>
      <c r="AA400" t="str">
        <f>"9044827388"</f>
        <v>9044827388</v>
      </c>
      <c r="AB400" t="str">
        <f>"9044827388"</f>
        <v>9044827388</v>
      </c>
      <c r="AC400" t="str">
        <f>"3467624909"</f>
        <v>3467624909</v>
      </c>
      <c r="AD400" t="str">
        <f>"9044827388"</f>
        <v>9044827388</v>
      </c>
      <c r="AE400" t="str">
        <f>"3467623318"</f>
        <v>3467623318</v>
      </c>
    </row>
    <row r="401" spans="1:31" x14ac:dyDescent="0.45">
      <c r="A401" t="str">
        <f>"СМИРНОВ ОЛЕГ ВЛАДИМИРОВИЧ"</f>
        <v>СМИРНОВ ОЛЕГ ВЛАДИМИРОВИЧ</v>
      </c>
      <c r="B401" t="str">
        <f>"1971-09-12"</f>
        <v>1971-09-12</v>
      </c>
      <c r="C401" t="str">
        <f>"74 16 929404"</f>
        <v>74 16 929404</v>
      </c>
      <c r="D401" t="str">
        <f>"4279016731294379"</f>
        <v>4279016731294379</v>
      </c>
      <c r="E401" t="str">
        <f t="shared" si="63"/>
        <v>2021-05-31</v>
      </c>
      <c r="F401" t="str">
        <f>"+"</f>
        <v>+</v>
      </c>
      <c r="G401" t="str">
        <f>"+"</f>
        <v>+</v>
      </c>
      <c r="H401" t="str">
        <f>"40817810916992353883"</f>
        <v>40817810916992353883</v>
      </c>
      <c r="I401" t="str">
        <f>"8369"</f>
        <v>8369</v>
      </c>
      <c r="J401" t="str">
        <f>"0016"</f>
        <v>0016</v>
      </c>
      <c r="K401" t="str">
        <f>"200000.00"</f>
        <v>200000.00</v>
      </c>
      <c r="L401" t="str">
        <f>"629350 ОБЛ ТЮМЕНСКАЯ Р-Н ПУРОВСКИЙ Г ТАРКО-САЛЕ   УЛ АЙВАСЕДА д. 10"</f>
        <v>629350 ОБЛ ТЮМЕНСКАЯ Р-Н ПУРОВСКИЙ Г ТАРКО-САЛЕ   УЛ АЙВАСЕДА д. 10</v>
      </c>
      <c r="M401" t="str">
        <f t="shared" si="70"/>
        <v>2019-08-24</v>
      </c>
      <c r="N401" t="str">
        <f>"ООО АВТОДОМ"</f>
        <v>ООО АВТОДОМ</v>
      </c>
      <c r="O401" t="str">
        <f>"629350"</f>
        <v>629350</v>
      </c>
      <c r="P401" t="str">
        <f t="shared" si="72"/>
        <v>ОБЛ ТЮМЕНСКАЯ</v>
      </c>
      <c r="Q401" t="str">
        <f>"Р-Н ПУРОВСКИЙ"</f>
        <v>Р-Н ПУРОВСКИЙ</v>
      </c>
      <c r="R401" t="str">
        <f>"Г ТАРКО-САЛЕ"</f>
        <v>Г ТАРКО-САЛЕ</v>
      </c>
      <c r="S401" t="str">
        <f>""</f>
        <v/>
      </c>
      <c r="T401" t="str">
        <f>"УЛ МИРА"</f>
        <v>УЛ МИРА</v>
      </c>
      <c r="U401" s="1" t="str">
        <f>"8"</f>
        <v>8</v>
      </c>
      <c r="V401" s="1" t="str">
        <f>""</f>
        <v/>
      </c>
      <c r="W401" s="1" t="str">
        <f>""</f>
        <v/>
      </c>
      <c r="X401" s="1" t="str">
        <f>""</f>
        <v/>
      </c>
      <c r="Y401" s="1" t="str">
        <f>"14"</f>
        <v>14</v>
      </c>
      <c r="Z401" t="str">
        <f>"9222839895"</f>
        <v>9222839895</v>
      </c>
      <c r="AA401" t="str">
        <f>"9222839895"</f>
        <v>9222839895</v>
      </c>
      <c r="AB401" t="str">
        <f>"9822609512"</f>
        <v>9822609512</v>
      </c>
      <c r="AC401" t="str">
        <f>"9222839895"</f>
        <v>9222839895</v>
      </c>
      <c r="AD401" t="str">
        <f>"9822609512"</f>
        <v>9822609512</v>
      </c>
      <c r="AE401" t="str">
        <f>"9222839895"</f>
        <v>9222839895</v>
      </c>
    </row>
    <row r="402" spans="1:31" x14ac:dyDescent="0.45">
      <c r="A402" t="str">
        <f>"ИВАЩЕНКО АННА АЛЕКСАНДРОВНА"</f>
        <v>ИВАЩЕНКО АННА АЛЕКСАНДРОВНА</v>
      </c>
      <c r="B402" t="str">
        <f>"1988-05-13"</f>
        <v>1988-05-13</v>
      </c>
      <c r="C402" t="str">
        <f>"67 17 688776"</f>
        <v>67 17 688776</v>
      </c>
      <c r="D402" t="str">
        <f>"4279016741641973"</f>
        <v>4279016741641973</v>
      </c>
      <c r="E402" t="str">
        <f t="shared" si="63"/>
        <v>2021-05-31</v>
      </c>
      <c r="F402" t="str">
        <f>"+"</f>
        <v>+</v>
      </c>
      <c r="G402" t="str">
        <f>"W"</f>
        <v>W</v>
      </c>
      <c r="H402" t="str">
        <f>"40817810216992353842"</f>
        <v>40817810216992353842</v>
      </c>
      <c r="I402" t="str">
        <f>"5940"</f>
        <v>5940</v>
      </c>
      <c r="J402" t="str">
        <f>"0016"</f>
        <v>0016</v>
      </c>
      <c r="K402" t="str">
        <f>"105000.00"</f>
        <v>105000.00</v>
      </c>
      <c r="L402" t="str">
        <f>"628433 ОБЛ ТЮМЕНСКАЯ Р-Н СУРГУТСКИЙ   П СОЛНЕЧНЫЙ УЛ ЮНОСТИ д. 1"</f>
        <v>628433 ОБЛ ТЮМЕНСКАЯ Р-Н СУРГУТСКИЙ   П СОЛНЕЧНЫЙ УЛ ЮНОСТИ д. 1</v>
      </c>
      <c r="M402" t="str">
        <f t="shared" si="70"/>
        <v>2019-08-24</v>
      </c>
      <c r="N402" t="str">
        <f>"МУП ЖКХ СОЛНЕЧНЫЙ"</f>
        <v>МУП ЖКХ СОЛНЕЧНЫЙ</v>
      </c>
      <c r="O402" t="str">
        <f>"628433"</f>
        <v>628433</v>
      </c>
      <c r="P402" t="str">
        <f t="shared" si="72"/>
        <v>ОБЛ ТЮМЕНСКАЯ</v>
      </c>
      <c r="Q402" t="str">
        <f>"Р-Н СУРГУТСКИЙ"</f>
        <v>Р-Н СУРГУТСКИЙ</v>
      </c>
      <c r="R402" t="str">
        <f>""</f>
        <v/>
      </c>
      <c r="S402" t="str">
        <f>"П СОЛНЕЧНЫЙ"</f>
        <v>П СОЛНЕЧНЫЙ</v>
      </c>
      <c r="T402" t="str">
        <f>"УЛ КОСМОНАВТОВ"</f>
        <v>УЛ КОСМОНАВТОВ</v>
      </c>
      <c r="U402" s="1" t="str">
        <f>"9"</f>
        <v>9</v>
      </c>
      <c r="V402" s="1" t="str">
        <f>""</f>
        <v/>
      </c>
      <c r="W402" s="1" t="str">
        <f>""</f>
        <v/>
      </c>
      <c r="X402" s="1" t="str">
        <f>""</f>
        <v/>
      </c>
      <c r="Y402" s="1" t="str">
        <f>"31"</f>
        <v>31</v>
      </c>
      <c r="Z402" t="str">
        <f>"9963276788"</f>
        <v>9963276788</v>
      </c>
      <c r="AA402" t="str">
        <f>"9963276788"</f>
        <v>9963276788</v>
      </c>
      <c r="AB402" t="str">
        <f>"9227695508"</f>
        <v>9227695508</v>
      </c>
      <c r="AC402" t="str">
        <f>"9963276788"</f>
        <v>9963276788</v>
      </c>
      <c r="AD402" t="str">
        <f>"9227695508"</f>
        <v>9227695508</v>
      </c>
      <c r="AE402" t="str">
        <f>"9963276788"</f>
        <v>9963276788</v>
      </c>
    </row>
    <row r="403" spans="1:31" x14ac:dyDescent="0.45">
      <c r="A403" t="str">
        <f>"ТРОФИМОВА НИНА ЗИФАРОВНА"</f>
        <v>ТРОФИМОВА НИНА ЗИФАРОВНА</v>
      </c>
      <c r="B403" t="str">
        <f>"1966-01-24"</f>
        <v>1966-01-24</v>
      </c>
      <c r="C403" t="str">
        <f>"71 10 836899"</f>
        <v>71 10 836899</v>
      </c>
      <c r="D403" t="str">
        <f>"4279016718327929"</f>
        <v>4279016718327929</v>
      </c>
      <c r="E403" t="str">
        <f t="shared" si="63"/>
        <v>2021-05-31</v>
      </c>
      <c r="F403" t="str">
        <f>"Q"</f>
        <v>Q</v>
      </c>
      <c r="G403" t="str">
        <f>"Q"</f>
        <v>Q</v>
      </c>
      <c r="H403" t="str">
        <f>"40817810067720689679"</f>
        <v>40817810067720689679</v>
      </c>
      <c r="I403" t="str">
        <f>"0029"</f>
        <v>0029</v>
      </c>
      <c r="J403" t="str">
        <f>"0083"</f>
        <v>0083</v>
      </c>
      <c r="K403" t="str">
        <f>"0.00"</f>
        <v>0.00</v>
      </c>
      <c r="L403" t="str">
        <f>"625000 ОБЛ ТЮМЕНСКАЯ   Г ТЮМЕНЬ   УЛ Р. ЛЮКСЕНБУРГА д. 12 корп. 7"</f>
        <v>625000 ОБЛ ТЮМЕНСКАЯ   Г ТЮМЕНЬ   УЛ Р. ЛЮКСЕНБУРГА д. 12 корп. 7</v>
      </c>
      <c r="M403" t="str">
        <f t="shared" si="70"/>
        <v>2019-08-24</v>
      </c>
      <c r="N403" t="s">
        <v>40</v>
      </c>
      <c r="O403" t="str">
        <f>"625000"</f>
        <v>625000</v>
      </c>
      <c r="P403" t="str">
        <f t="shared" si="72"/>
        <v>ОБЛ ТЮМЕНСКАЯ</v>
      </c>
      <c r="Q403" t="str">
        <f>""</f>
        <v/>
      </c>
      <c r="R403" t="str">
        <f>"Г ТЮМЕНЬ"</f>
        <v>Г ТЮМЕНЬ</v>
      </c>
      <c r="S403" t="str">
        <f>""</f>
        <v/>
      </c>
      <c r="T403" t="str">
        <f>"УЛ ПЕРМЯКОВА"</f>
        <v>УЛ ПЕРМЯКОВА</v>
      </c>
      <c r="U403" s="1" t="str">
        <f>"14"</f>
        <v>14</v>
      </c>
      <c r="V403" s="1" t="str">
        <f>""</f>
        <v/>
      </c>
      <c r="W403" s="1" t="str">
        <f>""</f>
        <v/>
      </c>
      <c r="X403" s="1" t="str">
        <f>""</f>
        <v/>
      </c>
      <c r="Y403" s="1" t="str">
        <f>"58"</f>
        <v>58</v>
      </c>
      <c r="Z403" t="str">
        <f>""</f>
        <v/>
      </c>
      <c r="AA403" t="str">
        <f>"9120793408"</f>
        <v>9120793408</v>
      </c>
      <c r="AB403" t="str">
        <f>"9129250901"</f>
        <v>9129250901</v>
      </c>
      <c r="AC403" t="str">
        <f>"9120793408"</f>
        <v>9120793408</v>
      </c>
      <c r="AD403" t="str">
        <f>"9129250901"</f>
        <v>9129250901</v>
      </c>
      <c r="AE403" t="str">
        <f>""</f>
        <v/>
      </c>
    </row>
    <row r="404" spans="1:31" x14ac:dyDescent="0.45">
      <c r="A404" t="str">
        <f>"ДЖУРАЕВ ХАЛИМ АБДУЖАЛИЛОВИЧ"</f>
        <v>ДЖУРАЕВ ХАЛИМ АБДУЖАЛИЛОВИЧ</v>
      </c>
      <c r="B404" t="str">
        <f>"1978-03-23"</f>
        <v>1978-03-23</v>
      </c>
      <c r="C404" t="str">
        <f>"74 16 924888"</f>
        <v>74 16 924888</v>
      </c>
      <c r="D404" t="str">
        <f>"4279016734833108"</f>
        <v>4279016734833108</v>
      </c>
      <c r="E404" t="str">
        <f t="shared" si="63"/>
        <v>2021-05-31</v>
      </c>
      <c r="F404" t="str">
        <f t="shared" ref="F404:G418" si="73">"+"</f>
        <v>+</v>
      </c>
      <c r="G404" t="str">
        <f t="shared" si="73"/>
        <v>+</v>
      </c>
      <c r="H404" t="str">
        <f>"40817810016992014491"</f>
        <v>40817810016992014491</v>
      </c>
      <c r="I404" t="str">
        <f>"8369"</f>
        <v>8369</v>
      </c>
      <c r="J404" t="str">
        <f>"0022"</f>
        <v>0022</v>
      </c>
      <c r="K404" t="str">
        <f>"300000.00"</f>
        <v>300000.00</v>
      </c>
      <c r="L404" t="str">
        <f>"629800 ОБЛ ТЮМЕНСКАЯ   Г НОЯБРЬСК   УЛ ШЕВЧЕНКО д. 131 кв. 24"</f>
        <v>629800 ОБЛ ТЮМЕНСКАЯ   Г НОЯБРЬСК   УЛ ШЕВЧЕНКО д. 131 кв. 24</v>
      </c>
      <c r="M404" t="str">
        <f t="shared" si="70"/>
        <v>2019-08-24</v>
      </c>
      <c r="N404" t="str">
        <f>"ООО ЮПИТЕР89"</f>
        <v>ООО ЮПИТЕР89</v>
      </c>
      <c r="O404" t="str">
        <f>"629800"</f>
        <v>629800</v>
      </c>
      <c r="P404" t="str">
        <f t="shared" si="72"/>
        <v>ОБЛ ТЮМЕНСКАЯ</v>
      </c>
      <c r="Q404" t="str">
        <f>""</f>
        <v/>
      </c>
      <c r="R404" t="str">
        <f>"Г НОЯБРЬСК"</f>
        <v>Г НОЯБРЬСК</v>
      </c>
      <c r="S404" t="str">
        <f>""</f>
        <v/>
      </c>
      <c r="T404" t="str">
        <f>"УЛ ШЕВЧЕНКО"</f>
        <v>УЛ ШЕВЧЕНКО</v>
      </c>
      <c r="U404" s="1" t="str">
        <f>"131"</f>
        <v>131</v>
      </c>
      <c r="V404" s="1" t="str">
        <f>""</f>
        <v/>
      </c>
      <c r="W404" s="1" t="str">
        <f>""</f>
        <v/>
      </c>
      <c r="X404" s="1" t="str">
        <f>""</f>
        <v/>
      </c>
      <c r="Y404" s="1" t="str">
        <f>"24"</f>
        <v>24</v>
      </c>
      <c r="Z404" t="str">
        <f>"3496411040"</f>
        <v>3496411040</v>
      </c>
      <c r="AA404" t="str">
        <f>"9615597777"</f>
        <v>9615597777</v>
      </c>
      <c r="AB404" t="str">
        <f>"9220914444"</f>
        <v>9220914444</v>
      </c>
      <c r="AC404" t="str">
        <f>"9615597777"</f>
        <v>9615597777</v>
      </c>
      <c r="AD404" t="str">
        <f>"9220914444"</f>
        <v>9220914444</v>
      </c>
      <c r="AE404" t="str">
        <f>"3496411040"</f>
        <v>3496411040</v>
      </c>
    </row>
    <row r="405" spans="1:31" x14ac:dyDescent="0.45">
      <c r="A405" t="str">
        <f>"КУЛЬМАМЕТЬЕВ ДИНАР САТЫХОВИЧ"</f>
        <v>КУЛЬМАМЕТЬЕВ ДИНАР САТЫХОВИЧ</v>
      </c>
      <c r="B405" t="str">
        <f>"1980-09-28"</f>
        <v>1980-09-28</v>
      </c>
      <c r="C405" t="str">
        <f>"71 01 416177"</f>
        <v>71 01 416177</v>
      </c>
      <c r="D405" t="str">
        <f>"4279016738875758"</f>
        <v>4279016738875758</v>
      </c>
      <c r="E405" t="str">
        <f t="shared" si="63"/>
        <v>2021-05-31</v>
      </c>
      <c r="F405" t="str">
        <f t="shared" si="73"/>
        <v>+</v>
      </c>
      <c r="G405" t="str">
        <f t="shared" si="73"/>
        <v>+</v>
      </c>
      <c r="H405" t="str">
        <f>"40817810216992014563"</f>
        <v>40817810216992014563</v>
      </c>
      <c r="I405" t="str">
        <f>"8647"</f>
        <v>8647</v>
      </c>
      <c r="J405" t="str">
        <f>"0288"</f>
        <v>0288</v>
      </c>
      <c r="K405" t="str">
        <f>"38000.00"</f>
        <v>38000.00</v>
      </c>
      <c r="L405" t="str">
        <f>"626150 ОБЛ ТЮМЕНСКАЯ   Г ТОБОЛЬСК   УЛ РАДИЩЕВА д. 21"</f>
        <v>626150 ОБЛ ТЮМЕНСКАЯ   Г ТОБОЛЬСК   УЛ РАДИЩЕВА д. 21</v>
      </c>
      <c r="M405" t="str">
        <f t="shared" si="70"/>
        <v>2019-08-24</v>
      </c>
      <c r="N405" t="str">
        <f>"ИП КУНОШЕНКО"</f>
        <v>ИП КУНОШЕНКО</v>
      </c>
      <c r="O405" t="str">
        <f>"626150"</f>
        <v>626150</v>
      </c>
      <c r="P405" t="str">
        <f t="shared" si="72"/>
        <v>ОБЛ ТЮМЕНСКАЯ</v>
      </c>
      <c r="Q405" t="str">
        <f>""</f>
        <v/>
      </c>
      <c r="R405" t="str">
        <f>""</f>
        <v/>
      </c>
      <c r="S405" t="str">
        <f>"Д САБАНАКИ"</f>
        <v>Д САБАНАКИ</v>
      </c>
      <c r="T405" t="str">
        <f>"УЛ КОЛХОЗНАЯ"</f>
        <v>УЛ КОЛХОЗНАЯ</v>
      </c>
      <c r="U405" s="1" t="str">
        <f>"1"</f>
        <v>1</v>
      </c>
      <c r="V405" s="1" t="str">
        <f>""</f>
        <v/>
      </c>
      <c r="W405" s="1" t="str">
        <f>""</f>
        <v/>
      </c>
      <c r="X405" s="1" t="str">
        <f>""</f>
        <v/>
      </c>
      <c r="Y405" s="1" t="str">
        <f>""</f>
        <v/>
      </c>
      <c r="Z405" t="str">
        <f>""</f>
        <v/>
      </c>
      <c r="AA405" t="str">
        <f>"9129214968"</f>
        <v>9129214968</v>
      </c>
      <c r="AB405" t="str">
        <f>"9199275471"</f>
        <v>9199275471</v>
      </c>
      <c r="AC405" t="str">
        <f>"9129214968"</f>
        <v>9129214968</v>
      </c>
      <c r="AD405" t="str">
        <f>"9199275471"</f>
        <v>9199275471</v>
      </c>
      <c r="AE405" t="str">
        <f>""</f>
        <v/>
      </c>
    </row>
    <row r="406" spans="1:31" x14ac:dyDescent="0.45">
      <c r="A406" t="str">
        <f>"МИНИНА ГАЛИНА АЛЕКСАНДРОВНА"</f>
        <v>МИНИНА ГАЛИНА АЛЕКСАНДРОВНА</v>
      </c>
      <c r="B406" t="str">
        <f>"1979-12-29"</f>
        <v>1979-12-29</v>
      </c>
      <c r="C406" t="str">
        <f>"67 04 181560"</f>
        <v>67 04 181560</v>
      </c>
      <c r="D406" t="str">
        <f>"4279016739473645"</f>
        <v>4279016739473645</v>
      </c>
      <c r="E406" t="str">
        <f t="shared" si="63"/>
        <v>2021-05-31</v>
      </c>
      <c r="F406" t="str">
        <f t="shared" si="73"/>
        <v>+</v>
      </c>
      <c r="G406" t="str">
        <f t="shared" si="73"/>
        <v>+</v>
      </c>
      <c r="H406" t="str">
        <f>"40817810116992352642"</f>
        <v>40817810116992352642</v>
      </c>
      <c r="I406" t="str">
        <f>"5940"</f>
        <v>5940</v>
      </c>
      <c r="J406" t="str">
        <f>"0099"</f>
        <v>0099</v>
      </c>
      <c r="K406" t="str">
        <f>"295000.00"</f>
        <v>295000.00</v>
      </c>
      <c r="L406" t="str">
        <f>"628300 ОБЛ ТЮМЕНСКАЯ АО ХАНТЫ-МАНСИЙСКИЙ Г ХАНТЫ-МАНСИЙСКИЙ   УЛ СТУДЕНЧЕСКАЯ д. 15А"</f>
        <v>628300 ОБЛ ТЮМЕНСКАЯ АО ХАНТЫ-МАНСИЙСКИЙ Г ХАНТЫ-МАНСИЙСКИЙ   УЛ СТУДЕНЧЕСКАЯ д. 15А</v>
      </c>
      <c r="M406" t="str">
        <f t="shared" si="70"/>
        <v>2019-08-24</v>
      </c>
      <c r="N406" t="str">
        <f>"АУ ХМАО ЦПВС"</f>
        <v>АУ ХМАО ЦПВС</v>
      </c>
      <c r="O406" t="str">
        <f>"628383"</f>
        <v>628383</v>
      </c>
      <c r="P406" t="str">
        <f t="shared" si="72"/>
        <v>ОБЛ ТЮМЕНСКАЯ</v>
      </c>
      <c r="Q406" t="str">
        <f>"АО ХАНТЫ-МАНСИЙСКИЙ"</f>
        <v>АО ХАНТЫ-МАНСИЙСКИЙ</v>
      </c>
      <c r="R406" t="str">
        <f>"Г ПЫТЬ-ЯХ"</f>
        <v>Г ПЫТЬ-ЯХ</v>
      </c>
      <c r="S406" t="str">
        <f>""</f>
        <v/>
      </c>
      <c r="T406" t="str">
        <f>"УЛ ЗЕЛЕНАЯ"</f>
        <v>УЛ ЗЕЛЕНАЯ</v>
      </c>
      <c r="U406" s="1" t="str">
        <f>"7"</f>
        <v>7</v>
      </c>
      <c r="V406" s="1" t="str">
        <f>""</f>
        <v/>
      </c>
      <c r="W406" s="1" t="str">
        <f>""</f>
        <v/>
      </c>
      <c r="X406" s="1" t="str">
        <f>""</f>
        <v/>
      </c>
      <c r="Y406" s="1" t="str">
        <f>""</f>
        <v/>
      </c>
      <c r="Z406" t="str">
        <f>"3463460977"</f>
        <v>3463460977</v>
      </c>
      <c r="AA406" t="str">
        <f>"9224162983"</f>
        <v>9224162983</v>
      </c>
      <c r="AB406" t="str">
        <f>"9129034812"</f>
        <v>9129034812</v>
      </c>
      <c r="AC406" t="str">
        <f>"9224162983"</f>
        <v>9224162983</v>
      </c>
      <c r="AD406" t="str">
        <f>"9129034812"</f>
        <v>9129034812</v>
      </c>
      <c r="AE406" t="str">
        <f>""</f>
        <v/>
      </c>
    </row>
    <row r="407" spans="1:31" x14ac:dyDescent="0.45">
      <c r="A407" t="str">
        <f>"ФИЛИМОНОВ СЕРГЕЙ АЛЕКСАНДРОВИЧ"</f>
        <v>ФИЛИМОНОВ СЕРГЕЙ АЛЕКСАНДРОВИЧ</v>
      </c>
      <c r="B407" t="str">
        <f>"1963-01-17"</f>
        <v>1963-01-17</v>
      </c>
      <c r="C407" t="str">
        <f>"71 08 618001"</f>
        <v>71 08 618001</v>
      </c>
      <c r="D407" t="str">
        <f>"4279016724340197"</f>
        <v>4279016724340197</v>
      </c>
      <c r="E407" t="str">
        <f t="shared" si="63"/>
        <v>2021-05-31</v>
      </c>
      <c r="F407" t="str">
        <f t="shared" si="73"/>
        <v>+</v>
      </c>
      <c r="G407" t="str">
        <f t="shared" si="73"/>
        <v>+</v>
      </c>
      <c r="H407" t="str">
        <f>"40817810416992352876"</f>
        <v>40817810416992352876</v>
      </c>
      <c r="I407" t="str">
        <f>"8647"</f>
        <v>8647</v>
      </c>
      <c r="J407" t="str">
        <f>"0181"</f>
        <v>0181</v>
      </c>
      <c r="K407" t="str">
        <f>"130000.00"</f>
        <v>130000.00</v>
      </c>
      <c r="L407" t="str">
        <f>"625000 ОБЛ ТЮМЕНСКАЯ   Г ТЮМЕНЬ   УЛ БАКИНСКИХ КОМИССАРОВ д. 7"</f>
        <v>625000 ОБЛ ТЮМЕНСКАЯ   Г ТЮМЕНЬ   УЛ БАКИНСКИХ КОМИССАРОВ д. 7</v>
      </c>
      <c r="M407" t="str">
        <f t="shared" si="70"/>
        <v>2019-08-24</v>
      </c>
      <c r="N407" t="str">
        <f>"ООО ТОРГОВЫЙ ЦЕНТР МАЛЬВИНКА"</f>
        <v>ООО ТОРГОВЫЙ ЦЕНТР МАЛЬВИНКА</v>
      </c>
      <c r="O407" t="str">
        <f>"625000"</f>
        <v>625000</v>
      </c>
      <c r="P407" t="str">
        <f t="shared" si="72"/>
        <v>ОБЛ ТЮМЕНСКАЯ</v>
      </c>
      <c r="Q407" t="str">
        <f>""</f>
        <v/>
      </c>
      <c r="R407" t="str">
        <f>"Г ТЮМЕНЬ"</f>
        <v>Г ТЮМЕНЬ</v>
      </c>
      <c r="S407" t="str">
        <f>""</f>
        <v/>
      </c>
      <c r="T407" t="str">
        <f>"ТРАКТ МОСКОВСКИЙ"</f>
        <v>ТРАКТ МОСКОВСКИЙ</v>
      </c>
      <c r="U407" s="1" t="str">
        <f>"123"</f>
        <v>123</v>
      </c>
      <c r="V407" s="1" t="str">
        <f>""</f>
        <v/>
      </c>
      <c r="W407" s="1" t="str">
        <f>""</f>
        <v/>
      </c>
      <c r="X407" s="1" t="str">
        <f>""</f>
        <v/>
      </c>
      <c r="Y407" s="1" t="str">
        <f>"120"</f>
        <v>120</v>
      </c>
      <c r="Z407" t="str">
        <f>"3452437280"</f>
        <v>3452437280</v>
      </c>
      <c r="AA407" t="str">
        <f>"9504855521"</f>
        <v>9504855521</v>
      </c>
      <c r="AB407" t="str">
        <f>"9044969086"</f>
        <v>9044969086</v>
      </c>
      <c r="AC407" t="str">
        <f>"9504855521"</f>
        <v>9504855521</v>
      </c>
      <c r="AD407" t="str">
        <f>"9044969086"</f>
        <v>9044969086</v>
      </c>
      <c r="AE407" t="str">
        <f>""</f>
        <v/>
      </c>
    </row>
    <row r="408" spans="1:31" x14ac:dyDescent="0.45">
      <c r="A408" t="str">
        <f>"КОЖАЕВ ЕВГЕНИЙ АЛФИЕВИЧ"</f>
        <v>КОЖАЕВ ЕВГЕНИЙ АЛФИЕВИЧ</v>
      </c>
      <c r="B408" t="str">
        <f>"1963-08-23"</f>
        <v>1963-08-23</v>
      </c>
      <c r="C408" t="str">
        <f>"67 08 815326"</f>
        <v>67 08 815326</v>
      </c>
      <c r="D408" t="str">
        <f>"4279016720008475"</f>
        <v>4279016720008475</v>
      </c>
      <c r="E408" t="str">
        <f t="shared" si="63"/>
        <v>2021-05-31</v>
      </c>
      <c r="F408" t="str">
        <f t="shared" si="73"/>
        <v>+</v>
      </c>
      <c r="G408" t="str">
        <f t="shared" si="73"/>
        <v>+</v>
      </c>
      <c r="H408" t="str">
        <f>"40817810316992352772"</f>
        <v>40817810316992352772</v>
      </c>
      <c r="I408" t="str">
        <f>"5940"</f>
        <v>5940</v>
      </c>
      <c r="J408" t="str">
        <f>"0094"</f>
        <v>0094</v>
      </c>
      <c r="K408" t="str">
        <f>"120000.00"</f>
        <v>120000.00</v>
      </c>
      <c r="L408" t="str">
        <f>"628327 ОБЛ ТЮМЕНСКАЯ Р-Н НЕФТЕЮГАНСКИЙ   П САЛЫМ УЛ МАЙСКАЯ д. 21 кв. 2"</f>
        <v>628327 ОБЛ ТЮМЕНСКАЯ Р-Н НЕФТЕЮГАНСКИЙ   П САЛЫМ УЛ МАЙСКАЯ д. 21 кв. 2</v>
      </c>
      <c r="M408" t="str">
        <f t="shared" si="70"/>
        <v>2019-08-24</v>
      </c>
      <c r="N408" t="str">
        <f>"НЕТ"</f>
        <v>НЕТ</v>
      </c>
      <c r="O408" t="str">
        <f>"628327"</f>
        <v>628327</v>
      </c>
      <c r="P408" t="str">
        <f t="shared" si="72"/>
        <v>ОБЛ ТЮМЕНСКАЯ</v>
      </c>
      <c r="Q408" t="str">
        <f>"Р-Н НЕФТЕЮГАНСКИЙ"</f>
        <v>Р-Н НЕФТЕЮГАНСКИЙ</v>
      </c>
      <c r="R408" t="str">
        <f>""</f>
        <v/>
      </c>
      <c r="S408" t="str">
        <f>"П САЛЫМ"</f>
        <v>П САЛЫМ</v>
      </c>
      <c r="T408" t="str">
        <f>"УЛ МАЙСКАЯ"</f>
        <v>УЛ МАЙСКАЯ</v>
      </c>
      <c r="U408" s="1" t="str">
        <f>"21"</f>
        <v>21</v>
      </c>
      <c r="V408" s="1" t="str">
        <f>""</f>
        <v/>
      </c>
      <c r="W408" s="1" t="str">
        <f>""</f>
        <v/>
      </c>
      <c r="X408" s="1" t="str">
        <f>""</f>
        <v/>
      </c>
      <c r="Y408" s="1" t="str">
        <f>"2"</f>
        <v>2</v>
      </c>
      <c r="Z408" t="str">
        <f>"9226591415"</f>
        <v>9226591415</v>
      </c>
      <c r="AA408" t="str">
        <f>"9226591415"</f>
        <v>9226591415</v>
      </c>
      <c r="AB408" t="str">
        <f>"9226591415"</f>
        <v>9226591415</v>
      </c>
      <c r="AC408" t="str">
        <f>"9226591415"</f>
        <v>9226591415</v>
      </c>
      <c r="AD408" t="str">
        <f>"9226591415"</f>
        <v>9226591415</v>
      </c>
      <c r="AE408" t="str">
        <f>""</f>
        <v/>
      </c>
    </row>
    <row r="409" spans="1:31" x14ac:dyDescent="0.45">
      <c r="A409" t="str">
        <f>"ЯРУЛЛИНА ЛАРИСА АЛЕКСЕЕВНА"</f>
        <v>ЯРУЛЛИНА ЛАРИСА АЛЕКСЕЕВНА</v>
      </c>
      <c r="B409" t="str">
        <f>"1973-06-10"</f>
        <v>1973-06-10</v>
      </c>
      <c r="C409" t="str">
        <f>"67 18 739026"</f>
        <v>67 18 739026</v>
      </c>
      <c r="D409" t="str">
        <f>"4276016716850834"</f>
        <v>4276016716850834</v>
      </c>
      <c r="E409" t="str">
        <f t="shared" si="63"/>
        <v>2021-05-31</v>
      </c>
      <c r="F409" t="str">
        <f t="shared" si="73"/>
        <v>+</v>
      </c>
      <c r="G409" t="str">
        <f t="shared" si="73"/>
        <v>+</v>
      </c>
      <c r="H409" t="str">
        <f>"40817810216992401736"</f>
        <v>40817810216992401736</v>
      </c>
      <c r="I409" t="str">
        <f>"5940"</f>
        <v>5940</v>
      </c>
      <c r="J409" t="str">
        <f>"0118"</f>
        <v>0118</v>
      </c>
      <c r="K409" t="str">
        <f>"180000.00"</f>
        <v>180000.00</v>
      </c>
      <c r="L409" t="str">
        <f>"628600 ОБЛ ТЮМЕНСКАЯ   Г НИЖНЕВАРТОВСК   УЛ ИНДУСТРИАЛЬНАЯ д. 44А стр. 1"</f>
        <v>628600 ОБЛ ТЮМЕНСКАЯ   Г НИЖНЕВАРТОВСК   УЛ ИНДУСТРИАЛЬНАЯ д. 44А стр. 1</v>
      </c>
      <c r="M409" t="str">
        <f t="shared" si="70"/>
        <v>2019-08-24</v>
      </c>
      <c r="N409" t="str">
        <f>"ИП ИВАНОВА ЕН"</f>
        <v>ИП ИВАНОВА ЕН</v>
      </c>
      <c r="O409" t="str">
        <f>"628600"</f>
        <v>628600</v>
      </c>
      <c r="P409" t="str">
        <f t="shared" si="72"/>
        <v>ОБЛ ТЮМЕНСКАЯ</v>
      </c>
      <c r="Q409" t="str">
        <f>""</f>
        <v/>
      </c>
      <c r="R409" t="str">
        <f>"Г НИЖНЕВАРТОВСК"</f>
        <v>Г НИЖНЕВАРТОВСК</v>
      </c>
      <c r="S409" t="str">
        <f>""</f>
        <v/>
      </c>
      <c r="T409" t="str">
        <f>"ПР-КТ ПОБЕДЫ"</f>
        <v>ПР-КТ ПОБЕДЫ</v>
      </c>
      <c r="U409" s="1" t="str">
        <f>"5А"</f>
        <v>5А</v>
      </c>
      <c r="V409" s="1" t="str">
        <f>""</f>
        <v/>
      </c>
      <c r="W409" s="1" t="str">
        <f>""</f>
        <v/>
      </c>
      <c r="X409" s="1" t="str">
        <f>""</f>
        <v/>
      </c>
      <c r="Y409" s="1" t="str">
        <f>"130"</f>
        <v>130</v>
      </c>
      <c r="Z409" t="str">
        <f>"3466613084"</f>
        <v>3466613084</v>
      </c>
      <c r="AA409" t="str">
        <f>"9048822275"</f>
        <v>9048822275</v>
      </c>
      <c r="AB409" t="str">
        <f>"9048822275"</f>
        <v>9048822275</v>
      </c>
      <c r="AC409" t="str">
        <f>"9048822275"</f>
        <v>9048822275</v>
      </c>
      <c r="AD409" t="str">
        <f>"9048822275"</f>
        <v>9048822275</v>
      </c>
      <c r="AE409" t="str">
        <f>"9048822275"</f>
        <v>9048822275</v>
      </c>
    </row>
    <row r="410" spans="1:31" x14ac:dyDescent="0.45">
      <c r="A410" t="str">
        <f>"ЛЕБЕДЕВА НАТАЛЬЯ АНАТОЛЬЕВНА"</f>
        <v>ЛЕБЕДЕВА НАТАЛЬЯ АНАТОЛЬЕВНА</v>
      </c>
      <c r="B410" t="str">
        <f>"1975-12-20"</f>
        <v>1975-12-20</v>
      </c>
      <c r="C410" t="str">
        <f>"67 09 922381"</f>
        <v>67 09 922381</v>
      </c>
      <c r="D410" t="str">
        <f>"4279016718966148"</f>
        <v>4279016718966148</v>
      </c>
      <c r="E410" t="str">
        <f t="shared" si="63"/>
        <v>2021-05-31</v>
      </c>
      <c r="F410" t="str">
        <f t="shared" si="73"/>
        <v>+</v>
      </c>
      <c r="G410" t="str">
        <f t="shared" si="73"/>
        <v>+</v>
      </c>
      <c r="H410" t="str">
        <f>"40817810216992014589"</f>
        <v>40817810216992014589</v>
      </c>
      <c r="I410" t="str">
        <f>"1791"</f>
        <v>1791</v>
      </c>
      <c r="J410" t="str">
        <f>"0054"</f>
        <v>0054</v>
      </c>
      <c r="K410" t="str">
        <f>"5000.00"</f>
        <v>5000.00</v>
      </c>
      <c r="L410" t="str">
        <f>"628000 ОБЛ ТЮМЕНСКАЯ   Г ХАНТЫ-МАНСИЙСК   УЛ ШЕВЧЕНКО д. 8"</f>
        <v>628000 ОБЛ ТЮМЕНСКАЯ   Г ХАНТЫ-МАНСИЙСК   УЛ ШЕВЧЕНКО д. 8</v>
      </c>
      <c r="M410" t="str">
        <f t="shared" si="70"/>
        <v>2019-08-24</v>
      </c>
      <c r="N410" t="str">
        <f>"ИП КОСИНЦЕВ"</f>
        <v>ИП КОСИНЦЕВ</v>
      </c>
      <c r="O410" t="str">
        <f>"641000"</f>
        <v>641000</v>
      </c>
      <c r="P410" t="str">
        <f>"ОБЛ КУРГАНСКАЯ"</f>
        <v>ОБЛ КУРГАНСКАЯ</v>
      </c>
      <c r="Q410" t="str">
        <f>""</f>
        <v/>
      </c>
      <c r="R410" t="str">
        <f>"Г КУРГАН"</f>
        <v>Г КУРГАН</v>
      </c>
      <c r="S410" t="str">
        <f>""</f>
        <v/>
      </c>
      <c r="T410" t="str">
        <f>"УЛ К. МАРКСА"</f>
        <v>УЛ К. МАРКСА</v>
      </c>
      <c r="U410" s="1" t="str">
        <f>"139"</f>
        <v>139</v>
      </c>
      <c r="V410" s="1" t="str">
        <f>""</f>
        <v/>
      </c>
      <c r="W410" s="1" t="str">
        <f>""</f>
        <v/>
      </c>
      <c r="X410" s="1" t="str">
        <f>""</f>
        <v/>
      </c>
      <c r="Y410" s="1" t="str">
        <f>"136"</f>
        <v>136</v>
      </c>
      <c r="Z410" t="str">
        <f>"3467930533"</f>
        <v>3467930533</v>
      </c>
      <c r="AA410" t="str">
        <f>"9821965882"</f>
        <v>9821965882</v>
      </c>
      <c r="AB410" t="str">
        <f>"9825593930"</f>
        <v>9825593930</v>
      </c>
      <c r="AC410" t="str">
        <f>"9821965882"</f>
        <v>9821965882</v>
      </c>
      <c r="AD410" t="str">
        <f>"9825593930"</f>
        <v>9825593930</v>
      </c>
      <c r="AE410" t="str">
        <f>""</f>
        <v/>
      </c>
    </row>
    <row r="411" spans="1:31" x14ac:dyDescent="0.45">
      <c r="A411" t="str">
        <f>"ГАБДУЛЛИН РИНАТ МАРАТОВИЧ"</f>
        <v>ГАБДУЛЛИН РИНАТ МАРАТОВИЧ</v>
      </c>
      <c r="B411" t="str">
        <f>"1986-10-15"</f>
        <v>1986-10-15</v>
      </c>
      <c r="C411" t="str">
        <f>"67 06 707993"</f>
        <v>67 06 707993</v>
      </c>
      <c r="D411" t="str">
        <f>"4279016704251067"</f>
        <v>4279016704251067</v>
      </c>
      <c r="E411" t="str">
        <f t="shared" si="63"/>
        <v>2021-05-31</v>
      </c>
      <c r="F411" t="str">
        <f t="shared" si="73"/>
        <v>+</v>
      </c>
      <c r="G411" t="str">
        <f t="shared" si="73"/>
        <v>+</v>
      </c>
      <c r="H411" t="str">
        <f>"40817810216992014712"</f>
        <v>40817810216992014712</v>
      </c>
      <c r="I411" t="str">
        <f>"5940"</f>
        <v>5940</v>
      </c>
      <c r="J411" t="str">
        <f>"0117"</f>
        <v>0117</v>
      </c>
      <c r="K411" t="str">
        <f>"13000.00"</f>
        <v>13000.00</v>
      </c>
      <c r="L411" t="str">
        <f>"628600 ОБЛ ТЮМЕНСКАЯ   Г НИЖНЕВАРТОВСК   УЛ ИНДУСТРИАЛЬНАЯ д. 29 стр. 18"</f>
        <v>628600 ОБЛ ТЮМЕНСКАЯ   Г НИЖНЕВАРТОВСК   УЛ ИНДУСТРИАЛЬНАЯ д. 29 стр. 18</v>
      </c>
      <c r="M411" t="str">
        <f t="shared" si="70"/>
        <v>2019-08-24</v>
      </c>
      <c r="N411" t="str">
        <f>"ЭНЕРГОСНАБЖЕНИЕ"</f>
        <v>ЭНЕРГОСНАБЖЕНИЕ</v>
      </c>
      <c r="O411" t="str">
        <f>"628600"</f>
        <v>628600</v>
      </c>
      <c r="P411" t="str">
        <f>"ОБЛ ТЮМЕНСКАЯ"</f>
        <v>ОБЛ ТЮМЕНСКАЯ</v>
      </c>
      <c r="Q411" t="str">
        <f>""</f>
        <v/>
      </c>
      <c r="R411" t="str">
        <f>"Г НИЖНЕВАРТОВСК"</f>
        <v>Г НИЖНЕВАРТОВСК</v>
      </c>
      <c r="S411" t="str">
        <f>""</f>
        <v/>
      </c>
      <c r="T411" t="str">
        <f>"УЛ 60 ЛЕТ ОКТЯБРЯ"</f>
        <v>УЛ 60 ЛЕТ ОКТЯБРЯ</v>
      </c>
      <c r="U411" s="1" t="str">
        <f>"84"</f>
        <v>84</v>
      </c>
      <c r="V411" s="1" t="str">
        <f>""</f>
        <v/>
      </c>
      <c r="W411" s="1" t="str">
        <f>""</f>
        <v/>
      </c>
      <c r="X411" s="1" t="str">
        <f>""</f>
        <v/>
      </c>
      <c r="Y411" s="1" t="str">
        <f>"124"</f>
        <v>124</v>
      </c>
      <c r="Z411" t="str">
        <f>"3466670778"</f>
        <v>3466670778</v>
      </c>
      <c r="AA411" t="str">
        <f>"9227929009"</f>
        <v>9227929009</v>
      </c>
      <c r="AB411" t="str">
        <f>"9227929009"</f>
        <v>9227929009</v>
      </c>
      <c r="AC411" t="str">
        <f>"9227929009"</f>
        <v>9227929009</v>
      </c>
      <c r="AD411" t="str">
        <f>"9227929009"</f>
        <v>9227929009</v>
      </c>
      <c r="AE411" t="str">
        <f>"3466670778"</f>
        <v>3466670778</v>
      </c>
    </row>
    <row r="412" spans="1:31" x14ac:dyDescent="0.45">
      <c r="A412" t="str">
        <f>"ГАМЗА АЛИНА МАРАТОВНА"</f>
        <v>ГАМЗА АЛИНА МАРАТОВНА</v>
      </c>
      <c r="B412" t="str">
        <f>"1976-07-16"</f>
        <v>1976-07-16</v>
      </c>
      <c r="C412" t="str">
        <f>"71 03 908162"</f>
        <v>71 03 908162</v>
      </c>
      <c r="D412" t="str">
        <f>"4279016712264318"</f>
        <v>4279016712264318</v>
      </c>
      <c r="E412" t="str">
        <f t="shared" si="63"/>
        <v>2021-05-31</v>
      </c>
      <c r="F412" t="str">
        <f t="shared" si="73"/>
        <v>+</v>
      </c>
      <c r="G412" t="str">
        <f>"W"</f>
        <v>W</v>
      </c>
      <c r="H412" t="str">
        <f>"40817810216992353046"</f>
        <v>40817810216992353046</v>
      </c>
      <c r="I412" t="str">
        <f>"8647"</f>
        <v>8647</v>
      </c>
      <c r="J412" t="str">
        <f>"0087"</f>
        <v>0087</v>
      </c>
      <c r="K412" t="str">
        <f>"85000.00"</f>
        <v>85000.00</v>
      </c>
      <c r="L412" t="str">
        <f>"625000 ОБЛ ТЮМЕНСКАЯ   Г ТЮМЕНЬ   УЛ СТАНЦИОННАЯ д. 22"</f>
        <v>625000 ОБЛ ТЮМЕНСКАЯ   Г ТЮМЕНЬ   УЛ СТАНЦИОННАЯ д. 22</v>
      </c>
      <c r="M412" t="str">
        <f t="shared" si="70"/>
        <v>2019-08-24</v>
      </c>
      <c r="N412" t="str">
        <f>"МАУО КОНТАТК"</f>
        <v>МАУО КОНТАТК</v>
      </c>
      <c r="O412" t="str">
        <f>"625000"</f>
        <v>625000</v>
      </c>
      <c r="P412" t="str">
        <f>"ОБЛ ТЮМЕНСКАЯ"</f>
        <v>ОБЛ ТЮМЕНСКАЯ</v>
      </c>
      <c r="Q412" t="str">
        <f>""</f>
        <v/>
      </c>
      <c r="R412" t="str">
        <f>"Г ТЮМЕНЬ"</f>
        <v>Г ТЮМЕНЬ</v>
      </c>
      <c r="S412" t="str">
        <f>""</f>
        <v/>
      </c>
      <c r="T412" t="str">
        <f>"УЛ ТОЛСТОГО"</f>
        <v>УЛ ТОЛСТОГО</v>
      </c>
      <c r="U412" s="1" t="str">
        <f>"1"</f>
        <v>1</v>
      </c>
      <c r="V412" s="1" t="str">
        <f>""</f>
        <v/>
      </c>
      <c r="W412" s="1" t="str">
        <f>""</f>
        <v/>
      </c>
      <c r="X412" s="1" t="str">
        <f>""</f>
        <v/>
      </c>
      <c r="Y412" s="1" t="str">
        <f>""</f>
        <v/>
      </c>
      <c r="Z412" t="str">
        <f>"3452262089"</f>
        <v>3452262089</v>
      </c>
      <c r="AA412" t="str">
        <f>"9292646714"</f>
        <v>9292646714</v>
      </c>
      <c r="AB412" t="str">
        <f>"9222695107"</f>
        <v>9222695107</v>
      </c>
      <c r="AC412" t="str">
        <f>"9292646714"</f>
        <v>9292646714</v>
      </c>
      <c r="AD412" t="str">
        <f>"9222695107"</f>
        <v>9222695107</v>
      </c>
      <c r="AE412" t="str">
        <f>""</f>
        <v/>
      </c>
    </row>
    <row r="413" spans="1:31" x14ac:dyDescent="0.45">
      <c r="A413" t="str">
        <f>"КОВЕЛИН ВИКТОР ПЕТРОВИЧ"</f>
        <v>КОВЕЛИН ВИКТОР ПЕТРОВИЧ</v>
      </c>
      <c r="B413" t="str">
        <f>"1955-08-17"</f>
        <v>1955-08-17</v>
      </c>
      <c r="C413" t="str">
        <f>"37 03 676321"</f>
        <v>37 03 676321</v>
      </c>
      <c r="D413" t="str">
        <f>"4854630396238837"</f>
        <v>4854630396238837</v>
      </c>
      <c r="E413" t="str">
        <f>"2020-11-30"</f>
        <v>2020-11-30</v>
      </c>
      <c r="F413" t="str">
        <f t="shared" si="73"/>
        <v>+</v>
      </c>
      <c r="G413" t="str">
        <f t="shared" si="73"/>
        <v>+</v>
      </c>
      <c r="H413" t="str">
        <f>"40817810616991427353"</f>
        <v>40817810616991427353</v>
      </c>
      <c r="I413" t="str">
        <f>"8599"</f>
        <v>8599</v>
      </c>
      <c r="J413" t="str">
        <f>"0237"</f>
        <v>0237</v>
      </c>
      <c r="K413" t="str">
        <f>"40000.00"</f>
        <v>40000.00</v>
      </c>
      <c r="L413" t="str">
        <f>"641920 ОБЛ КУРГАНСКАЯ Р-Н КАРГАПОЛЬСКИЙ   РП КАРГАПОЛЬЕ УЛ ГАГАРИНА д. 2Е"</f>
        <v>641920 ОБЛ КУРГАНСКАЯ Р-Н КАРГАПОЛЬСКИЙ   РП КАРГАПОЛЬЕ УЛ ГАГАРИНА д. 2Е</v>
      </c>
      <c r="M413" t="str">
        <f t="shared" si="70"/>
        <v>2019-08-24</v>
      </c>
      <c r="N413" t="str">
        <f>"ПФР КАРГАПОЛЬЕ"</f>
        <v>ПФР КАРГАПОЛЬЕ</v>
      </c>
      <c r="O413" t="str">
        <f>"641901"</f>
        <v>641901</v>
      </c>
      <c r="P413" t="str">
        <f>"ОБЛ КУРГАНСКАЯ"</f>
        <v>ОБЛ КУРГАНСКАЯ</v>
      </c>
      <c r="Q413" t="str">
        <f>"Р-Н КАРГАПОЛЬСКИЙ"</f>
        <v>Р-Н КАРГАПОЛЬСКИЙ</v>
      </c>
      <c r="R413" t="str">
        <f>""</f>
        <v/>
      </c>
      <c r="S413" t="str">
        <f>"П МАЙСКИЙ"</f>
        <v>П МАЙСКИЙ</v>
      </c>
      <c r="T413" t="str">
        <f>"УЛ ЛЕНИНА"</f>
        <v>УЛ ЛЕНИНА</v>
      </c>
      <c r="U413" s="1" t="str">
        <f>"12"</f>
        <v>12</v>
      </c>
      <c r="V413" s="1" t="str">
        <f>""</f>
        <v/>
      </c>
      <c r="W413" s="1" t="str">
        <f>""</f>
        <v/>
      </c>
      <c r="X413" s="1" t="str">
        <f>""</f>
        <v/>
      </c>
      <c r="Y413" s="1" t="str">
        <f>"7"</f>
        <v>7</v>
      </c>
      <c r="Z413" t="str">
        <f>""</f>
        <v/>
      </c>
      <c r="AA413" t="str">
        <f>"9195605522"</f>
        <v>9195605522</v>
      </c>
      <c r="AB413" t="str">
        <f>"9195605522"</f>
        <v>9195605522</v>
      </c>
      <c r="AC413" t="str">
        <f>"9292299912"</f>
        <v>9292299912</v>
      </c>
      <c r="AD413" t="str">
        <f>"9195605522"</f>
        <v>9195605522</v>
      </c>
      <c r="AE413" t="str">
        <f>""</f>
        <v/>
      </c>
    </row>
    <row r="414" spans="1:31" x14ac:dyDescent="0.45">
      <c r="A414" t="str">
        <f>"МАЛАХОВА АННА АЛЕКСАНДРОВНА"</f>
        <v>МАЛАХОВА АННА АЛЕКСАНДРОВНА</v>
      </c>
      <c r="B414" t="str">
        <f>"1982-09-16"</f>
        <v>1982-09-16</v>
      </c>
      <c r="C414" t="str">
        <f>"36 02 853660"</f>
        <v>36 02 853660</v>
      </c>
      <c r="D414" t="str">
        <f>"4279016746459702"</f>
        <v>4279016746459702</v>
      </c>
      <c r="E414" t="str">
        <f>"2021-05-31"</f>
        <v>2021-05-31</v>
      </c>
      <c r="F414" t="str">
        <f t="shared" si="73"/>
        <v>+</v>
      </c>
      <c r="G414" t="str">
        <f t="shared" si="73"/>
        <v>+</v>
      </c>
      <c r="H414" t="str">
        <f>"40817810516992401960"</f>
        <v>40817810516992401960</v>
      </c>
      <c r="I414" t="str">
        <f>"1791"</f>
        <v>1791</v>
      </c>
      <c r="J414" t="str">
        <f>"0003"</f>
        <v>0003</v>
      </c>
      <c r="K414" t="str">
        <f>"165000.00"</f>
        <v>165000.00</v>
      </c>
      <c r="L414" t="str">
        <f>"628000 ОБЛ ТЮМЕНСКАЯ   Г ХАНТЫ-МАНСИЙСК   УЛ РОЗНИНА д. 75"</f>
        <v>628000 ОБЛ ТЮМЕНСКАЯ   Г ХАНТЫ-МАНСИЙСК   УЛ РОЗНИНА д. 75</v>
      </c>
      <c r="M414" t="str">
        <f t="shared" si="70"/>
        <v>2019-08-24</v>
      </c>
      <c r="N414" t="str">
        <f>"СТАМОТОЛОГИЯ ОКРУЖНАЯ"</f>
        <v>СТАМОТОЛОГИЯ ОКРУЖНАЯ</v>
      </c>
      <c r="O414" t="str">
        <f>"628000"</f>
        <v>628000</v>
      </c>
      <c r="P414" t="str">
        <f>"ОБЛ ТЮМЕНСКАЯ"</f>
        <v>ОБЛ ТЮМЕНСКАЯ</v>
      </c>
      <c r="Q414" t="str">
        <f>""</f>
        <v/>
      </c>
      <c r="R414" t="str">
        <f>"Г ХАНТЫ-МАНСИЙСК"</f>
        <v>Г ХАНТЫ-МАНСИЙСК</v>
      </c>
      <c r="S414" t="str">
        <f>""</f>
        <v/>
      </c>
      <c r="T414" t="str">
        <f>"УЛ ЯМСКАЯ"</f>
        <v>УЛ ЯМСКАЯ</v>
      </c>
      <c r="U414" s="1" t="str">
        <f>"12"</f>
        <v>12</v>
      </c>
      <c r="V414" s="1" t="str">
        <f>""</f>
        <v/>
      </c>
      <c r="W414" s="1" t="str">
        <f>""</f>
        <v/>
      </c>
      <c r="X414" s="1" t="str">
        <f>""</f>
        <v/>
      </c>
      <c r="Y414" s="1" t="str">
        <f>"227"</f>
        <v>227</v>
      </c>
      <c r="Z414" t="str">
        <f>""</f>
        <v/>
      </c>
      <c r="AA414" t="str">
        <f>"9527228855"</f>
        <v>9527228855</v>
      </c>
      <c r="AB414" t="str">
        <f>"9088830323"</f>
        <v>9088830323</v>
      </c>
      <c r="AC414" t="str">
        <f>"9527228855"</f>
        <v>9527228855</v>
      </c>
      <c r="AD414" t="str">
        <f>"9088830323"</f>
        <v>9088830323</v>
      </c>
      <c r="AE414" t="str">
        <f>""</f>
        <v/>
      </c>
    </row>
    <row r="415" spans="1:31" x14ac:dyDescent="0.45">
      <c r="A415" t="str">
        <f>"РАФИКОВ МАСГУТ ШАВКАТОВИЧ"</f>
        <v>РАФИКОВ МАСГУТ ШАВКАТОВИЧ</v>
      </c>
      <c r="B415" t="str">
        <f>"1963-03-20"</f>
        <v>1963-03-20</v>
      </c>
      <c r="C415" t="str">
        <f>"80 07 330369"</f>
        <v>80 07 330369</v>
      </c>
      <c r="D415" t="str">
        <f>"4854630376943844"</f>
        <v>4854630376943844</v>
      </c>
      <c r="E415" t="str">
        <f>"2021-04-30"</f>
        <v>2021-04-30</v>
      </c>
      <c r="F415" t="str">
        <f t="shared" si="73"/>
        <v>+</v>
      </c>
      <c r="G415" t="str">
        <f t="shared" si="73"/>
        <v>+</v>
      </c>
      <c r="H415" t="str">
        <f>"40817810916991427354"</f>
        <v>40817810916991427354</v>
      </c>
      <c r="I415" t="str">
        <f>"8598"</f>
        <v>8598</v>
      </c>
      <c r="J415" t="str">
        <f>"0490"</f>
        <v>0490</v>
      </c>
      <c r="K415" t="str">
        <f>"10000.00"</f>
        <v>10000.00</v>
      </c>
      <c r="L415" t="str">
        <f>"450000 РЕСП БАШКОРТОСТАН Р-Н МИЯКИНСКИЙ   С КИРГИЗ-МИЯКИ УЛ ЛЕНИНА д. 23"</f>
        <v>450000 РЕСП БАШКОРТОСТАН Р-Н МИЯКИНСКИЙ   С КИРГИЗ-МИЯКИ УЛ ЛЕНИНА д. 23</v>
      </c>
      <c r="M415" t="str">
        <f t="shared" si="70"/>
        <v>2019-08-24</v>
      </c>
      <c r="N415" t="str">
        <f>"ПФР"</f>
        <v>ПФР</v>
      </c>
      <c r="O415" t="str">
        <f>"450000"</f>
        <v>450000</v>
      </c>
      <c r="P415" t="str">
        <f>"РЕСП БАШКОРТОСТАН"</f>
        <v>РЕСП БАШКОРТОСТАН</v>
      </c>
      <c r="Q415" t="str">
        <f>"Р-Н МИЯКИНСКИЙ"</f>
        <v>Р-Н МИЯКИНСКИЙ</v>
      </c>
      <c r="R415" t="str">
        <f>""</f>
        <v/>
      </c>
      <c r="S415" t="str">
        <f>"С КАНБЕКОВО"</f>
        <v>С КАНБЕКОВО</v>
      </c>
      <c r="T415" t="str">
        <f>"УЛ КРАСНОАРМЕЙСКАЯ"</f>
        <v>УЛ КРАСНОАРМЕЙСКАЯ</v>
      </c>
      <c r="U415" s="1" t="str">
        <f>"38"</f>
        <v>38</v>
      </c>
      <c r="V415" s="1" t="str">
        <f>""</f>
        <v/>
      </c>
      <c r="W415" s="1" t="str">
        <f>""</f>
        <v/>
      </c>
      <c r="X415" s="1" t="str">
        <f>""</f>
        <v/>
      </c>
      <c r="Y415" s="1" t="str">
        <f>""</f>
        <v/>
      </c>
      <c r="Z415" t="str">
        <f>""</f>
        <v/>
      </c>
      <c r="AA415" t="str">
        <f>"3478824537"</f>
        <v>3478824537</v>
      </c>
      <c r="AB415" t="str">
        <f>"9273316477"</f>
        <v>9273316477</v>
      </c>
      <c r="AC415" t="str">
        <f>"3478824537"</f>
        <v>3478824537</v>
      </c>
      <c r="AD415" t="str">
        <f>"9273316477"</f>
        <v>9273316477</v>
      </c>
      <c r="AE415" t="str">
        <f>""</f>
        <v/>
      </c>
    </row>
    <row r="416" spans="1:31" x14ac:dyDescent="0.45">
      <c r="A416" t="str">
        <f>"НИЗАМОВА ДИЛАРА РИНАТОВНА"</f>
        <v>НИЗАМОВА ДИЛАРА РИНАТОВНА</v>
      </c>
      <c r="B416" t="str">
        <f>"1978-01-03"</f>
        <v>1978-01-03</v>
      </c>
      <c r="C416" t="str">
        <f>"80 03 912154"</f>
        <v>80 03 912154</v>
      </c>
      <c r="D416" t="str">
        <f>"4854630198527270"</f>
        <v>4854630198527270</v>
      </c>
      <c r="E416" t="str">
        <f>"2022-04-30"</f>
        <v>2022-04-30</v>
      </c>
      <c r="F416" t="str">
        <f t="shared" si="73"/>
        <v>+</v>
      </c>
      <c r="G416" t="str">
        <f t="shared" si="73"/>
        <v>+</v>
      </c>
      <c r="H416" t="str">
        <f>"40817810616991427858"</f>
        <v>40817810616991427858</v>
      </c>
      <c r="I416" t="str">
        <f>"8598"</f>
        <v>8598</v>
      </c>
      <c r="J416" t="str">
        <f>"0194"</f>
        <v>0194</v>
      </c>
      <c r="K416" t="str">
        <f>"48000.00"</f>
        <v>48000.00</v>
      </c>
      <c r="L416" t="str">
        <f>"450000 РЕСП БАШКОРТОСТАН   Г УФА   Б-Р ДУВАНСКИЙ д. 21 корп. 1 кв. 80"</f>
        <v>450000 РЕСП БАШКОРТОСТАН   Г УФА   Б-Р ДУВАНСКИЙ д. 21 корп. 1 кв. 80</v>
      </c>
      <c r="M416" t="str">
        <f t="shared" si="70"/>
        <v>2019-08-24</v>
      </c>
      <c r="N416" t="str">
        <f>"ООО ПРОФИ КЛИНИК"</f>
        <v>ООО ПРОФИ КЛИНИК</v>
      </c>
      <c r="O416" t="str">
        <f>"450000"</f>
        <v>450000</v>
      </c>
      <c r="P416" t="str">
        <f>"РЕСП БАШКОРТОСТАН"</f>
        <v>РЕСП БАШКОРТОСТАН</v>
      </c>
      <c r="Q416" t="str">
        <f>""</f>
        <v/>
      </c>
      <c r="R416" t="str">
        <f>"Г УФА"</f>
        <v>Г УФА</v>
      </c>
      <c r="S416" t="str">
        <f>""</f>
        <v/>
      </c>
      <c r="T416" t="str">
        <f>"Б-Р ДУВАНСКИЙ"</f>
        <v>Б-Р ДУВАНСКИЙ</v>
      </c>
      <c r="U416" s="1" t="str">
        <f>"21"</f>
        <v>21</v>
      </c>
      <c r="V416" s="1" t="str">
        <f>""</f>
        <v/>
      </c>
      <c r="W416" s="1" t="str">
        <f>"1"</f>
        <v>1</v>
      </c>
      <c r="X416" s="1" t="str">
        <f>""</f>
        <v/>
      </c>
      <c r="Y416" s="1" t="str">
        <f>"80"</f>
        <v>80</v>
      </c>
      <c r="Z416" t="str">
        <f>""</f>
        <v/>
      </c>
      <c r="AA416" t="str">
        <f>"9174377829"</f>
        <v>9174377829</v>
      </c>
      <c r="AB416" t="str">
        <f>"9174377829"</f>
        <v>9174377829</v>
      </c>
      <c r="AC416" t="str">
        <f>"9174377829"</f>
        <v>9174377829</v>
      </c>
      <c r="AD416" t="str">
        <f>"9174377829"</f>
        <v>9174377829</v>
      </c>
      <c r="AE416" t="str">
        <f>""</f>
        <v/>
      </c>
    </row>
    <row r="417" spans="1:31" x14ac:dyDescent="0.45">
      <c r="A417" t="str">
        <f>"ВАЛИЕВ ВИЛЬДАН РАУЗИЛОВИЧ"</f>
        <v>ВАЛИЕВ ВИЛЬДАН РАУЗИЛОВИЧ</v>
      </c>
      <c r="B417" t="str">
        <f>"1970-02-12"</f>
        <v>1970-02-12</v>
      </c>
      <c r="C417" t="str">
        <f>"80 15 118261"</f>
        <v>80 15 118261</v>
      </c>
      <c r="D417" t="str">
        <f>"4854630349975568"</f>
        <v>4854630349975568</v>
      </c>
      <c r="E417" t="str">
        <f>"2021-04-30"</f>
        <v>2021-04-30</v>
      </c>
      <c r="F417" t="str">
        <f t="shared" si="73"/>
        <v>+</v>
      </c>
      <c r="G417" t="str">
        <f t="shared" si="73"/>
        <v>+</v>
      </c>
      <c r="H417" t="str">
        <f>"40817810916991427859"</f>
        <v>40817810916991427859</v>
      </c>
      <c r="I417" t="str">
        <f>"8598"</f>
        <v>8598</v>
      </c>
      <c r="J417" t="str">
        <f>"0611"</f>
        <v>0611</v>
      </c>
      <c r="K417" t="str">
        <f>"80000.00"</f>
        <v>80000.00</v>
      </c>
      <c r="L417" t="str">
        <f>"450000 ОБЛ ТЮМЕНСКАЯ   Г НЕФТЕЮГАНСК   УЛ СУРГУТСКАЯ д. 7"</f>
        <v>450000 ОБЛ ТЮМЕНСКАЯ   Г НЕФТЕЮГАНСК   УЛ СУРГУТСКАЯ д. 7</v>
      </c>
      <c r="M417" t="str">
        <f t="shared" si="70"/>
        <v>2019-08-24</v>
      </c>
      <c r="N417" t="str">
        <f>"ООО ТРАНСМЕЛ"</f>
        <v>ООО ТРАНСМЕЛ</v>
      </c>
      <c r="O417" t="str">
        <f>"452800"</f>
        <v>452800</v>
      </c>
      <c r="P417" t="str">
        <f>"РЕСП БАШКОРТОСТАН"</f>
        <v>РЕСП БАШКОРТОСТАН</v>
      </c>
      <c r="Q417" t="str">
        <f>"Р-Н ЯНАУЛЬСКИЙ"</f>
        <v>Р-Н ЯНАУЛЬСКИЙ</v>
      </c>
      <c r="R417" t="str">
        <f>"Г ЯНАУЛ"</f>
        <v>Г ЯНАУЛ</v>
      </c>
      <c r="S417" t="str">
        <f>""</f>
        <v/>
      </c>
      <c r="T417" t="str">
        <f>"УЛ СТАНЦИОННАЯ"</f>
        <v>УЛ СТАНЦИОННАЯ</v>
      </c>
      <c r="U417" s="1" t="str">
        <f>"10А"</f>
        <v>10А</v>
      </c>
      <c r="V417" s="1" t="str">
        <f>""</f>
        <v/>
      </c>
      <c r="W417" s="1" t="str">
        <f>""</f>
        <v/>
      </c>
      <c r="X417" s="1" t="str">
        <f>""</f>
        <v/>
      </c>
      <c r="Y417" s="1" t="str">
        <f>"14"</f>
        <v>14</v>
      </c>
      <c r="Z417" t="str">
        <f>""</f>
        <v/>
      </c>
      <c r="AA417" t="str">
        <f>"9177716033"</f>
        <v>9177716033</v>
      </c>
      <c r="AB417" t="str">
        <f>"9177369428"</f>
        <v>9177369428</v>
      </c>
      <c r="AC417" t="str">
        <f>"9177716033"</f>
        <v>9177716033</v>
      </c>
      <c r="AD417" t="str">
        <f>"9177369428"</f>
        <v>9177369428</v>
      </c>
      <c r="AE417" t="str">
        <f>""</f>
        <v/>
      </c>
    </row>
    <row r="418" spans="1:31" x14ac:dyDescent="0.45">
      <c r="A418" t="str">
        <f>"ПЕТРОВА НАДЕЖДА ВИКТОРОВНА"</f>
        <v>ПЕТРОВА НАДЕЖДА ВИКТОРОВНА</v>
      </c>
      <c r="B418" t="str">
        <f>"1985-05-15"</f>
        <v>1985-05-15</v>
      </c>
      <c r="C418" t="str">
        <f>"67 18 772297"</f>
        <v>67 18 772297</v>
      </c>
      <c r="D418" t="str">
        <f>"4854630393085777"</f>
        <v>4854630393085777</v>
      </c>
      <c r="E418" t="str">
        <f>"2021-04-30"</f>
        <v>2021-04-30</v>
      </c>
      <c r="F418" t="str">
        <f t="shared" si="73"/>
        <v>+</v>
      </c>
      <c r="G418" t="str">
        <f t="shared" si="73"/>
        <v>+</v>
      </c>
      <c r="H418" t="str">
        <f>"40817810416992300792"</f>
        <v>40817810416992300792</v>
      </c>
      <c r="I418" t="str">
        <f>"5940"</f>
        <v>5940</v>
      </c>
      <c r="J418" t="str">
        <f>"0052"</f>
        <v>0052</v>
      </c>
      <c r="K418" t="str">
        <f>"15000.00"</f>
        <v>15000.00</v>
      </c>
      <c r="L418" t="str">
        <f>"628400 ОБЛ ТЮМЕНСКАЯ   Г СУРГУТ   УЛ КРЫЛОВА д. 26"</f>
        <v>628400 ОБЛ ТЮМЕНСКАЯ   Г СУРГУТ   УЛ КРЫЛОВА д. 26</v>
      </c>
      <c r="M418" t="str">
        <f t="shared" si="70"/>
        <v>2019-08-24</v>
      </c>
      <c r="N418" t="str">
        <f>"НЕ РАБОТАЕТ"</f>
        <v>НЕ РАБОТАЕТ</v>
      </c>
      <c r="O418" t="str">
        <f>"450000"</f>
        <v>450000</v>
      </c>
      <c r="P418" t="str">
        <f>"РЕСП БАШКОРТОСТАН"</f>
        <v>РЕСП БАШКОРТОСТАН</v>
      </c>
      <c r="Q418" t="str">
        <f>""</f>
        <v/>
      </c>
      <c r="R418" t="str">
        <f>"Г УЧАЛЫ"</f>
        <v>Г УЧАЛЫ</v>
      </c>
      <c r="S418" t="str">
        <f>""</f>
        <v/>
      </c>
      <c r="T418" t="str">
        <f>"УЛ ГОРЬКОГО"</f>
        <v>УЛ ГОРЬКОГО</v>
      </c>
      <c r="U418" s="1" t="str">
        <f>"8"</f>
        <v>8</v>
      </c>
      <c r="V418" s="1" t="str">
        <f>""</f>
        <v/>
      </c>
      <c r="W418" s="1" t="str">
        <f>""</f>
        <v/>
      </c>
      <c r="X418" s="1" t="str">
        <f>""</f>
        <v/>
      </c>
      <c r="Y418" s="1" t="str">
        <f>"38"</f>
        <v>38</v>
      </c>
      <c r="Z418" t="str">
        <f>""</f>
        <v/>
      </c>
      <c r="AA418" t="str">
        <f>"9821809070"</f>
        <v>9821809070</v>
      </c>
      <c r="AB418" t="str">
        <f>"9821809070"</f>
        <v>9821809070</v>
      </c>
      <c r="AC418" t="str">
        <f>"9063705234"</f>
        <v>9063705234</v>
      </c>
      <c r="AD418" t="str">
        <f>"9821809070"</f>
        <v>9821809070</v>
      </c>
      <c r="AE418" t="str">
        <f>""</f>
        <v/>
      </c>
    </row>
    <row r="419" spans="1:31" x14ac:dyDescent="0.45">
      <c r="A419" t="str">
        <f>"СКОРОСПЕШЕВА ГАЛИНА ВАЛЕНТИНОВНА"</f>
        <v>СКОРОСПЕШЕВА ГАЛИНА ВАЛЕНТИНОВНА</v>
      </c>
      <c r="B419" t="str">
        <f>"1958-06-24"</f>
        <v>1958-06-24</v>
      </c>
      <c r="C419" t="str">
        <f>"65 04 227516"</f>
        <v>65 04 227516</v>
      </c>
      <c r="D419" t="str">
        <f>"4854630371757504"</f>
        <v>4854630371757504</v>
      </c>
      <c r="E419" t="str">
        <f>"2021-04-30"</f>
        <v>2021-04-30</v>
      </c>
      <c r="F419" t="str">
        <f>"Q"</f>
        <v>Q</v>
      </c>
      <c r="G419" t="str">
        <f>"Q"</f>
        <v>Q</v>
      </c>
      <c r="H419" t="str">
        <f>"40817810416991427896"</f>
        <v>40817810416991427896</v>
      </c>
      <c r="I419" t="str">
        <f>"7003"</f>
        <v>7003</v>
      </c>
      <c r="J419" t="str">
        <f>"0424"</f>
        <v>0424</v>
      </c>
      <c r="K419" t="str">
        <f>"0.00"</f>
        <v>0.00</v>
      </c>
      <c r="L419" t="str">
        <f>"620000 ОБЛ СВЕРДЛОВСКАЯ   Г ЕКАТЕРИНБУРГ   УЛ АЗИНА д. 24"</f>
        <v>620000 ОБЛ СВЕРДЛОВСКАЯ   Г ЕКАТЕРИНБУРГ   УЛ АЗИНА д. 24</v>
      </c>
      <c r="M419" t="str">
        <f t="shared" si="70"/>
        <v>2019-08-24</v>
      </c>
      <c r="N419" t="str">
        <f>"ПФР РФ"</f>
        <v>ПФР РФ</v>
      </c>
      <c r="O419" t="str">
        <f>"620000"</f>
        <v>620000</v>
      </c>
      <c r="P419" t="str">
        <f>"ОБЛ СВЕРДЛОВСКАЯ"</f>
        <v>ОБЛ СВЕРДЛОВСКАЯ</v>
      </c>
      <c r="Q419" t="str">
        <f>""</f>
        <v/>
      </c>
      <c r="R419" t="str">
        <f>"Г ЕКАТЕРИНБУРГ"</f>
        <v>Г ЕКАТЕРИНБУРГ</v>
      </c>
      <c r="S419" t="str">
        <f>""</f>
        <v/>
      </c>
      <c r="T419" t="str">
        <f>"УЛ ЯК.СВЕРДЛОВА"</f>
        <v>УЛ ЯК.СВЕРДЛОВА</v>
      </c>
      <c r="U419" s="1" t="str">
        <f>"27"</f>
        <v>27</v>
      </c>
      <c r="V419" s="1" t="str">
        <f>""</f>
        <v/>
      </c>
      <c r="W419" s="1" t="str">
        <f>""</f>
        <v/>
      </c>
      <c r="X419" s="1" t="str">
        <f>""</f>
        <v/>
      </c>
      <c r="Y419" s="1" t="str">
        <f>"78"</f>
        <v>78</v>
      </c>
      <c r="Z419" t="str">
        <f>""</f>
        <v/>
      </c>
      <c r="AA419" t="str">
        <f>"9122263250"</f>
        <v>9122263250</v>
      </c>
      <c r="AB419" t="str">
        <f>"9122263250"</f>
        <v>9122263250</v>
      </c>
      <c r="AC419" t="str">
        <f>"9122263250"</f>
        <v>9122263250</v>
      </c>
      <c r="AD419" t="str">
        <f>"9122263250"</f>
        <v>9122263250</v>
      </c>
      <c r="AE419" t="str">
        <f>""</f>
        <v/>
      </c>
    </row>
    <row r="420" spans="1:31" x14ac:dyDescent="0.45">
      <c r="A420" t="str">
        <f>"ШЕИНА КЛАВДИЯ СЕРГЕЕВНА"</f>
        <v>ШЕИНА КЛАВДИЯ СЕРГЕЕВНА</v>
      </c>
      <c r="B420" t="str">
        <f>"1994-10-06"</f>
        <v>1994-10-06</v>
      </c>
      <c r="C420" t="str">
        <f>"98 13 500175"</f>
        <v>98 13 500175</v>
      </c>
      <c r="D420" t="str">
        <f>"4854630374765058"</f>
        <v>4854630374765058</v>
      </c>
      <c r="E420" t="str">
        <f>"2021-04-30"</f>
        <v>2021-04-30</v>
      </c>
      <c r="F420" t="str">
        <f t="shared" ref="F420:G423" si="74">"+"</f>
        <v>+</v>
      </c>
      <c r="G420" t="str">
        <f t="shared" si="74"/>
        <v>+</v>
      </c>
      <c r="H420" t="str">
        <f>"40817810716992241072"</f>
        <v>40817810716992241072</v>
      </c>
      <c r="I420" t="str">
        <f>"5940"</f>
        <v>5940</v>
      </c>
      <c r="J420" t="str">
        <f>"0108"</f>
        <v>0108</v>
      </c>
      <c r="K420" t="str">
        <f>"50000.00"</f>
        <v>50000.00</v>
      </c>
      <c r="L420" t="str">
        <f>"628400 ОБЛ ТЮМЕНСКАЯ   Г СУРГУТ   УЛ АЭРОФЛОТСКАЯ д. 50"</f>
        <v>628400 ОБЛ ТЮМЕНСКАЯ   Г СУРГУТ   УЛ АЭРОФЛОТСКАЯ д. 50</v>
      </c>
      <c r="M420" t="str">
        <f t="shared" si="70"/>
        <v>2019-08-24</v>
      </c>
      <c r="N420" t="str">
        <f>"ОАО АЭРОПОРТ СУРГУТ"</f>
        <v>ОАО АЭРОПОРТ СУРГУТ</v>
      </c>
      <c r="O420" t="str">
        <f>"628400"</f>
        <v>628400</v>
      </c>
      <c r="P420" t="str">
        <f>"ОБЛ ТЮМЕНСКАЯ"</f>
        <v>ОБЛ ТЮМЕНСКАЯ</v>
      </c>
      <c r="Q420" t="str">
        <f>"Р-Н У ЛЕНСКИЙ"</f>
        <v>Р-Н У ЛЕНСКИЙ</v>
      </c>
      <c r="R420" t="str">
        <f>""</f>
        <v/>
      </c>
      <c r="S420" t="str">
        <f>"П ПЕЛЕДУЙ"</f>
        <v>П ПЕЛЕДУЙ</v>
      </c>
      <c r="T420" t="str">
        <f>"УЛ МОЛОДЕЖНАЯ"</f>
        <v>УЛ МОЛОДЕЖНАЯ</v>
      </c>
      <c r="U420" s="1" t="str">
        <f>"5"</f>
        <v>5</v>
      </c>
      <c r="V420" s="1" t="str">
        <f>""</f>
        <v/>
      </c>
      <c r="W420" s="1" t="str">
        <f>""</f>
        <v/>
      </c>
      <c r="X420" s="1" t="str">
        <f>""</f>
        <v/>
      </c>
      <c r="Y420" s="1" t="str">
        <f>"9"</f>
        <v>9</v>
      </c>
      <c r="Z420" t="str">
        <f>""</f>
        <v/>
      </c>
      <c r="AA420" t="str">
        <f>"9142592553"</f>
        <v>9142592553</v>
      </c>
      <c r="AB420" t="str">
        <f>"9841070056"</f>
        <v>9841070056</v>
      </c>
      <c r="AC420" t="str">
        <f>"9142592553"</f>
        <v>9142592553</v>
      </c>
      <c r="AD420" t="str">
        <f>"9841070056"</f>
        <v>9841070056</v>
      </c>
      <c r="AE420" t="str">
        <f>""</f>
        <v/>
      </c>
    </row>
    <row r="421" spans="1:31" x14ac:dyDescent="0.45">
      <c r="A421" t="str">
        <f>"ЛИТВИНОВА ГАЛИНА ЮРЬЕВНА"</f>
        <v>ЛИТВИНОВА ГАЛИНА ЮРЬЕВНА</v>
      </c>
      <c r="B421" t="str">
        <f>"1972-08-29"</f>
        <v>1972-08-29</v>
      </c>
      <c r="C421" t="str">
        <f>"80 17 615296"</f>
        <v>80 17 615296</v>
      </c>
      <c r="D421" t="str">
        <f>"4279011656820142"</f>
        <v>4279011656820142</v>
      </c>
      <c r="E421" t="str">
        <f t="shared" ref="E421:E428" si="75">"2021-05-31"</f>
        <v>2021-05-31</v>
      </c>
      <c r="F421" t="str">
        <f t="shared" si="74"/>
        <v>+</v>
      </c>
      <c r="G421" t="str">
        <f t="shared" si="74"/>
        <v>+</v>
      </c>
      <c r="H421" t="str">
        <f>"40817810916991427930"</f>
        <v>40817810916991427930</v>
      </c>
      <c r="I421" t="str">
        <f>"8598"</f>
        <v>8598</v>
      </c>
      <c r="J421" t="str">
        <f>"0197"</f>
        <v>0197</v>
      </c>
      <c r="K421" t="str">
        <f>"225000.00"</f>
        <v>225000.00</v>
      </c>
      <c r="L421" t="str">
        <f>"450000 РЕСП БАШКОРТОСТАН   Г УФА   УЛ МЕНДЕЛЕЕВА д. 130"</f>
        <v>450000 РЕСП БАШКОРТОСТАН   Г УФА   УЛ МЕНДЕЛЕЕВА д. 130</v>
      </c>
      <c r="M421" t="str">
        <f t="shared" si="70"/>
        <v>2019-08-24</v>
      </c>
      <c r="N421" t="s">
        <v>47</v>
      </c>
      <c r="O421" t="str">
        <f>"450000"</f>
        <v>450000</v>
      </c>
      <c r="P421" t="str">
        <f>"РЕСП БАШКОРТОСТАН"</f>
        <v>РЕСП БАШКОРТОСТАН</v>
      </c>
      <c r="Q421" t="str">
        <f>""</f>
        <v/>
      </c>
      <c r="R421" t="str">
        <f>"Г УФА"</f>
        <v>Г УФА</v>
      </c>
      <c r="S421" t="str">
        <f>""</f>
        <v/>
      </c>
      <c r="T421" t="str">
        <f>"УЛ ПР-КТ ОКТЯБРЯ"</f>
        <v>УЛ ПР-КТ ОКТЯБРЯ</v>
      </c>
      <c r="U421" s="1" t="str">
        <f>"112"</f>
        <v>112</v>
      </c>
      <c r="V421" s="1" t="str">
        <f>""</f>
        <v/>
      </c>
      <c r="W421" s="1" t="str">
        <f>"3"</f>
        <v>3</v>
      </c>
      <c r="X421" s="1" t="str">
        <f>""</f>
        <v/>
      </c>
      <c r="Y421" s="1" t="str">
        <f>"31"</f>
        <v>31</v>
      </c>
      <c r="Z421" t="str">
        <f>"9177614620"</f>
        <v>9177614620</v>
      </c>
      <c r="AA421" t="str">
        <f>"9177614620"</f>
        <v>9177614620</v>
      </c>
      <c r="AB421" t="str">
        <f>"9177614620"</f>
        <v>9177614620</v>
      </c>
      <c r="AC421" t="str">
        <f>"9177614620"</f>
        <v>9177614620</v>
      </c>
      <c r="AD421" t="str">
        <f>"9177614620"</f>
        <v>9177614620</v>
      </c>
      <c r="AE421" t="str">
        <f>"9177614620"</f>
        <v>9177614620</v>
      </c>
    </row>
    <row r="422" spans="1:31" x14ac:dyDescent="0.45">
      <c r="A422" t="str">
        <f>"КУЗНЕЦОВ СЕРГЕЙ ВИКТОРОВИЧ"</f>
        <v>КУЗНЕЦОВ СЕРГЕЙ ВИКТОРОВИЧ</v>
      </c>
      <c r="B422" t="str">
        <f>"1969-01-17"</f>
        <v>1969-01-17</v>
      </c>
      <c r="C422" t="str">
        <f>"37 13 568084"</f>
        <v>37 13 568084</v>
      </c>
      <c r="D422" t="str">
        <f>"4276011665871113"</f>
        <v>4276011665871113</v>
      </c>
      <c r="E422" t="str">
        <f t="shared" si="75"/>
        <v>2021-05-31</v>
      </c>
      <c r="F422" t="str">
        <f t="shared" si="74"/>
        <v>+</v>
      </c>
      <c r="G422" t="str">
        <f t="shared" si="74"/>
        <v>+</v>
      </c>
      <c r="H422" t="str">
        <f>"40817810516991427932"</f>
        <v>40817810516991427932</v>
      </c>
      <c r="I422" t="str">
        <f>"8599"</f>
        <v>8599</v>
      </c>
      <c r="J422" t="str">
        <f>"0227"</f>
        <v>0227</v>
      </c>
      <c r="K422" t="str">
        <f>"47000.00"</f>
        <v>47000.00</v>
      </c>
      <c r="L422" t="str">
        <f>"641870 ОБЛ КУРГАНСКАЯ Р-Н ШАДРИНСКИЙ   Д ДЕМЬЯНА БЕДНОГО УЛ НОВАЯ д. 5"</f>
        <v>641870 ОБЛ КУРГАНСКАЯ Р-Н ШАДРИНСКИЙ   Д ДЕМЬЯНА БЕДНОГО УЛ НОВАЯ д. 5</v>
      </c>
      <c r="M422" t="str">
        <f t="shared" si="70"/>
        <v>2019-08-24</v>
      </c>
      <c r="N422" t="str">
        <f>"ОТСУТСТВУЕТ"</f>
        <v>ОТСУТСТВУЕТ</v>
      </c>
      <c r="O422" t="str">
        <f>"641870"</f>
        <v>641870</v>
      </c>
      <c r="P422" t="str">
        <f>"ОБЛ КУРГАНСКАЯ"</f>
        <v>ОБЛ КУРГАНСКАЯ</v>
      </c>
      <c r="Q422" t="str">
        <f>"Р-Н ШАДРИНСКИЙ"</f>
        <v>Р-Н ШАДРИНСКИЙ</v>
      </c>
      <c r="R422" t="str">
        <f>""</f>
        <v/>
      </c>
      <c r="S422" t="str">
        <f>"Д ДЕМЬЯНА БЕДНОГО"</f>
        <v>Д ДЕМЬЯНА БЕДНОГО</v>
      </c>
      <c r="T422" t="str">
        <f>"УЛ НОВАЯ"</f>
        <v>УЛ НОВАЯ</v>
      </c>
      <c r="U422" s="1" t="str">
        <f>"5"</f>
        <v>5</v>
      </c>
      <c r="V422" s="1" t="str">
        <f>""</f>
        <v/>
      </c>
      <c r="W422" s="1" t="str">
        <f>""</f>
        <v/>
      </c>
      <c r="X422" s="1" t="str">
        <f>""</f>
        <v/>
      </c>
      <c r="Y422" s="1" t="str">
        <f>""</f>
        <v/>
      </c>
      <c r="Z422" t="str">
        <f>""</f>
        <v/>
      </c>
      <c r="AA422" t="str">
        <f>"3525344315"</f>
        <v>3525344315</v>
      </c>
      <c r="AB422" t="str">
        <f>"9195727516"</f>
        <v>9195727516</v>
      </c>
      <c r="AC422" t="str">
        <f>""</f>
        <v/>
      </c>
      <c r="AD422" t="str">
        <f>"9195727516"</f>
        <v>9195727516</v>
      </c>
      <c r="AE422" t="str">
        <f>""</f>
        <v/>
      </c>
    </row>
    <row r="423" spans="1:31" x14ac:dyDescent="0.45">
      <c r="A423" t="str">
        <f>"НОСКОВА МАРИНА ЕВГЕНЬЕВНА"</f>
        <v>НОСКОВА МАРИНА ЕВГЕНЬЕВНА</v>
      </c>
      <c r="B423" t="str">
        <f>"1960-06-14"</f>
        <v>1960-06-14</v>
      </c>
      <c r="C423" t="str">
        <f>"75 05 647604"</f>
        <v>75 05 647604</v>
      </c>
      <c r="D423" t="str">
        <f>"4279011643271128"</f>
        <v>4279011643271128</v>
      </c>
      <c r="E423" t="str">
        <f t="shared" si="75"/>
        <v>2021-05-31</v>
      </c>
      <c r="F423" t="str">
        <f t="shared" si="74"/>
        <v>+</v>
      </c>
      <c r="G423" t="str">
        <f t="shared" si="74"/>
        <v>+</v>
      </c>
      <c r="H423" t="str">
        <f>"40817810716991427936"</f>
        <v>40817810716991427936</v>
      </c>
      <c r="I423" t="str">
        <f>"8597"</f>
        <v>8597</v>
      </c>
      <c r="J423" t="str">
        <f>"0533"</f>
        <v>0533</v>
      </c>
      <c r="K423" t="str">
        <f>"160000.00"</f>
        <v>160000.00</v>
      </c>
      <c r="L423" t="str">
        <f>"454000 ОБЛ ЧЕЛЯБИНСКАЯ   Г МИАСС   ПР-КТ АВТОЗАВОДЦЕВ д. 57"</f>
        <v>454000 ОБЛ ЧЕЛЯБИНСКАЯ   Г МИАСС   ПР-КТ АВТОЗАВОДЦЕВ д. 57</v>
      </c>
      <c r="M423" t="str">
        <f t="shared" si="70"/>
        <v>2019-08-24</v>
      </c>
      <c r="N423" t="str">
        <f>"ИП НОСКОВА М Е"</f>
        <v>ИП НОСКОВА М Е</v>
      </c>
      <c r="O423" t="str">
        <f>"454000"</f>
        <v>454000</v>
      </c>
      <c r="P423" t="str">
        <f>"ОБЛ ЧЕЛЯБИНСКАЯ"</f>
        <v>ОБЛ ЧЕЛЯБИНСКАЯ</v>
      </c>
      <c r="Q423" t="str">
        <f>""</f>
        <v/>
      </c>
      <c r="R423" t="str">
        <f>"Г МИАСС"</f>
        <v>Г МИАСС</v>
      </c>
      <c r="S423" t="str">
        <f>""</f>
        <v/>
      </c>
      <c r="T423" t="str">
        <f>"ПР-КТ МАКЕЕВА"</f>
        <v>ПР-КТ МАКЕЕВА</v>
      </c>
      <c r="U423" s="1" t="str">
        <f>"10"</f>
        <v>10</v>
      </c>
      <c r="V423" s="1" t="str">
        <f>""</f>
        <v/>
      </c>
      <c r="W423" s="1" t="str">
        <f>""</f>
        <v/>
      </c>
      <c r="X423" s="1" t="str">
        <f>""</f>
        <v/>
      </c>
      <c r="Y423" s="1" t="str">
        <f>"6"</f>
        <v>6</v>
      </c>
      <c r="Z423" t="str">
        <f>""</f>
        <v/>
      </c>
      <c r="AA423" t="str">
        <f>"9043022808"</f>
        <v>9043022808</v>
      </c>
      <c r="AB423" t="str">
        <f>"9043022808"</f>
        <v>9043022808</v>
      </c>
      <c r="AC423" t="str">
        <f>"9043022808"</f>
        <v>9043022808</v>
      </c>
      <c r="AD423" t="str">
        <f>"9043022808"</f>
        <v>9043022808</v>
      </c>
      <c r="AE423" t="str">
        <f>""</f>
        <v/>
      </c>
    </row>
    <row r="424" spans="1:31" x14ac:dyDescent="0.45">
      <c r="A424" t="str">
        <f>"ШВЕЦОВ ПАВЕЛ НИКОЛАЕВИЧ"</f>
        <v>ШВЕЦОВ ПАВЕЛ НИКОЛАЕВИЧ</v>
      </c>
      <c r="B424" t="str">
        <f>"1971-04-19"</f>
        <v>1971-04-19</v>
      </c>
      <c r="C424" t="str">
        <f>"80 16 372975"</f>
        <v>80 16 372975</v>
      </c>
      <c r="D424" t="str">
        <f>"4276011617567611"</f>
        <v>4276011617567611</v>
      </c>
      <c r="E424" t="str">
        <f t="shared" si="75"/>
        <v>2021-05-31</v>
      </c>
      <c r="F424" t="str">
        <f>"Y"</f>
        <v>Y</v>
      </c>
      <c r="G424" t="str">
        <f>"Q"</f>
        <v>Q</v>
      </c>
      <c r="H424" t="str">
        <f>"40817810416991427935"</f>
        <v>40817810416991427935</v>
      </c>
      <c r="I424" t="str">
        <f>"8598"</f>
        <v>8598</v>
      </c>
      <c r="J424" t="str">
        <f>"0699"</f>
        <v>0699</v>
      </c>
      <c r="K424" t="str">
        <f>"0.00"</f>
        <v>0.00</v>
      </c>
      <c r="L424" t="str">
        <f>"453250 РЕСП БАШКОРТОСТАН   Г САЛАВАТ   УЛ МОЛОДОГВАРДЕЙЦЕВ д. 25"</f>
        <v>453250 РЕСП БАШКОРТОСТАН   Г САЛАВАТ   УЛ МОЛОДОГВАРДЕЙЦЕВ д. 25</v>
      </c>
      <c r="M424" t="str">
        <f t="shared" si="70"/>
        <v>2019-08-24</v>
      </c>
      <c r="N424" t="str">
        <f>"ПАТИМ"</f>
        <v>ПАТИМ</v>
      </c>
      <c r="O424" t="str">
        <f>"453228"</f>
        <v>453228</v>
      </c>
      <c r="P424" t="str">
        <f>"РЕСП БАШКОРТОСТАН"</f>
        <v>РЕСП БАШКОРТОСТАН</v>
      </c>
      <c r="Q424" t="str">
        <f>"Р-Н ИШИМБАЙСКИЙ"</f>
        <v>Р-Н ИШИМБАЙСКИЙ</v>
      </c>
      <c r="R424" t="str">
        <f>""</f>
        <v/>
      </c>
      <c r="S424" t="str">
        <f>"С ВЕРХОТОР"</f>
        <v>С ВЕРХОТОР</v>
      </c>
      <c r="T424" t="str">
        <f>"УЛ КОЛХОЗНАЯ"</f>
        <v>УЛ КОЛХОЗНАЯ</v>
      </c>
      <c r="U424" s="1" t="str">
        <f>"1"</f>
        <v>1</v>
      </c>
      <c r="V424" s="1" t="str">
        <f>""</f>
        <v/>
      </c>
      <c r="W424" s="1" t="str">
        <f>""</f>
        <v/>
      </c>
      <c r="X424" s="1" t="str">
        <f>""</f>
        <v/>
      </c>
      <c r="Y424" s="1" t="str">
        <f>""</f>
        <v/>
      </c>
      <c r="Z424" t="str">
        <f>""</f>
        <v/>
      </c>
      <c r="AA424" t="str">
        <f>"9177800107"</f>
        <v>9177800107</v>
      </c>
      <c r="AB424" t="str">
        <f>"9177800107"</f>
        <v>9177800107</v>
      </c>
      <c r="AC424" t="str">
        <f>"9177800107"</f>
        <v>9177800107</v>
      </c>
      <c r="AD424" t="str">
        <f>"9177800107"</f>
        <v>9177800107</v>
      </c>
      <c r="AE424" t="str">
        <f>""</f>
        <v/>
      </c>
    </row>
    <row r="425" spans="1:31" x14ac:dyDescent="0.45">
      <c r="A425" t="str">
        <f>"ЕРМИЕНКО МИХАИЛ ВЛАДИМИРОВИЧ"</f>
        <v>ЕРМИЕНКО МИХАИЛ ВЛАДИМИРОВИЧ</v>
      </c>
      <c r="B425" t="str">
        <f>"1977-08-02"</f>
        <v>1977-08-02</v>
      </c>
      <c r="C425" t="str">
        <f>"75 14 583766"</f>
        <v>75 14 583766</v>
      </c>
      <c r="D425" t="str">
        <f>"4279011615495101"</f>
        <v>4279011615495101</v>
      </c>
      <c r="E425" t="str">
        <f t="shared" si="75"/>
        <v>2021-05-31</v>
      </c>
      <c r="F425" t="str">
        <f t="shared" ref="F425:G428" si="76">"+"</f>
        <v>+</v>
      </c>
      <c r="G425" t="str">
        <f t="shared" si="76"/>
        <v>+</v>
      </c>
      <c r="H425" t="str">
        <f>"40817810016991427937"</f>
        <v>40817810016991427937</v>
      </c>
      <c r="I425" t="str">
        <f>"8597"</f>
        <v>8597</v>
      </c>
      <c r="J425" t="str">
        <f>"0486"</f>
        <v>0486</v>
      </c>
      <c r="K425" t="str">
        <f>"320000.00"</f>
        <v>320000.00</v>
      </c>
      <c r="L425" t="str">
        <f>"454000 ОБЛ ЧЕЛЯБИНСКАЯ   Г ЧЕЛЯБИНСК   УЛ КОПЕЙСКОЕ ШОССЕ д. 36Б"</f>
        <v>454000 ОБЛ ЧЕЛЯБИНСКАЯ   Г ЧЕЛЯБИНСК   УЛ КОПЕЙСКОЕ ШОССЕ д. 36Б</v>
      </c>
      <c r="M425" t="str">
        <f t="shared" si="70"/>
        <v>2019-08-24</v>
      </c>
      <c r="N425" t="str">
        <f>"ИП ЧИНЬКОВА"</f>
        <v>ИП ЧИНЬКОВА</v>
      </c>
      <c r="O425" t="str">
        <f>"454000"</f>
        <v>454000</v>
      </c>
      <c r="P425" t="str">
        <f>"ОБЛ ЧЕЛЯБИНСКАЯ"</f>
        <v>ОБЛ ЧЕЛЯБИНСКАЯ</v>
      </c>
      <c r="Q425" t="str">
        <f>""</f>
        <v/>
      </c>
      <c r="R425" t="str">
        <f>"Г ЕМАНЖЕЛИНСК"</f>
        <v>Г ЕМАНЖЕЛИНСК</v>
      </c>
      <c r="S425" t="str">
        <f>""</f>
        <v/>
      </c>
      <c r="T425" t="str">
        <f>"УЛ ОРДЖОНИКИДЗЕ"</f>
        <v>УЛ ОРДЖОНИКИДЗЕ</v>
      </c>
      <c r="U425" s="1" t="str">
        <f>"20"</f>
        <v>20</v>
      </c>
      <c r="V425" s="1" t="str">
        <f>""</f>
        <v/>
      </c>
      <c r="W425" s="1" t="str">
        <f>""</f>
        <v/>
      </c>
      <c r="X425" s="1" t="str">
        <f>""</f>
        <v/>
      </c>
      <c r="Y425" s="1" t="str">
        <f>""</f>
        <v/>
      </c>
      <c r="Z425" t="str">
        <f>"3513821316"</f>
        <v>3513821316</v>
      </c>
      <c r="AA425" t="str">
        <f>"9525192046"</f>
        <v>9525192046</v>
      </c>
      <c r="AB425" t="str">
        <f>"9525192046"</f>
        <v>9525192046</v>
      </c>
      <c r="AC425" t="str">
        <f>"9525192046"</f>
        <v>9525192046</v>
      </c>
      <c r="AD425" t="str">
        <f>"9525192046"</f>
        <v>9525192046</v>
      </c>
      <c r="AE425" t="str">
        <f>"9525192046"</f>
        <v>9525192046</v>
      </c>
    </row>
    <row r="426" spans="1:31" x14ac:dyDescent="0.45">
      <c r="A426" t="str">
        <f>"МИННИГАЗИН АЗАТ КАРЫЕВИЧ"</f>
        <v>МИННИГАЗИН АЗАТ КАРЫЕВИЧ</v>
      </c>
      <c r="B426" t="str">
        <f>"1957-05-07"</f>
        <v>1957-05-07</v>
      </c>
      <c r="C426" t="str">
        <f>"80 03 189226"</f>
        <v>80 03 189226</v>
      </c>
      <c r="D426" t="str">
        <f>"4279011636828504"</f>
        <v>4279011636828504</v>
      </c>
      <c r="E426" t="str">
        <f t="shared" si="75"/>
        <v>2021-05-31</v>
      </c>
      <c r="F426" t="str">
        <f t="shared" si="76"/>
        <v>+</v>
      </c>
      <c r="G426" t="str">
        <f t="shared" si="76"/>
        <v>+</v>
      </c>
      <c r="H426" t="str">
        <f>"40817810316991427938"</f>
        <v>40817810316991427938</v>
      </c>
      <c r="I426" t="str">
        <f>"8598"</f>
        <v>8598</v>
      </c>
      <c r="J426" t="str">
        <f>"0408"</f>
        <v>0408</v>
      </c>
      <c r="K426" t="str">
        <f>"160000.00"</f>
        <v>160000.00</v>
      </c>
      <c r="L426" t="str">
        <f>"450000 РЕСП БАШКОРТОСТАН Р-Н БАКАЛИНСКИЙ   С БАКАЛЫ УЛ ТУКАЯ д. 31"</f>
        <v>450000 РЕСП БАШКОРТОСТАН Р-Н БАКАЛИНСКИЙ   С БАКАЛЫ УЛ ТУКАЯ д. 31</v>
      </c>
      <c r="M426" t="str">
        <f t="shared" si="70"/>
        <v>2019-08-24</v>
      </c>
      <c r="N426" t="str">
        <f>"ПЕНСИОНЕР"</f>
        <v>ПЕНСИОНЕР</v>
      </c>
      <c r="O426" t="str">
        <f>"450000"</f>
        <v>450000</v>
      </c>
      <c r="P426" t="str">
        <f>"РЕСП БАШКОРТОСТАН"</f>
        <v>РЕСП БАШКОРТОСТАН</v>
      </c>
      <c r="Q426" t="str">
        <f>"Р-Н БАКАЛИНСКИЙ"</f>
        <v>Р-Н БАКАЛИНСКИЙ</v>
      </c>
      <c r="R426" t="str">
        <f>""</f>
        <v/>
      </c>
      <c r="S426" t="str">
        <f>"С БАКАЛЫ"</f>
        <v>С БАКАЛЫ</v>
      </c>
      <c r="T426" t="str">
        <f>"УЛ ТУКАЯ"</f>
        <v>УЛ ТУКАЯ</v>
      </c>
      <c r="U426" s="1" t="str">
        <f>"31"</f>
        <v>31</v>
      </c>
      <c r="V426" s="1" t="str">
        <f>""</f>
        <v/>
      </c>
      <c r="W426" s="1" t="str">
        <f>""</f>
        <v/>
      </c>
      <c r="X426" s="1" t="str">
        <f>""</f>
        <v/>
      </c>
      <c r="Y426" s="1" t="str">
        <f>""</f>
        <v/>
      </c>
      <c r="Z426" t="str">
        <f>""</f>
        <v/>
      </c>
      <c r="AA426" t="str">
        <f>"+7 (917) 7394277"</f>
        <v>+7 (917) 7394277</v>
      </c>
      <c r="AB426" t="str">
        <f>"+7 (917) 7394277"</f>
        <v>+7 (917) 7394277</v>
      </c>
      <c r="AC426" t="str">
        <f>"3474223225"</f>
        <v>3474223225</v>
      </c>
      <c r="AD426" t="str">
        <f>"9177394277"</f>
        <v>9177394277</v>
      </c>
      <c r="AE426" t="str">
        <f>""</f>
        <v/>
      </c>
    </row>
    <row r="427" spans="1:31" x14ac:dyDescent="0.45">
      <c r="A427" t="str">
        <f>"РОМАНОВА НАТАЛЬЯ АЛЕКСАНДРОВНА"</f>
        <v>РОМАНОВА НАТАЛЬЯ АЛЕКСАНДРОВНА</v>
      </c>
      <c r="B427" t="str">
        <f>"1977-01-23"</f>
        <v>1977-01-23</v>
      </c>
      <c r="C427" t="str">
        <f>"80 05 823614"</f>
        <v>80 05 823614</v>
      </c>
      <c r="D427" t="str">
        <f>"4279011690506590"</f>
        <v>4279011690506590</v>
      </c>
      <c r="E427" t="str">
        <f t="shared" si="75"/>
        <v>2021-05-31</v>
      </c>
      <c r="F427" t="str">
        <f t="shared" si="76"/>
        <v>+</v>
      </c>
      <c r="G427" t="str">
        <f t="shared" si="76"/>
        <v>+</v>
      </c>
      <c r="H427" t="str">
        <f>"40817810616991427939"</f>
        <v>40817810616991427939</v>
      </c>
      <c r="I427" t="str">
        <f>"8598"</f>
        <v>8598</v>
      </c>
      <c r="J427" t="str">
        <f>"0169"</f>
        <v>0169</v>
      </c>
      <c r="K427" t="str">
        <f>"300000.00"</f>
        <v>300000.00</v>
      </c>
      <c r="L427" t="str">
        <f>"450000 РЕСП БАШКОРТОСТАН   Г УФА   УЛ ВОЛОГОДСКАЯ д. 13"</f>
        <v>450000 РЕСП БАШКОРТОСТАН   Г УФА   УЛ ВОЛОГОДСКАЯ д. 13</v>
      </c>
      <c r="M427" t="str">
        <f t="shared" si="70"/>
        <v>2019-08-24</v>
      </c>
      <c r="N427" t="str">
        <f>"ПАРИКМАХЕРСКАЯ АЛСУ"</f>
        <v>ПАРИКМАХЕРСКАЯ АЛСУ</v>
      </c>
      <c r="O427" t="str">
        <f>"450000"</f>
        <v>450000</v>
      </c>
      <c r="P427" t="str">
        <f>"РЕСП БАШКОРТОСТАН"</f>
        <v>РЕСП БАШКОРТОСТАН</v>
      </c>
      <c r="Q427" t="str">
        <f>""</f>
        <v/>
      </c>
      <c r="R427" t="str">
        <f>"Г УФА"</f>
        <v>Г УФА</v>
      </c>
      <c r="S427" t="str">
        <f>""</f>
        <v/>
      </c>
      <c r="T427" t="str">
        <f>"УЛ ВОЛОГОДСКАЯ"</f>
        <v>УЛ ВОЛОГОДСКАЯ</v>
      </c>
      <c r="U427" s="1" t="str">
        <f>"13"</f>
        <v>13</v>
      </c>
      <c r="V427" s="1" t="str">
        <f>""</f>
        <v/>
      </c>
      <c r="W427" s="1" t="str">
        <f>""</f>
        <v/>
      </c>
      <c r="X427" s="1" t="str">
        <f>""</f>
        <v/>
      </c>
      <c r="Y427" s="1" t="str">
        <f>"79"</f>
        <v>79</v>
      </c>
      <c r="Z427" t="str">
        <f>""</f>
        <v/>
      </c>
      <c r="AA427" t="str">
        <f>"9649634488"</f>
        <v>9649634488</v>
      </c>
      <c r="AB427" t="str">
        <f>"9170413553"</f>
        <v>9170413553</v>
      </c>
      <c r="AC427" t="str">
        <f>"9649634488"</f>
        <v>9649634488</v>
      </c>
      <c r="AD427" t="str">
        <f>"9170413553"</f>
        <v>9170413553</v>
      </c>
      <c r="AE427" t="str">
        <f>""</f>
        <v/>
      </c>
    </row>
    <row r="428" spans="1:31" x14ac:dyDescent="0.45">
      <c r="A428" t="str">
        <f>"ПЕСТЕРЕВ НИКОЛАЙ АЛЕКСАНДРОВИЧ"</f>
        <v>ПЕСТЕРЕВ НИКОЛАЙ АЛЕКСАНДРОВИЧ</v>
      </c>
      <c r="B428" t="str">
        <f>"1961-01-30"</f>
        <v>1961-01-30</v>
      </c>
      <c r="C428" t="str">
        <f>"37 05 094439"</f>
        <v>37 05 094439</v>
      </c>
      <c r="D428" t="str">
        <f>"4279011680368191"</f>
        <v>4279011680368191</v>
      </c>
      <c r="E428" t="str">
        <f t="shared" si="75"/>
        <v>2021-05-31</v>
      </c>
      <c r="F428" t="str">
        <f t="shared" si="76"/>
        <v>+</v>
      </c>
      <c r="G428" t="str">
        <f t="shared" si="76"/>
        <v>+</v>
      </c>
      <c r="H428" t="str">
        <f>"40817810016991427940"</f>
        <v>40817810016991427940</v>
      </c>
      <c r="I428" t="str">
        <f>"8599"</f>
        <v>8599</v>
      </c>
      <c r="J428" t="str">
        <f>"0036"</f>
        <v>0036</v>
      </c>
      <c r="K428" t="str">
        <f>"30000.00"</f>
        <v>30000.00</v>
      </c>
      <c r="L428" t="str">
        <f>"641000 ОБЛ КУРГАНСКАЯ   Г КУРГАН   УЛ БУРОВА-ПЕТРОВА д. 5"</f>
        <v>641000 ОБЛ КУРГАНСКАЯ   Г КУРГАН   УЛ БУРОВА-ПЕТРОВА д. 5</v>
      </c>
      <c r="M428" t="str">
        <f t="shared" si="70"/>
        <v>2019-08-24</v>
      </c>
      <c r="N428" t="str">
        <f>"ООО УРАЛМЕДСТРОЙ"</f>
        <v>ООО УРАЛМЕДСТРОЙ</v>
      </c>
      <c r="O428" t="str">
        <f>"641304"</f>
        <v>641304</v>
      </c>
      <c r="P428" t="str">
        <f>"ОБЛ КУРГАНСКАЯ"</f>
        <v>ОБЛ КУРГАНСКАЯ</v>
      </c>
      <c r="Q428" t="str">
        <f>"Р-Н КЕТОВСКИЙ"</f>
        <v>Р-Н КЕТОВСКИЙ</v>
      </c>
      <c r="R428" t="str">
        <f>""</f>
        <v/>
      </c>
      <c r="S428" t="str">
        <f>"С КОЛТАШЕВО"</f>
        <v>С КОЛТАШЕВО</v>
      </c>
      <c r="T428" t="str">
        <f>"УЛ ТИТОВА"</f>
        <v>УЛ ТИТОВА</v>
      </c>
      <c r="U428" s="1" t="str">
        <f>"3"</f>
        <v>3</v>
      </c>
      <c r="V428" s="1" t="str">
        <f>""</f>
        <v/>
      </c>
      <c r="W428" s="1" t="str">
        <f>""</f>
        <v/>
      </c>
      <c r="X428" s="1" t="str">
        <f>""</f>
        <v/>
      </c>
      <c r="Y428" s="1" t="str">
        <f>""</f>
        <v/>
      </c>
      <c r="Z428" t="str">
        <f>""</f>
        <v/>
      </c>
      <c r="AA428" t="str">
        <f>"9630042150"</f>
        <v>9630042150</v>
      </c>
      <c r="AB428" t="str">
        <f>"9080091901"</f>
        <v>9080091901</v>
      </c>
      <c r="AC428" t="str">
        <f>"9630042150"</f>
        <v>9630042150</v>
      </c>
      <c r="AD428" t="str">
        <f>"9080091901"</f>
        <v>9080091901</v>
      </c>
      <c r="AE428" t="str">
        <f>""</f>
        <v/>
      </c>
    </row>
    <row r="429" spans="1:31" x14ac:dyDescent="0.45">
      <c r="A429" t="str">
        <f>"КОРОЛЬКОВА ВАЛЕНТИНА МИХАЙЛОВНА"</f>
        <v>КОРОЛЬКОВА ВАЛЕНТИНА МИХАЙЛОВНА</v>
      </c>
      <c r="B429" t="str">
        <f>"1955-09-03"</f>
        <v>1955-09-03</v>
      </c>
      <c r="C429" t="str">
        <f>"65 00 674938"</f>
        <v>65 00 674938</v>
      </c>
      <c r="D429" t="str">
        <f>"4854630201014696"</f>
        <v>4854630201014696</v>
      </c>
      <c r="E429" t="str">
        <f>"2021-04-30"</f>
        <v>2021-04-30</v>
      </c>
      <c r="F429" t="str">
        <f>"Q"</f>
        <v>Q</v>
      </c>
      <c r="G429" t="str">
        <f>"Q"</f>
        <v>Q</v>
      </c>
      <c r="H429" t="str">
        <f>"40817810116991464094"</f>
        <v>40817810116991464094</v>
      </c>
      <c r="I429" t="str">
        <f>"7003"</f>
        <v>7003</v>
      </c>
      <c r="J429" t="str">
        <f>"0730"</f>
        <v>0730</v>
      </c>
      <c r="K429" t="str">
        <f>"0.00"</f>
        <v>0.00</v>
      </c>
      <c r="L429" t="str">
        <f>"622000 ОБЛ СВЕРДЛОВСКАЯ   Г Н ТАГИЛ   УЛ КРАСНОАРМЕЙСКАЯ д. 1 кв. А"</f>
        <v>622000 ОБЛ СВЕРДЛОВСКАЯ   Г Н ТАГИЛ   УЛ КРАСНОАРМЕЙСКАЯ д. 1 кв. А</v>
      </c>
      <c r="M429" t="str">
        <f t="shared" si="70"/>
        <v>2019-08-24</v>
      </c>
      <c r="N429" t="str">
        <f>"ООО ЦТО ТОРГОВАЯ ТЕХНИКА"</f>
        <v>ООО ЦТО ТОРГОВАЯ ТЕХНИКА</v>
      </c>
      <c r="O429" t="str">
        <f>"622000"</f>
        <v>622000</v>
      </c>
      <c r="P429" t="str">
        <f>"ОБЛ СВЕРДЛОВСКАЯ"</f>
        <v>ОБЛ СВЕРДЛОВСКАЯ</v>
      </c>
      <c r="Q429" t="str">
        <f>""</f>
        <v/>
      </c>
      <c r="R429" t="str">
        <f>"Г Н ТАГИЛ"</f>
        <v>Г Н ТАГИЛ</v>
      </c>
      <c r="S429" t="str">
        <f>""</f>
        <v/>
      </c>
      <c r="T429" t="str">
        <f>"УЛ КОСМОНАВТОВ"</f>
        <v>УЛ КОСМОНАВТОВ</v>
      </c>
      <c r="U429" s="1" t="str">
        <f>"9"</f>
        <v>9</v>
      </c>
      <c r="V429" s="1" t="str">
        <f>""</f>
        <v/>
      </c>
      <c r="W429" s="1" t="str">
        <f>""</f>
        <v/>
      </c>
      <c r="X429" s="1" t="str">
        <f>""</f>
        <v/>
      </c>
      <c r="Y429" s="1" t="str">
        <f>"119"</f>
        <v>119</v>
      </c>
      <c r="Z429" t="str">
        <f>"+7 (3435) 417345"</f>
        <v>+7 (3435) 417345</v>
      </c>
      <c r="AA429" t="str">
        <f>"+7 (3435) 246564"</f>
        <v>+7 (3435) 246564</v>
      </c>
      <c r="AB429" t="str">
        <f>"+7 (912) 2819154"</f>
        <v>+7 (912) 2819154</v>
      </c>
      <c r="AC429" t="str">
        <f>"9122819154"</f>
        <v>9122819154</v>
      </c>
      <c r="AD429" t="str">
        <f>"9122819154"</f>
        <v>9122819154</v>
      </c>
      <c r="AE429" t="str">
        <f>"9122819154"</f>
        <v>9122819154</v>
      </c>
    </row>
    <row r="430" spans="1:31" x14ac:dyDescent="0.45">
      <c r="A430" t="str">
        <f>"ЧЕРНЫШЕВ КОНСТАНТИН МИХАЙЛОВИЧ"</f>
        <v>ЧЕРНЫШЕВ КОНСТАНТИН МИХАЙЛОВИЧ</v>
      </c>
      <c r="B430" t="str">
        <f>"1961-12-25"</f>
        <v>1961-12-25</v>
      </c>
      <c r="C430" t="str">
        <f>"74 07 621316"</f>
        <v>74 07 621316</v>
      </c>
      <c r="D430" t="str">
        <f>"4854630415958167"</f>
        <v>4854630415958167</v>
      </c>
      <c r="E430" t="str">
        <f>"2021-04-30"</f>
        <v>2021-04-30</v>
      </c>
      <c r="F430" t="str">
        <f>"+"</f>
        <v>+</v>
      </c>
      <c r="G430" t="str">
        <f>"+"</f>
        <v>+</v>
      </c>
      <c r="H430" t="str">
        <f>"40817810116992066145"</f>
        <v>40817810116992066145</v>
      </c>
      <c r="I430" t="str">
        <f>"8369"</f>
        <v>8369</v>
      </c>
      <c r="J430" t="str">
        <f>"0016"</f>
        <v>0016</v>
      </c>
      <c r="K430" t="str">
        <f>"50000.00"</f>
        <v>50000.00</v>
      </c>
      <c r="L430" t="str">
        <f>"629350 ОБЛ ТЮМЕНСКАЯ Р-Н ТАЗОВСКИЙ   П ТАЗОВСКИЙ УЛ НЕТ"</f>
        <v>629350 ОБЛ ТЮМЕНСКАЯ Р-Н ТАЗОВСКИЙ   П ТАЗОВСКИЙ УЛ НЕТ</v>
      </c>
      <c r="M430" t="str">
        <f t="shared" si="70"/>
        <v>2019-08-24</v>
      </c>
      <c r="N430" t="str">
        <f>"ФОНД"</f>
        <v>ФОНД</v>
      </c>
      <c r="O430" t="str">
        <f>"629350"</f>
        <v>629350</v>
      </c>
      <c r="P430" t="str">
        <f>"ОБЛ ТЮМЕНСКАЯ"</f>
        <v>ОБЛ ТЮМЕНСКАЯ</v>
      </c>
      <c r="Q430" t="str">
        <f>"Р-Н ТАЗОВСКИЙ"</f>
        <v>Р-Н ТАЗОВСКИЙ</v>
      </c>
      <c r="R430" t="str">
        <f>""</f>
        <v/>
      </c>
      <c r="S430" t="str">
        <f>"П ТАЗОВСКИЙ"</f>
        <v>П ТАЗОВСКИЙ</v>
      </c>
      <c r="T430" t="str">
        <f>"УЛ ПУШКИНА"</f>
        <v>УЛ ПУШКИНА</v>
      </c>
      <c r="U430" s="1" t="str">
        <f>"35"</f>
        <v>35</v>
      </c>
      <c r="V430" s="1" t="str">
        <f>""</f>
        <v/>
      </c>
      <c r="W430" s="1" t="str">
        <f>""</f>
        <v/>
      </c>
      <c r="X430" s="1" t="str">
        <f>""</f>
        <v/>
      </c>
      <c r="Y430" s="1" t="str">
        <f>"3"</f>
        <v>3</v>
      </c>
      <c r="Z430" t="str">
        <f>""</f>
        <v/>
      </c>
      <c r="AA430" t="str">
        <f>"3494022641"</f>
        <v>3494022641</v>
      </c>
      <c r="AB430" t="str">
        <f>"9088597250"</f>
        <v>9088597250</v>
      </c>
      <c r="AC430" t="str">
        <f>"3494022641"</f>
        <v>3494022641</v>
      </c>
      <c r="AD430" t="str">
        <f>"9088597250"</f>
        <v>9088597250</v>
      </c>
      <c r="AE430" t="str">
        <f>""</f>
        <v/>
      </c>
    </row>
    <row r="431" spans="1:31" x14ac:dyDescent="0.45">
      <c r="A431" t="str">
        <f>"ПАДЕНКО ЯНА ОЛЕГОВНА"</f>
        <v>ПАДЕНКО ЯНА ОЛЕГОВНА</v>
      </c>
      <c r="B431" t="str">
        <f>"1984-08-14"</f>
        <v>1984-08-14</v>
      </c>
      <c r="C431" t="str">
        <f>"67 11 181536"</f>
        <v>67 11 181536</v>
      </c>
      <c r="D431" t="str">
        <f>"4279016731975100"</f>
        <v>4279016731975100</v>
      </c>
      <c r="E431" t="str">
        <f>"2021-05-31"</f>
        <v>2021-05-31</v>
      </c>
      <c r="F431" t="str">
        <f>"+"</f>
        <v>+</v>
      </c>
      <c r="G431" t="str">
        <f>"+"</f>
        <v>+</v>
      </c>
      <c r="H431" t="str">
        <f>"40817810316992201441"</f>
        <v>40817810316992201441</v>
      </c>
      <c r="I431" t="str">
        <f>"5940"</f>
        <v>5940</v>
      </c>
      <c r="J431" t="str">
        <f>"0057"</f>
        <v>0057</v>
      </c>
      <c r="K431" t="str">
        <f>"25000.00"</f>
        <v>25000.00</v>
      </c>
      <c r="L431" t="str">
        <f>"628400 ОБЛ ТЮМЕНСКАЯ   Г СУРГУТ   УЛ ГУБКИНА д. 13А"</f>
        <v>628400 ОБЛ ТЮМЕНСКАЯ   Г СУРГУТ   УЛ ГУБКИНА д. 13А</v>
      </c>
      <c r="M431" t="str">
        <f t="shared" si="70"/>
        <v>2019-08-24</v>
      </c>
      <c r="N431" t="str">
        <f>"СУРГУТНЕФТЕГАЗ"</f>
        <v>СУРГУТНЕФТЕГАЗ</v>
      </c>
      <c r="O431" t="str">
        <f>"628400"</f>
        <v>628400</v>
      </c>
      <c r="P431" t="str">
        <f>"ОБЛ ТЮМЕНСКАЯ"</f>
        <v>ОБЛ ТЮМЕНСКАЯ</v>
      </c>
      <c r="Q431" t="str">
        <f>""</f>
        <v/>
      </c>
      <c r="R431" t="str">
        <f>"Г СУРГУТ"</f>
        <v>Г СУРГУТ</v>
      </c>
      <c r="S431" t="str">
        <f>""</f>
        <v/>
      </c>
      <c r="T431" t="str">
        <f>"УЛ ДЗЕРЖИНСКОГО"</f>
        <v>УЛ ДЗЕРЖИНСКОГО</v>
      </c>
      <c r="U431" s="1" t="str">
        <f>"13/1"</f>
        <v>13/1</v>
      </c>
      <c r="V431" s="1" t="str">
        <f>""</f>
        <v/>
      </c>
      <c r="W431" s="1" t="str">
        <f>""</f>
        <v/>
      </c>
      <c r="X431" s="1" t="str">
        <f>""</f>
        <v/>
      </c>
      <c r="Y431" s="1" t="str">
        <f>"84"</f>
        <v>84</v>
      </c>
      <c r="Z431" t="str">
        <f>""</f>
        <v/>
      </c>
      <c r="AA431" t="str">
        <f>"9226535513"</f>
        <v>9226535513</v>
      </c>
      <c r="AB431" t="str">
        <f>"9222541915"</f>
        <v>9222541915</v>
      </c>
      <c r="AC431" t="str">
        <f>"9226535513"</f>
        <v>9226535513</v>
      </c>
      <c r="AD431" t="str">
        <f>"9222541915"</f>
        <v>9222541915</v>
      </c>
      <c r="AE431" t="str">
        <f>""</f>
        <v/>
      </c>
    </row>
    <row r="432" spans="1:31" x14ac:dyDescent="0.45">
      <c r="A432" t="str">
        <f>"САУШКИНА НАТАЛЬЯ АЛЕКСАНДРОВНА"</f>
        <v>САУШКИНА НАТАЛЬЯ АЛЕКСАНДРОВНА</v>
      </c>
      <c r="B432" t="str">
        <f>"1977-06-08"</f>
        <v>1977-06-08</v>
      </c>
      <c r="C432" t="str">
        <f>"65 16 370294"</f>
        <v>65 16 370294</v>
      </c>
      <c r="D432" t="str">
        <f>"4854630396239629"</f>
        <v>4854630396239629</v>
      </c>
      <c r="E432" t="str">
        <f>"2021-04-30"</f>
        <v>2021-04-30</v>
      </c>
      <c r="F432" t="str">
        <f>"+"</f>
        <v>+</v>
      </c>
      <c r="G432" t="str">
        <f>"3"</f>
        <v>3</v>
      </c>
      <c r="H432" t="str">
        <f>"40817810016991464107"</f>
        <v>40817810016991464107</v>
      </c>
      <c r="I432" t="str">
        <f>"7003"</f>
        <v>7003</v>
      </c>
      <c r="J432" t="str">
        <f>"0650"</f>
        <v>0650</v>
      </c>
      <c r="K432" t="str">
        <f>"110000.00"</f>
        <v>110000.00</v>
      </c>
      <c r="L432" t="str">
        <f>"620000 ОБЛ СВЕРДЛОВСКАЯ     Г БОГДАНОВИЧ УЛ ГАГАРИНА д. 2А"</f>
        <v>620000 ОБЛ СВЕРДЛОВСКАЯ     Г БОГДАНОВИЧ УЛ ГАГАРИНА д. 2А</v>
      </c>
      <c r="M432" t="str">
        <f t="shared" si="70"/>
        <v>2019-08-24</v>
      </c>
      <c r="N432" t="str">
        <f>"БОГДАНОВИЧСКОЕ ОАО ОГНЕУПОРЫ"</f>
        <v>БОГДАНОВИЧСКОЕ ОАО ОГНЕУПОРЫ</v>
      </c>
      <c r="O432" t="str">
        <f>"620000"</f>
        <v>620000</v>
      </c>
      <c r="P432" t="str">
        <f>"ОБЛ СВЕРДЛОВСКАЯ"</f>
        <v>ОБЛ СВЕРДЛОВСКАЯ</v>
      </c>
      <c r="Q432" t="str">
        <f>""</f>
        <v/>
      </c>
      <c r="R432" t="str">
        <f>""</f>
        <v/>
      </c>
      <c r="S432" t="str">
        <f>"Г БОГДАНОВИЧ"</f>
        <v>Г БОГДАНОВИЧ</v>
      </c>
      <c r="T432" t="str">
        <f>"УЛ МИРА"</f>
        <v>УЛ МИРА</v>
      </c>
      <c r="U432" s="1" t="str">
        <f>"3"</f>
        <v>3</v>
      </c>
      <c r="V432" s="1" t="str">
        <f>""</f>
        <v/>
      </c>
      <c r="W432" s="1" t="str">
        <f>""</f>
        <v/>
      </c>
      <c r="X432" s="1" t="str">
        <f>""</f>
        <v/>
      </c>
      <c r="Y432" s="1" t="str">
        <f>"14"</f>
        <v>14</v>
      </c>
      <c r="Z432" t="str">
        <f>""</f>
        <v/>
      </c>
      <c r="AA432" t="str">
        <f>"9049802347"</f>
        <v>9049802347</v>
      </c>
      <c r="AB432" t="str">
        <f>"9049802347"</f>
        <v>9049802347</v>
      </c>
      <c r="AC432" t="str">
        <f>"9505416204"</f>
        <v>9505416204</v>
      </c>
      <c r="AD432" t="str">
        <f>"9049802347"</f>
        <v>9049802347</v>
      </c>
      <c r="AE432" t="str">
        <f>""</f>
        <v/>
      </c>
    </row>
    <row r="433" spans="1:31" x14ac:dyDescent="0.45">
      <c r="A433" t="str">
        <f>"КРАВЧИК ЕКАТЕРИНА АНДРЕЕВНА"</f>
        <v>КРАВЧИК ЕКАТЕРИНА АНДРЕЕВНА</v>
      </c>
      <c r="B433" t="str">
        <f>"1988-07-22"</f>
        <v>1988-07-22</v>
      </c>
      <c r="C433" t="str">
        <f>"65 08 596627"</f>
        <v>65 08 596627</v>
      </c>
      <c r="D433" t="str">
        <f>"4854630351426583"</f>
        <v>4854630351426583</v>
      </c>
      <c r="E433" t="str">
        <f>"2021-05-31"</f>
        <v>2021-05-31</v>
      </c>
      <c r="F433" t="str">
        <f>"+"</f>
        <v>+</v>
      </c>
      <c r="G433" t="str">
        <f>"+"</f>
        <v>+</v>
      </c>
      <c r="H433" t="str">
        <f>"40817810316991464108"</f>
        <v>40817810316991464108</v>
      </c>
      <c r="I433" t="str">
        <f>"7003"</f>
        <v>7003</v>
      </c>
      <c r="J433" t="str">
        <f>"0560"</f>
        <v>0560</v>
      </c>
      <c r="K433" t="str">
        <f>"13000.00"</f>
        <v>13000.00</v>
      </c>
      <c r="L433" t="str">
        <f>"620000 ОБЛ СВЕРДЛОВСКАЯ   Г КУШВА   УЛ КОММУНЫ д. 37"</f>
        <v>620000 ОБЛ СВЕРДЛОВСКАЯ   Г КУШВА   УЛ КОММУНЫ д. 37</v>
      </c>
      <c r="M433" t="str">
        <f t="shared" si="70"/>
        <v>2019-08-24</v>
      </c>
      <c r="N433" t="str">
        <f>"ИП ЮДИНА"</f>
        <v>ИП ЮДИНА</v>
      </c>
      <c r="O433" t="str">
        <f>"620000"</f>
        <v>620000</v>
      </c>
      <c r="P433" t="str">
        <f>"ОБЛ СВЕРДЛОВСКАЯ"</f>
        <v>ОБЛ СВЕРДЛОВСКАЯ</v>
      </c>
      <c r="Q433" t="str">
        <f>""</f>
        <v/>
      </c>
      <c r="R433" t="str">
        <f>"Г КУШВА"</f>
        <v>Г КУШВА</v>
      </c>
      <c r="S433" t="str">
        <f>""</f>
        <v/>
      </c>
      <c r="T433" t="str">
        <f>"УЛ СТАНЦИОННАЯ"</f>
        <v>УЛ СТАНЦИОННАЯ</v>
      </c>
      <c r="U433" s="1" t="str">
        <f>"82"</f>
        <v>82</v>
      </c>
      <c r="V433" s="1" t="str">
        <f>"А"</f>
        <v>А</v>
      </c>
      <c r="W433" s="1" t="str">
        <f>""</f>
        <v/>
      </c>
      <c r="X433" s="1" t="str">
        <f>""</f>
        <v/>
      </c>
      <c r="Y433" s="1" t="str">
        <f>"29"</f>
        <v>29</v>
      </c>
      <c r="Z433" t="str">
        <f>"9655238768"</f>
        <v>9655238768</v>
      </c>
      <c r="AA433" t="str">
        <f>"9045411807"</f>
        <v>9045411807</v>
      </c>
      <c r="AB433" t="str">
        <f>"9045411807"</f>
        <v>9045411807</v>
      </c>
      <c r="AC433" t="str">
        <f>"9045411807"</f>
        <v>9045411807</v>
      </c>
      <c r="AD433" t="str">
        <f>"9045411807"</f>
        <v>9045411807</v>
      </c>
      <c r="AE433" t="str">
        <f>"9655238768"</f>
        <v>9655238768</v>
      </c>
    </row>
    <row r="434" spans="1:31" x14ac:dyDescent="0.45">
      <c r="A434" t="str">
        <f>"НОВИКОВА ИННА ВЛАДИМИРОВНА"</f>
        <v>НОВИКОВА ИННА ВЛАДИМИРОВНА</v>
      </c>
      <c r="B434" t="str">
        <f>"1970-08-12"</f>
        <v>1970-08-12</v>
      </c>
      <c r="C434" t="str">
        <f>"71 15 167209"</f>
        <v>71 15 167209</v>
      </c>
      <c r="D434" t="str">
        <f>"4279016748392398"</f>
        <v>4279016748392398</v>
      </c>
      <c r="E434" t="str">
        <f>"2021-05-31"</f>
        <v>2021-05-31</v>
      </c>
      <c r="F434" t="str">
        <f>"+"</f>
        <v>+</v>
      </c>
      <c r="G434" t="str">
        <f>"+"</f>
        <v>+</v>
      </c>
      <c r="H434" t="str">
        <f>"40817810316992200507"</f>
        <v>40817810316992200507</v>
      </c>
      <c r="I434" t="str">
        <f>"8647"</f>
        <v>8647</v>
      </c>
      <c r="J434" t="str">
        <f>"0189"</f>
        <v>0189</v>
      </c>
      <c r="K434" t="str">
        <f>"40000.00"</f>
        <v>40000.00</v>
      </c>
      <c r="L434" t="str">
        <f>"627750 ОБЛ ТЮМЕНСКАЯ   Г ИШИМ   УЛ К. МАРКСА д. 4А"</f>
        <v>627750 ОБЛ ТЮМЕНСКАЯ   Г ИШИМ   УЛ К. МАРКСА д. 4А</v>
      </c>
      <c r="M434" t="str">
        <f t="shared" si="70"/>
        <v>2019-08-24</v>
      </c>
      <c r="N434" t="str">
        <f>"ООО ИШИСКИЙ ВВЗ"</f>
        <v>ООО ИШИСКИЙ ВВЗ</v>
      </c>
      <c r="O434" t="str">
        <f>"627750"</f>
        <v>627750</v>
      </c>
      <c r="P434" t="str">
        <f>"ОБЛ ТЮМЕНСКАЯ"</f>
        <v>ОБЛ ТЮМЕНСКАЯ</v>
      </c>
      <c r="Q434" t="str">
        <f>"Р-Н ИШИМСКИЙ"</f>
        <v>Р-Н ИШИМСКИЙ</v>
      </c>
      <c r="R434" t="str">
        <f>""</f>
        <v/>
      </c>
      <c r="S434" t="str">
        <f>"С СТРЕХНИНО"</f>
        <v>С СТРЕХНИНО</v>
      </c>
      <c r="T434" t="str">
        <f>"УЛ СТАХАНОВА"</f>
        <v>УЛ СТАХАНОВА</v>
      </c>
      <c r="U434" s="1" t="str">
        <f>"2А"</f>
        <v>2А</v>
      </c>
      <c r="V434" s="1" t="str">
        <f>""</f>
        <v/>
      </c>
      <c r="W434" s="1" t="str">
        <f>""</f>
        <v/>
      </c>
      <c r="X434" s="1" t="str">
        <f>""</f>
        <v/>
      </c>
      <c r="Y434" s="1" t="str">
        <f>"41"</f>
        <v>41</v>
      </c>
      <c r="Z434" t="str">
        <f>"9123919243"</f>
        <v>9123919243</v>
      </c>
      <c r="AA434" t="str">
        <f>"9829101511"</f>
        <v>9829101511</v>
      </c>
      <c r="AB434" t="str">
        <f>"9123919243"</f>
        <v>9123919243</v>
      </c>
      <c r="AC434" t="str">
        <f>"9829101511"</f>
        <v>9829101511</v>
      </c>
      <c r="AD434" t="str">
        <f>"9123919243"</f>
        <v>9123919243</v>
      </c>
      <c r="AE434" t="str">
        <f>"9123919243"</f>
        <v>9123919243</v>
      </c>
    </row>
    <row r="435" spans="1:31" x14ac:dyDescent="0.45">
      <c r="A435" t="str">
        <f>"МЯКОТИНА ЛЮДМИЛА СЕМЕНОВНА"</f>
        <v>МЯКОТИНА ЛЮДМИЛА СЕМЕНОВНА</v>
      </c>
      <c r="B435" t="str">
        <f>"1958-07-30"</f>
        <v>1958-07-30</v>
      </c>
      <c r="C435" t="str">
        <f>"75 03 744430"</f>
        <v>75 03 744430</v>
      </c>
      <c r="D435" t="str">
        <f>"4854630319817709"</f>
        <v>4854630319817709</v>
      </c>
      <c r="E435" t="str">
        <f>"2020-11-30"</f>
        <v>2020-11-30</v>
      </c>
      <c r="F435" t="str">
        <f>"+"</f>
        <v>+</v>
      </c>
      <c r="G435" t="str">
        <f>"+"</f>
        <v>+</v>
      </c>
      <c r="H435" t="str">
        <f>"40817810616991464109"</f>
        <v>40817810616991464109</v>
      </c>
      <c r="I435" t="str">
        <f>"8597"</f>
        <v>8597</v>
      </c>
      <c r="J435" t="str">
        <f>"0384"</f>
        <v>0384</v>
      </c>
      <c r="K435" t="str">
        <f>"100000.00"</f>
        <v>100000.00</v>
      </c>
      <c r="L435" t="str">
        <f>"457350 ОБЛ ЧЕЛЯБИНСКАЯ Р-Н КАРТАЛИНСКИЙ Г КАРТАЛЫ   УЛ СЛАВЫ д. 0 офис 0 кв. 0"</f>
        <v>457350 ОБЛ ЧЕЛЯБИНСКАЯ Р-Н КАРТАЛИНСКИЙ Г КАРТАЛЫ   УЛ СЛАВЫ д. 0 офис 0 кв. 0</v>
      </c>
      <c r="M435" t="str">
        <f t="shared" si="70"/>
        <v>2019-08-24</v>
      </c>
      <c r="N435" t="str">
        <f>"ПЕНСИОННЫЙ ФОНД РФ"</f>
        <v>ПЕНСИОННЫЙ ФОНД РФ</v>
      </c>
      <c r="O435" t="str">
        <f>"457350"</f>
        <v>457350</v>
      </c>
      <c r="P435" t="str">
        <f>"ОБЛ ЧЕЛЯБИНСКАЯ"</f>
        <v>ОБЛ ЧЕЛЯБИНСКАЯ</v>
      </c>
      <c r="Q435" t="str">
        <f>"Р-Н КАРТАЛИНСКИЙ"</f>
        <v>Р-Н КАРТАЛИНСКИЙ</v>
      </c>
      <c r="R435" t="str">
        <f>""</f>
        <v/>
      </c>
      <c r="S435" t="str">
        <f>"П ОЗЕРНЫЙ"</f>
        <v>П ОЗЕРНЫЙ</v>
      </c>
      <c r="T435" t="str">
        <f>"УЛ ЦЕНТРАЛЬНАЯ"</f>
        <v>УЛ ЦЕНТРАЛЬНАЯ</v>
      </c>
      <c r="U435" s="1" t="str">
        <f>"2"</f>
        <v>2</v>
      </c>
      <c r="V435" s="1" t="str">
        <f>""</f>
        <v/>
      </c>
      <c r="W435" s="1" t="str">
        <f>""</f>
        <v/>
      </c>
      <c r="X435" s="1" t="str">
        <f>"0"</f>
        <v>0</v>
      </c>
      <c r="Y435" s="1" t="str">
        <f>"0"</f>
        <v>0</v>
      </c>
      <c r="Z435" t="str">
        <f>""</f>
        <v/>
      </c>
      <c r="AA435" t="str">
        <f>"9193538782"</f>
        <v>9193538782</v>
      </c>
      <c r="AB435" t="str">
        <f>"9193538782"</f>
        <v>9193538782</v>
      </c>
      <c r="AC435" t="str">
        <f>"9193538782"</f>
        <v>9193538782</v>
      </c>
      <c r="AD435" t="str">
        <f>"9193538782"</f>
        <v>9193538782</v>
      </c>
      <c r="AE435" t="str">
        <f>""</f>
        <v/>
      </c>
    </row>
    <row r="436" spans="1:31" x14ac:dyDescent="0.45">
      <c r="A436" t="str">
        <f>"АРАПОВ ЮРИЙ АНДРЕЕВИЧ"</f>
        <v>АРАПОВ ЮРИЙ АНДРЕЕВИЧ</v>
      </c>
      <c r="B436" t="str">
        <f>"1986-11-21"</f>
        <v>1986-11-21</v>
      </c>
      <c r="C436" t="str">
        <f>"65 07 039343"</f>
        <v>65 07 039343</v>
      </c>
      <c r="D436" t="str">
        <f>"4854630196844115"</f>
        <v>4854630196844115</v>
      </c>
      <c r="E436" t="str">
        <f>"2021-04-30"</f>
        <v>2021-04-30</v>
      </c>
      <c r="F436" t="str">
        <f>"Y"</f>
        <v>Y</v>
      </c>
      <c r="G436" t="str">
        <f>"3"</f>
        <v>3</v>
      </c>
      <c r="H436" t="str">
        <f>"40817810116991464120"</f>
        <v>40817810116991464120</v>
      </c>
      <c r="I436" t="str">
        <f>"7003"</f>
        <v>7003</v>
      </c>
      <c r="J436" t="str">
        <f>"0898"</f>
        <v>0898</v>
      </c>
      <c r="K436" t="str">
        <f>"245000.00"</f>
        <v>245000.00</v>
      </c>
      <c r="L436" t="str">
        <f>"620000 ОБЛ СВЕРДЛОВСКАЯ   Г ЕКАТЕРИНБУРГ   УЛ БАЖОВА д. 193 офис 404"</f>
        <v>620000 ОБЛ СВЕРДЛОВСКАЯ   Г ЕКАТЕРИНБУРГ   УЛ БАЖОВА д. 193 офис 404</v>
      </c>
      <c r="M436" t="str">
        <f t="shared" si="70"/>
        <v>2019-08-24</v>
      </c>
      <c r="N436" t="s">
        <v>48</v>
      </c>
      <c r="O436" t="str">
        <f>"620000"</f>
        <v>620000</v>
      </c>
      <c r="P436" t="str">
        <f>"ОБЛ СВЕРДЛОВСКАЯ"</f>
        <v>ОБЛ СВЕРДЛОВСКАЯ</v>
      </c>
      <c r="Q436" t="str">
        <f>""</f>
        <v/>
      </c>
      <c r="R436" t="str">
        <f>"Г ЕКАТЕРИНБУРГ"</f>
        <v>Г ЕКАТЕРИНБУРГ</v>
      </c>
      <c r="S436" t="str">
        <f>""</f>
        <v/>
      </c>
      <c r="T436" t="str">
        <f>"УЛ ВОЛГОГРАДСКАЯ"</f>
        <v>УЛ ВОЛГОГРАДСКАЯ</v>
      </c>
      <c r="U436" s="1" t="str">
        <f>"43"</f>
        <v>43</v>
      </c>
      <c r="V436" s="1" t="str">
        <f>""</f>
        <v/>
      </c>
      <c r="W436" s="1" t="str">
        <f>""</f>
        <v/>
      </c>
      <c r="X436" s="1" t="str">
        <f>""</f>
        <v/>
      </c>
      <c r="Y436" s="1" t="str">
        <f>"48"</f>
        <v>48</v>
      </c>
      <c r="Z436" t="str">
        <f>""</f>
        <v/>
      </c>
      <c r="AA436" t="str">
        <f>"9827491140"</f>
        <v>9827491140</v>
      </c>
      <c r="AB436" t="str">
        <f>"9821084075"</f>
        <v>9821084075</v>
      </c>
      <c r="AC436" t="str">
        <f>"9827491140"</f>
        <v>9827491140</v>
      </c>
      <c r="AD436" t="str">
        <f>"9827491140"</f>
        <v>9827491140</v>
      </c>
      <c r="AE436" t="str">
        <f>""</f>
        <v/>
      </c>
    </row>
    <row r="437" spans="1:31" x14ac:dyDescent="0.45">
      <c r="A437" t="str">
        <f>"КУЗНЕЦОВА ЛАРИСА ЕВГЕНЬЕВНА"</f>
        <v>КУЗНЕЦОВА ЛАРИСА ЕВГЕНЬЕВНА</v>
      </c>
      <c r="B437" t="str">
        <f>"1955-07-22"</f>
        <v>1955-07-22</v>
      </c>
      <c r="C437" t="str">
        <f>"80 03 281014"</f>
        <v>80 03 281014</v>
      </c>
      <c r="D437" t="str">
        <f>"4854630381542862"</f>
        <v>4854630381542862</v>
      </c>
      <c r="E437" t="str">
        <f>"2021-04-30"</f>
        <v>2021-04-30</v>
      </c>
      <c r="F437" t="str">
        <f>"+"</f>
        <v>+</v>
      </c>
      <c r="G437" t="str">
        <f>"+"</f>
        <v>+</v>
      </c>
      <c r="H437" t="str">
        <f>"40817810116991427824"</f>
        <v>40817810116991427824</v>
      </c>
      <c r="I437" t="str">
        <f>"8598"</f>
        <v>8598</v>
      </c>
      <c r="J437" t="str">
        <f>"0168"</f>
        <v>0168</v>
      </c>
      <c r="K437" t="str">
        <f>"10000.00"</f>
        <v>10000.00</v>
      </c>
      <c r="L437" t="str">
        <f>"450000 РЕСП БАШКОРТОСТАН   Г УФА   УЛ КОМСОМОЛЬСКАЯ д. 138 кв. 68"</f>
        <v>450000 РЕСП БАШКОРТОСТАН   Г УФА   УЛ КОМСОМОЛЬСКАЯ д. 138 кв. 68</v>
      </c>
      <c r="M437" t="str">
        <f t="shared" si="70"/>
        <v>2019-08-24</v>
      </c>
      <c r="N437" t="str">
        <f>"ПФР"</f>
        <v>ПФР</v>
      </c>
      <c r="O437" t="str">
        <f>"450000"</f>
        <v>450000</v>
      </c>
      <c r="P437" t="str">
        <f>"РЕСП БАШКОРТОСТАН"</f>
        <v>РЕСП БАШКОРТОСТАН</v>
      </c>
      <c r="Q437" t="str">
        <f>""</f>
        <v/>
      </c>
      <c r="R437" t="str">
        <f>"Г УФА"</f>
        <v>Г УФА</v>
      </c>
      <c r="S437" t="str">
        <f>""</f>
        <v/>
      </c>
      <c r="T437" t="str">
        <f>"УЛ КОМСОМОЛЬСКАЯ"</f>
        <v>УЛ КОМСОМОЛЬСКАЯ</v>
      </c>
      <c r="U437" s="1" t="str">
        <f>"138"</f>
        <v>138</v>
      </c>
      <c r="V437" s="1" t="str">
        <f>""</f>
        <v/>
      </c>
      <c r="W437" s="1" t="str">
        <f>""</f>
        <v/>
      </c>
      <c r="X437" s="1" t="str">
        <f>""</f>
        <v/>
      </c>
      <c r="Y437" s="1" t="str">
        <f>"68"</f>
        <v>68</v>
      </c>
      <c r="Z437" t="str">
        <f>"245811"</f>
        <v>245811</v>
      </c>
      <c r="AA437" t="str">
        <f>"3472487609"</f>
        <v>3472487609</v>
      </c>
      <c r="AB437" t="str">
        <f>"9173824016"</f>
        <v>9173824016</v>
      </c>
      <c r="AC437" t="str">
        <f>"3472487609"</f>
        <v>3472487609</v>
      </c>
      <c r="AD437" t="str">
        <f>"9173824016"</f>
        <v>9173824016</v>
      </c>
      <c r="AE437" t="str">
        <f>""</f>
        <v/>
      </c>
    </row>
    <row r="438" spans="1:31" x14ac:dyDescent="0.45">
      <c r="A438" t="str">
        <f>"САТЫЛГАНОВ БАХЫТЖАН УСИПБАЕВИЧ"</f>
        <v>САТЫЛГАНОВ БАХЫТЖАН УСИПБАЕВИЧ</v>
      </c>
      <c r="B438" t="str">
        <f>"1962-03-28"</f>
        <v>1962-03-28</v>
      </c>
      <c r="C438" t="str">
        <f>"67 06 671777"</f>
        <v>67 06 671777</v>
      </c>
      <c r="D438" t="str">
        <f>"4854630195823771"</f>
        <v>4854630195823771</v>
      </c>
      <c r="E438" t="str">
        <f>"2020-11-30"</f>
        <v>2020-11-30</v>
      </c>
      <c r="F438" t="str">
        <f>"Q"</f>
        <v>Q</v>
      </c>
      <c r="G438" t="str">
        <f>"Q"</f>
        <v>Q</v>
      </c>
      <c r="H438" t="str">
        <f>"40817810167720715595"</f>
        <v>40817810167720715595</v>
      </c>
      <c r="I438" t="str">
        <f>"5940"</f>
        <v>5940</v>
      </c>
      <c r="J438" t="str">
        <f>"0081"</f>
        <v>0081</v>
      </c>
      <c r="K438" t="str">
        <f>"0.00"</f>
        <v>0.00</v>
      </c>
      <c r="L438" t="str">
        <f>"928400 АО ХАНТЫ-МАНСИЙСКИЙ АВТОНОМНЫЙ ОКРУГ-ЮГРА   Г СУРГУТ   УЛ МАЙСКАЯ д. 8/1"</f>
        <v>928400 АО ХАНТЫ-МАНСИЙСКИЙ АВТОНОМНЫЙ ОКРУГ-ЮГРА   Г СУРГУТ   УЛ МАЙСКАЯ д. 8/1</v>
      </c>
      <c r="M438" t="str">
        <f t="shared" si="70"/>
        <v>2019-08-24</v>
      </c>
      <c r="N438" t="str">
        <f>"ПЕНСИОНЕР"</f>
        <v>ПЕНСИОНЕР</v>
      </c>
      <c r="O438" t="str">
        <f>"628400"</f>
        <v>628400</v>
      </c>
      <c r="P438" t="str">
        <f>"ОБЛ ТЮМЕНСКАЯ"</f>
        <v>ОБЛ ТЮМЕНСКАЯ</v>
      </c>
      <c r="Q438" t="str">
        <f>""</f>
        <v/>
      </c>
      <c r="R438" t="str">
        <f>"Г СУРГУТ"</f>
        <v>Г СУРГУТ</v>
      </c>
      <c r="S438" t="str">
        <f>""</f>
        <v/>
      </c>
      <c r="T438" t="str">
        <f>"УЛ ГЕНЕРАЛА ИВАНОВА"</f>
        <v>УЛ ГЕНЕРАЛА ИВАНОВА</v>
      </c>
      <c r="U438" s="1" t="str">
        <f>"7"</f>
        <v>7</v>
      </c>
      <c r="V438" s="1" t="str">
        <f>""</f>
        <v/>
      </c>
      <c r="W438" s="1" t="str">
        <f>""</f>
        <v/>
      </c>
      <c r="X438" s="1" t="str">
        <f>""</f>
        <v/>
      </c>
      <c r="Y438" s="1" t="str">
        <f>"22"</f>
        <v>22</v>
      </c>
      <c r="Z438" t="str">
        <f>"3462351770"</f>
        <v>3462351770</v>
      </c>
      <c r="AA438" t="str">
        <f>"3462261486"</f>
        <v>3462261486</v>
      </c>
      <c r="AB438" t="str">
        <f>"9129080097"</f>
        <v>9129080097</v>
      </c>
      <c r="AC438" t="str">
        <f>"9128147727"</f>
        <v>9128147727</v>
      </c>
      <c r="AD438" t="str">
        <f>"9129080097"</f>
        <v>9129080097</v>
      </c>
      <c r="AE438" t="str">
        <f>"9128147727"</f>
        <v>9128147727</v>
      </c>
    </row>
    <row r="439" spans="1:31" x14ac:dyDescent="0.45">
      <c r="A439" t="str">
        <f>"БОЙКО НИКОЛАЙ АЛЕКСАНДРОВИЧ"</f>
        <v>БОЙКО НИКОЛАЙ АЛЕКСАНДРОВИЧ</v>
      </c>
      <c r="B439" t="str">
        <f>"1982-11-25"</f>
        <v>1982-11-25</v>
      </c>
      <c r="C439" t="str">
        <f>"75 03 610454"</f>
        <v>75 03 610454</v>
      </c>
      <c r="D439" t="str">
        <f>"5313100478127052"</f>
        <v>5313100478127052</v>
      </c>
      <c r="E439" t="str">
        <f>"2021-03-31"</f>
        <v>2021-03-31</v>
      </c>
      <c r="F439" t="str">
        <f>"+"</f>
        <v>+</v>
      </c>
      <c r="G439" t="str">
        <f>"+"</f>
        <v>+</v>
      </c>
      <c r="H439" t="str">
        <f>"40817810616991427829"</f>
        <v>40817810616991427829</v>
      </c>
      <c r="I439" t="str">
        <f>"8597"</f>
        <v>8597</v>
      </c>
      <c r="J439" t="str">
        <f>"0449"</f>
        <v>0449</v>
      </c>
      <c r="K439" t="str">
        <f>"37000.00"</f>
        <v>37000.00</v>
      </c>
      <c r="L439" t="str">
        <f>"454000 ОБЛ ЧЕЛЯБИНСКАЯ   Г ЧЕЛЯБИНСК   УЛ ТРОИЦКИЙ ТРАКТ д. 16 стр. А"</f>
        <v>454000 ОБЛ ЧЕЛЯБИНСКАЯ   Г ЧЕЛЯБИНСК   УЛ ТРОИЦКИЙ ТРАКТ д. 16 стр. А</v>
      </c>
      <c r="M439" t="str">
        <f t="shared" si="70"/>
        <v>2019-08-24</v>
      </c>
      <c r="N439" t="str">
        <f>"РДЖ"</f>
        <v>РДЖ</v>
      </c>
      <c r="O439" t="str">
        <f>"454000"</f>
        <v>454000</v>
      </c>
      <c r="P439" t="str">
        <f>"ОБЛ ЧЕЛЯБИНСКАЯ"</f>
        <v>ОБЛ ЧЕЛЯБИНСКАЯ</v>
      </c>
      <c r="Q439" t="str">
        <f>""</f>
        <v/>
      </c>
      <c r="R439" t="str">
        <f>"Г ТРОИЦК"</f>
        <v>Г ТРОИЦК</v>
      </c>
      <c r="S439" t="str">
        <f>""</f>
        <v/>
      </c>
      <c r="T439" t="str">
        <f>"УЛ КИРОВА"</f>
        <v>УЛ КИРОВА</v>
      </c>
      <c r="U439" s="1" t="str">
        <f>"39"</f>
        <v>39</v>
      </c>
      <c r="V439" s="1" t="str">
        <f>""</f>
        <v/>
      </c>
      <c r="W439" s="1" t="str">
        <f>""</f>
        <v/>
      </c>
      <c r="X439" s="1" t="str">
        <f>""</f>
        <v/>
      </c>
      <c r="Y439" s="1" t="str">
        <f>"34"</f>
        <v>34</v>
      </c>
      <c r="Z439" t="str">
        <f>""</f>
        <v/>
      </c>
      <c r="AA439" t="str">
        <f>"9227235660"</f>
        <v>9227235660</v>
      </c>
      <c r="AB439" t="str">
        <f>"9227235660"</f>
        <v>9227235660</v>
      </c>
      <c r="AC439" t="str">
        <f>"9227235660"</f>
        <v>9227235660</v>
      </c>
      <c r="AD439" t="str">
        <f>"9227235660"</f>
        <v>9227235660</v>
      </c>
      <c r="AE439" t="str">
        <f>""</f>
        <v/>
      </c>
    </row>
    <row r="440" spans="1:31" x14ac:dyDescent="0.45">
      <c r="A440" t="str">
        <f>"ПОПЦОВА НАТАЛЬЯ АЛЕКСЕЕВНА"</f>
        <v>ПОПЦОВА НАТАЛЬЯ АЛЕКСЕЕВНА</v>
      </c>
      <c r="B440" t="str">
        <f>"1971-06-23"</f>
        <v>1971-06-23</v>
      </c>
      <c r="C440" t="str">
        <f>"65 16 259745"</f>
        <v>65 16 259745</v>
      </c>
      <c r="D440" t="str">
        <f>"4854630358927534"</f>
        <v>4854630358927534</v>
      </c>
      <c r="E440" t="str">
        <f>"2021-05-31"</f>
        <v>2021-05-31</v>
      </c>
      <c r="F440" t="str">
        <f>"Q"</f>
        <v>Q</v>
      </c>
      <c r="G440" t="str">
        <f>"Q"</f>
        <v>Q</v>
      </c>
      <c r="H440" t="str">
        <f>"40817810416991464150"</f>
        <v>40817810416991464150</v>
      </c>
      <c r="I440" t="str">
        <f>"7003"</f>
        <v>7003</v>
      </c>
      <c r="J440" t="str">
        <f>"0457"</f>
        <v>0457</v>
      </c>
      <c r="K440" t="str">
        <f>"0.00"</f>
        <v>0.00</v>
      </c>
      <c r="L440" t="str">
        <f>"620000 ОБЛ СВЕРДЛОВСКАЯ   Г ЕКАТЕРИНБУРГ   УЛ МАЛЫШЕВА д. 30"</f>
        <v>620000 ОБЛ СВЕРДЛОВСКАЯ   Г ЕКАТЕРИНБУРГ   УЛ МАЛЫШЕВА д. 30</v>
      </c>
      <c r="M440" t="str">
        <f t="shared" si="70"/>
        <v>2019-08-24</v>
      </c>
      <c r="N440" t="str">
        <f>"ПАО УРБИР"</f>
        <v>ПАО УРБИР</v>
      </c>
      <c r="O440" t="str">
        <f>"620000"</f>
        <v>620000</v>
      </c>
      <c r="P440" t="str">
        <f>"ОБЛ СВЕРДЛОВСКАЯ"</f>
        <v>ОБЛ СВЕРДЛОВСКАЯ</v>
      </c>
      <c r="Q440" t="str">
        <f>""</f>
        <v/>
      </c>
      <c r="R440" t="str">
        <f>"Г ЕКАТЕРИНБУРГ"</f>
        <v>Г ЕКАТЕРИНБУРГ</v>
      </c>
      <c r="S440" t="str">
        <f>""</f>
        <v/>
      </c>
      <c r="T440" t="str">
        <f>"УЛ МРАМОРСКАЯ"</f>
        <v>УЛ МРАМОРСКАЯ</v>
      </c>
      <c r="U440" s="1" t="str">
        <f>"3"</f>
        <v>3</v>
      </c>
      <c r="V440" s="1" t="str">
        <f>""</f>
        <v/>
      </c>
      <c r="W440" s="1" t="str">
        <f>""</f>
        <v/>
      </c>
      <c r="X440" s="1" t="str">
        <f>""</f>
        <v/>
      </c>
      <c r="Y440" s="1" t="str">
        <f>""</f>
        <v/>
      </c>
      <c r="Z440" t="str">
        <f>"9043823209"</f>
        <v>9043823209</v>
      </c>
      <c r="AA440" t="str">
        <f>"9043823209"</f>
        <v>9043823209</v>
      </c>
      <c r="AB440" t="str">
        <f>"9043823209"</f>
        <v>9043823209</v>
      </c>
      <c r="AC440" t="str">
        <f>"9043823209"</f>
        <v>9043823209</v>
      </c>
      <c r="AD440" t="str">
        <f>"9043823209"</f>
        <v>9043823209</v>
      </c>
      <c r="AE440" t="str">
        <f>"9043823209"</f>
        <v>9043823209</v>
      </c>
    </row>
    <row r="441" spans="1:31" x14ac:dyDescent="0.45">
      <c r="A441" t="str">
        <f>"КАНДАУРОВА ДАРЬЯ ВЛАДИМИРОВНА"</f>
        <v>КАНДАУРОВА ДАРЬЯ ВЛАДИМИРОВНА</v>
      </c>
      <c r="B441" t="str">
        <f>"1989-04-27"</f>
        <v>1989-04-27</v>
      </c>
      <c r="C441" t="str">
        <f>"75 09 623304"</f>
        <v>75 09 623304</v>
      </c>
      <c r="D441" t="str">
        <f>"5313100676826224"</f>
        <v>5313100676826224</v>
      </c>
      <c r="E441" t="str">
        <f>"2020-10-31"</f>
        <v>2020-10-31</v>
      </c>
      <c r="F441" t="str">
        <f t="shared" ref="F441:F446" si="77">"+"</f>
        <v>+</v>
      </c>
      <c r="G441" t="str">
        <f>"W"</f>
        <v>W</v>
      </c>
      <c r="H441" t="str">
        <f>"40817810116991427837"</f>
        <v>40817810116991427837</v>
      </c>
      <c r="I441" t="str">
        <f>"8597"</f>
        <v>8597</v>
      </c>
      <c r="J441" t="str">
        <f>"0549"</f>
        <v>0549</v>
      </c>
      <c r="K441" t="str">
        <f>"165000.00"</f>
        <v>165000.00</v>
      </c>
      <c r="L441" t="str">
        <f>"454000 ОБЛ ЧЕЛЯБИНСКАЯ   Г ЧЕБАРКУЛЬ   УЛ 9 МАЯ д. 7"</f>
        <v>454000 ОБЛ ЧЕЛЯБИНСКАЯ   Г ЧЕБАРКУЛЬ   УЛ 9 МАЯ д. 7</v>
      </c>
      <c r="M441" t="str">
        <f t="shared" si="70"/>
        <v>2019-08-24</v>
      </c>
      <c r="N441" t="str">
        <f>"ООО АЛИСА"</f>
        <v>ООО АЛИСА</v>
      </c>
      <c r="O441" t="str">
        <f>"454000"</f>
        <v>454000</v>
      </c>
      <c r="P441" t="str">
        <f>"ОБЛ ЧЕЛЯБИНСКАЯ"</f>
        <v>ОБЛ ЧЕЛЯБИНСКАЯ</v>
      </c>
      <c r="Q441" t="str">
        <f>""</f>
        <v/>
      </c>
      <c r="R441" t="str">
        <f>"Г ЧЕБАРКУЛЬ"</f>
        <v>Г ЧЕБАРКУЛЬ</v>
      </c>
      <c r="S441" t="str">
        <f>""</f>
        <v/>
      </c>
      <c r="T441" t="str">
        <f>"УЛ КАРПЕНКО"</f>
        <v>УЛ КАРПЕНКО</v>
      </c>
      <c r="U441" s="1" t="str">
        <f>"4"</f>
        <v>4</v>
      </c>
      <c r="V441" s="1" t="str">
        <f>""</f>
        <v/>
      </c>
      <c r="W441" s="1" t="str">
        <f>""</f>
        <v/>
      </c>
      <c r="X441" s="1" t="str">
        <f>""</f>
        <v/>
      </c>
      <c r="Y441" s="1" t="str">
        <f>"29"</f>
        <v>29</v>
      </c>
      <c r="Z441" t="str">
        <f>"9124763061"</f>
        <v>9124763061</v>
      </c>
      <c r="AA441" t="str">
        <f>"9000952161"</f>
        <v>9000952161</v>
      </c>
      <c r="AB441" t="str">
        <f>"9511103347"</f>
        <v>9511103347</v>
      </c>
      <c r="AC441" t="str">
        <f>"9000952161"</f>
        <v>9000952161</v>
      </c>
      <c r="AD441" t="str">
        <f>"9511103347"</f>
        <v>9511103347</v>
      </c>
      <c r="AE441" t="str">
        <f>"9124763061"</f>
        <v>9124763061</v>
      </c>
    </row>
    <row r="442" spans="1:31" x14ac:dyDescent="0.45">
      <c r="A442" t="str">
        <f>"РАХМАТУЛЛИНА ГУЛЬНАРА ТУХВАТОВНА"</f>
        <v>РАХМАТУЛЛИНА ГУЛЬНАРА ТУХВАТОВНА</v>
      </c>
      <c r="B442" t="str">
        <f>"1978-01-06"</f>
        <v>1978-01-06</v>
      </c>
      <c r="C442" t="str">
        <f>"80 03 123500"</f>
        <v>80 03 123500</v>
      </c>
      <c r="D442" t="str">
        <f>"4279011653507403"</f>
        <v>4279011653507403</v>
      </c>
      <c r="E442" t="str">
        <f>"2021-05-31"</f>
        <v>2021-05-31</v>
      </c>
      <c r="F442" t="str">
        <f t="shared" si="77"/>
        <v>+</v>
      </c>
      <c r="G442" t="str">
        <f>"+"</f>
        <v>+</v>
      </c>
      <c r="H442" t="str">
        <f>"40817810116991429864"</f>
        <v>40817810116991429864</v>
      </c>
      <c r="I442" t="str">
        <f>"8598"</f>
        <v>8598</v>
      </c>
      <c r="J442" t="str">
        <f>"0139"</f>
        <v>0139</v>
      </c>
      <c r="K442" t="str">
        <f>"235000.00"</f>
        <v>235000.00</v>
      </c>
      <c r="L442" t="str">
        <f>"450000 РЕСП БАШКОРТОСТАН   Г УФА   УЛ МЕНДЕЛЕЕВА д. 155"</f>
        <v>450000 РЕСП БАШКОРТОСТАН   Г УФА   УЛ МЕНДЕЛЕЕВА д. 155</v>
      </c>
      <c r="M442" t="str">
        <f t="shared" si="70"/>
        <v>2019-08-24</v>
      </c>
      <c r="N442" t="str">
        <f>"ООО ПРИЗМАДЕНТ"</f>
        <v>ООО ПРИЗМАДЕНТ</v>
      </c>
      <c r="O442" t="str">
        <f>"450000"</f>
        <v>450000</v>
      </c>
      <c r="P442" t="str">
        <f>"РЕСП БАШКОРТОСТАН"</f>
        <v>РЕСП БАШКОРТОСТАН</v>
      </c>
      <c r="Q442" t="str">
        <f>""</f>
        <v/>
      </c>
      <c r="R442" t="str">
        <f>"Г УФА"</f>
        <v>Г УФА</v>
      </c>
      <c r="S442" t="str">
        <f>""</f>
        <v/>
      </c>
      <c r="T442" t="str">
        <f>"УЛ ПР ОКТЯБРЯ"</f>
        <v>УЛ ПР ОКТЯБРЯ</v>
      </c>
      <c r="U442" s="1" t="str">
        <f>"142"</f>
        <v>142</v>
      </c>
      <c r="V442" s="1" t="str">
        <f>""</f>
        <v/>
      </c>
      <c r="W442" s="1" t="str">
        <f>"3"</f>
        <v>3</v>
      </c>
      <c r="X442" s="1" t="str">
        <f>""</f>
        <v/>
      </c>
      <c r="Y442" s="1" t="str">
        <f>"67"</f>
        <v>67</v>
      </c>
      <c r="Z442" t="str">
        <f>"347 2723720"</f>
        <v>347 2723720</v>
      </c>
      <c r="AA442" t="str">
        <f>"9174124793"</f>
        <v>9174124793</v>
      </c>
      <c r="AB442" t="str">
        <f>"9174124793"</f>
        <v>9174124793</v>
      </c>
      <c r="AC442" t="str">
        <f>"9174124793"</f>
        <v>9174124793</v>
      </c>
      <c r="AD442" t="str">
        <f>"9174124793"</f>
        <v>9174124793</v>
      </c>
      <c r="AE442" t="str">
        <f>""</f>
        <v/>
      </c>
    </row>
    <row r="443" spans="1:31" x14ac:dyDescent="0.45">
      <c r="A443" t="str">
        <f>"АКИШЕВА ЕЛЕНА АЛЕКСАНДРОВНА"</f>
        <v>АКИШЕВА ЕЛЕНА АЛЕКСАНДРОВНА</v>
      </c>
      <c r="B443" t="str">
        <f>"1988-08-20"</f>
        <v>1988-08-20</v>
      </c>
      <c r="C443" t="str">
        <f>"65 07 321315"</f>
        <v>65 07 321315</v>
      </c>
      <c r="D443" t="str">
        <f>"5313100780565122"</f>
        <v>5313100780565122</v>
      </c>
      <c r="E443" t="str">
        <f>"2021-03-31"</f>
        <v>2021-03-31</v>
      </c>
      <c r="F443" t="str">
        <f t="shared" si="77"/>
        <v>+</v>
      </c>
      <c r="G443" t="str">
        <f>"+"</f>
        <v>+</v>
      </c>
      <c r="H443" t="str">
        <f>"40817810416991427841"</f>
        <v>40817810416991427841</v>
      </c>
      <c r="I443" t="str">
        <f>"7003"</f>
        <v>7003</v>
      </c>
      <c r="J443" t="str">
        <f>"0806"</f>
        <v>0806</v>
      </c>
      <c r="K443" t="str">
        <f>"34000.00"</f>
        <v>34000.00</v>
      </c>
      <c r="L443" t="str">
        <f>"620000 ОБЛ СВЕРДЛОВСКАЯ   Г ВЕРХНЯЯ САЛДА   УЛ КАРЛА МАРКСА д. 3"</f>
        <v>620000 ОБЛ СВЕРДЛОВСКАЯ   Г ВЕРХНЯЯ САЛДА   УЛ КАРЛА МАРКСА д. 3</v>
      </c>
      <c r="M443" t="str">
        <f t="shared" si="70"/>
        <v>2019-08-24</v>
      </c>
      <c r="N443" t="str">
        <f>"16540867"</f>
        <v>16540867</v>
      </c>
      <c r="O443" t="str">
        <f>"620000"</f>
        <v>620000</v>
      </c>
      <c r="P443" t="str">
        <f>"ОБЛ СВЕРДЛОВСКАЯ"</f>
        <v>ОБЛ СВЕРДЛОВСКАЯ</v>
      </c>
      <c r="Q443" t="str">
        <f>""</f>
        <v/>
      </c>
      <c r="R443" t="str">
        <f>"Г ВЕРХНЯЯ САЛДА"</f>
        <v>Г ВЕРХНЯЯ САЛДА</v>
      </c>
      <c r="S443" t="str">
        <f>""</f>
        <v/>
      </c>
      <c r="T443" t="str">
        <f>"УЛ ЭНГЕЛЬСА"</f>
        <v>УЛ ЭНГЕЛЬСА</v>
      </c>
      <c r="U443" s="1" t="str">
        <f>"74"</f>
        <v>74</v>
      </c>
      <c r="V443" s="1" t="str">
        <f>""</f>
        <v/>
      </c>
      <c r="W443" s="1" t="str">
        <f>""</f>
        <v/>
      </c>
      <c r="X443" s="1" t="str">
        <f>""</f>
        <v/>
      </c>
      <c r="Y443" s="1" t="str">
        <f>"37"</f>
        <v>37</v>
      </c>
      <c r="Z443" t="str">
        <f>""</f>
        <v/>
      </c>
      <c r="AA443" t="str">
        <f>"9221631640"</f>
        <v>9221631640</v>
      </c>
      <c r="AB443" t="str">
        <f>"9221631640"</f>
        <v>9221631640</v>
      </c>
      <c r="AC443" t="str">
        <f>"9221631640"</f>
        <v>9221631640</v>
      </c>
      <c r="AD443" t="str">
        <f>"9221631640"</f>
        <v>9221631640</v>
      </c>
      <c r="AE443" t="str">
        <f>""</f>
        <v/>
      </c>
    </row>
    <row r="444" spans="1:31" x14ac:dyDescent="0.45">
      <c r="A444" t="str">
        <f>"ЕЛЬЦОВА АДЕЛИНА АЙРАТОВНА"</f>
        <v>ЕЛЬЦОВА АДЕЛИНА АЙРАТОВНА</v>
      </c>
      <c r="B444" t="str">
        <f>"1985-09-30"</f>
        <v>1985-09-30</v>
      </c>
      <c r="C444" t="str">
        <f>"67 08 814450"</f>
        <v>67 08 814450</v>
      </c>
      <c r="D444" t="str">
        <f>"4279016744949282"</f>
        <v>4279016744949282</v>
      </c>
      <c r="E444" t="str">
        <f>"2021-05-31"</f>
        <v>2021-05-31</v>
      </c>
      <c r="F444" t="str">
        <f t="shared" si="77"/>
        <v>+</v>
      </c>
      <c r="G444" t="str">
        <f>"+"</f>
        <v>+</v>
      </c>
      <c r="H444" t="str">
        <f>"40817810716992504463"</f>
        <v>40817810716992504463</v>
      </c>
      <c r="I444" t="str">
        <f>"1791"</f>
        <v>1791</v>
      </c>
      <c r="J444" t="str">
        <f>"0055"</f>
        <v>0055</v>
      </c>
      <c r="K444" t="str">
        <f>"50000.00"</f>
        <v>50000.00</v>
      </c>
      <c r="L444" t="str">
        <f>"628000 ОБЛ ТЮМЕНСКАЯ   Г ХАНТЫ-МАНСИЙСК   УЛ МИРА д. 13"</f>
        <v>628000 ОБЛ ТЮМЕНСКАЯ   Г ХАНТЫ-МАНСИЙСК   УЛ МИРА д. 13</v>
      </c>
      <c r="M444" t="str">
        <f t="shared" si="70"/>
        <v>2019-08-24</v>
      </c>
      <c r="N444" t="str">
        <f>"ТЮМЕНЬ СТАТ"</f>
        <v>ТЮМЕНЬ СТАТ</v>
      </c>
      <c r="O444" t="str">
        <f>"628000"</f>
        <v>628000</v>
      </c>
      <c r="P444" t="str">
        <f>"ОБЛ ТЮМЕНСКАЯ"</f>
        <v>ОБЛ ТЮМЕНСКАЯ</v>
      </c>
      <c r="Q444" t="str">
        <f>""</f>
        <v/>
      </c>
      <c r="R444" t="str">
        <f>"Г ХАНТЫ-МАНСИЙСК"</f>
        <v>Г ХАНТЫ-МАНСИЙСК</v>
      </c>
      <c r="S444" t="str">
        <f>""</f>
        <v/>
      </c>
      <c r="T444" t="str">
        <f>"УЛ КРАСНОАРМЕЙСКАЯ"</f>
        <v>УЛ КРАСНОАРМЕЙСКАЯ</v>
      </c>
      <c r="U444" s="1" t="str">
        <f>"26"</f>
        <v>26</v>
      </c>
      <c r="V444" s="1" t="str">
        <f>""</f>
        <v/>
      </c>
      <c r="W444" s="1" t="str">
        <f>""</f>
        <v/>
      </c>
      <c r="X444" s="1" t="str">
        <f>""</f>
        <v/>
      </c>
      <c r="Y444" s="1" t="str">
        <f>"11"</f>
        <v>11</v>
      </c>
      <c r="Z444" t="str">
        <f>"9824158399"</f>
        <v>9824158399</v>
      </c>
      <c r="AA444" t="str">
        <f>"9824156330"</f>
        <v>9824156330</v>
      </c>
      <c r="AB444" t="str">
        <f>"9824156330"</f>
        <v>9824156330</v>
      </c>
      <c r="AC444" t="str">
        <f>"9824156330"</f>
        <v>9824156330</v>
      </c>
      <c r="AD444" t="str">
        <f>"9824158399"</f>
        <v>9824158399</v>
      </c>
      <c r="AE444" t="str">
        <f>"9824158399"</f>
        <v>9824158399</v>
      </c>
    </row>
    <row r="445" spans="1:31" x14ac:dyDescent="0.45">
      <c r="A445" t="str">
        <f>"РЕЙХЕРТ СЕРГЕЙ АНАТОЛЬЕВИЧ"</f>
        <v>РЕЙХЕРТ СЕРГЕЙ АНАТОЛЬЕВИЧ</v>
      </c>
      <c r="B445" t="str">
        <f>"1973-11-12"</f>
        <v>1973-11-12</v>
      </c>
      <c r="C445" t="str">
        <f>"74 18 996034"</f>
        <v>74 18 996034</v>
      </c>
      <c r="D445" t="str">
        <f>"4279016738782962"</f>
        <v>4279016738782962</v>
      </c>
      <c r="E445" t="str">
        <f>"2021-05-31"</f>
        <v>2021-05-31</v>
      </c>
      <c r="F445" t="str">
        <f t="shared" si="77"/>
        <v>+</v>
      </c>
      <c r="G445" t="str">
        <f>"+"</f>
        <v>+</v>
      </c>
      <c r="H445" t="str">
        <f>"40817810316992504711"</f>
        <v>40817810316992504711</v>
      </c>
      <c r="I445" t="str">
        <f>"8647"</f>
        <v>8647</v>
      </c>
      <c r="J445" t="str">
        <f>"0229"</f>
        <v>0229</v>
      </c>
      <c r="K445" t="str">
        <f>"35000.00"</f>
        <v>35000.00</v>
      </c>
      <c r="L445" t="str">
        <f>"629300 ОБЛ ТЮМЕНСКАЯ   Г НОВЫЙ УРЕНГОЙ   УЛ ТАЕЖНАЯ д. 27"</f>
        <v>629300 ОБЛ ТЮМЕНСКАЯ   Г НОВЫЙ УРЕНГОЙ   УЛ ТАЕЖНАЯ д. 27</v>
      </c>
      <c r="M445" t="str">
        <f t="shared" si="70"/>
        <v>2019-08-24</v>
      </c>
      <c r="N445" t="str">
        <f>"ООО НГС"</f>
        <v>ООО НГС</v>
      </c>
      <c r="O445" t="str">
        <f>"627191"</f>
        <v>627191</v>
      </c>
      <c r="P445" t="str">
        <f>"ОБЛ ТЮМЕНСКАЯ"</f>
        <v>ОБЛ ТЮМЕНСКАЯ</v>
      </c>
      <c r="Q445" t="str">
        <f>"Р-Н УПОРОВСКИЙ"</f>
        <v>Р-Н УПОРОВСКИЙ</v>
      </c>
      <c r="R445" t="str">
        <f>""</f>
        <v/>
      </c>
      <c r="S445" t="str">
        <f>"С ПЯТКОВО"</f>
        <v>С ПЯТКОВО</v>
      </c>
      <c r="T445" t="str">
        <f>"УЛ КОЛХОЗНАЯ"</f>
        <v>УЛ КОЛХОЗНАЯ</v>
      </c>
      <c r="U445" s="1" t="str">
        <f>"8"</f>
        <v>8</v>
      </c>
      <c r="V445" s="1" t="str">
        <f>""</f>
        <v/>
      </c>
      <c r="W445" s="1" t="str">
        <f>""</f>
        <v/>
      </c>
      <c r="X445" s="1" t="str">
        <f>""</f>
        <v/>
      </c>
      <c r="Y445" s="1" t="str">
        <f>"1"</f>
        <v>1</v>
      </c>
      <c r="Z445" t="str">
        <f>"+7 (3452) 233023"</f>
        <v>+7 (3452) 233023</v>
      </c>
      <c r="AA445" t="str">
        <f>"+7 (34541) 47173"</f>
        <v>+7 (34541) 47173</v>
      </c>
      <c r="AB445" t="str">
        <f>"+7 (922) 0051595"</f>
        <v>+7 (922) 0051595</v>
      </c>
      <c r="AC445" t="str">
        <f>"3454147173"</f>
        <v>3454147173</v>
      </c>
      <c r="AD445" t="str">
        <f>"9292680584"</f>
        <v>9292680584</v>
      </c>
      <c r="AE445" t="str">
        <f>"9634986885"</f>
        <v>9634986885</v>
      </c>
    </row>
    <row r="446" spans="1:31" x14ac:dyDescent="0.45">
      <c r="A446" t="str">
        <f>"ФАТЕЕВА СНЕЖАНА СЕРГЕЕВНА"</f>
        <v>ФАТЕЕВА СНЕЖАНА СЕРГЕЕВНА</v>
      </c>
      <c r="B446" t="str">
        <f>"1973-08-27"</f>
        <v>1973-08-27</v>
      </c>
      <c r="C446" t="str">
        <f>"67 18 767454"</f>
        <v>67 18 767454</v>
      </c>
      <c r="D446" t="str">
        <f>"5484016700650187"</f>
        <v>5484016700650187</v>
      </c>
      <c r="E446" t="str">
        <f>"2021-05-31"</f>
        <v>2021-05-31</v>
      </c>
      <c r="F446" t="str">
        <f t="shared" si="77"/>
        <v>+</v>
      </c>
      <c r="G446" t="str">
        <f>"+"</f>
        <v>+</v>
      </c>
      <c r="H446" t="str">
        <f>"40817810816992551510"</f>
        <v>40817810816992551510</v>
      </c>
      <c r="I446" t="str">
        <f>"1791"</f>
        <v>1791</v>
      </c>
      <c r="J446" t="str">
        <f>"0055"</f>
        <v>0055</v>
      </c>
      <c r="K446" t="str">
        <f>"100000.00"</f>
        <v>100000.00</v>
      </c>
      <c r="L446" t="str">
        <f>"628000 ОБЛ ТЮМЕНСКАЯ   Г ХАНТЫ-МАНСИЙСК   УЛ МИРА д. 34"</f>
        <v>628000 ОБЛ ТЮМЕНСКАЯ   Г ХАНТЫ-МАНСИЙСК   УЛ МИРА д. 34</v>
      </c>
      <c r="M446" t="str">
        <f t="shared" si="70"/>
        <v>2019-08-24</v>
      </c>
      <c r="N446" t="str">
        <f>"ГУ ОПФР ПО ХМАО-ЮГРЕ"</f>
        <v>ГУ ОПФР ПО ХМАО-ЮГРЕ</v>
      </c>
      <c r="O446" t="str">
        <f>"628000"</f>
        <v>628000</v>
      </c>
      <c r="P446" t="str">
        <f>"ОБЛ ТЮМЕНСКАЯ"</f>
        <v>ОБЛ ТЮМЕНСКАЯ</v>
      </c>
      <c r="Q446" t="str">
        <f>""</f>
        <v/>
      </c>
      <c r="R446" t="str">
        <f>"Г ХАНТЫ-МАНСИЙСК"</f>
        <v>Г ХАНТЫ-МАНСИЙСК</v>
      </c>
      <c r="S446" t="str">
        <f>""</f>
        <v/>
      </c>
      <c r="T446" t="str">
        <f>"УЛ ОБЪЕЗДНАЯ"</f>
        <v>УЛ ОБЪЕЗДНАЯ</v>
      </c>
      <c r="U446" s="1" t="str">
        <f>"6"</f>
        <v>6</v>
      </c>
      <c r="V446" s="1" t="str">
        <f>""</f>
        <v/>
      </c>
      <c r="W446" s="1" t="str">
        <f>""</f>
        <v/>
      </c>
      <c r="X446" s="1" t="str">
        <f>""</f>
        <v/>
      </c>
      <c r="Y446" s="1" t="str">
        <f>"181"</f>
        <v>181</v>
      </c>
      <c r="Z446" t="str">
        <f>""</f>
        <v/>
      </c>
      <c r="AA446" t="str">
        <f>"9028193700"</f>
        <v>9028193700</v>
      </c>
      <c r="AB446" t="str">
        <f>"9028193700"</f>
        <v>9028193700</v>
      </c>
      <c r="AC446" t="str">
        <f>"9088804858"</f>
        <v>9088804858</v>
      </c>
      <c r="AD446" t="str">
        <f>"9028193700"</f>
        <v>9028193700</v>
      </c>
      <c r="AE446" t="str">
        <f>""</f>
        <v/>
      </c>
    </row>
    <row r="447" spans="1:31" x14ac:dyDescent="0.45">
      <c r="A447" t="str">
        <f>"ЖЕЛТЫШЕВ АЛЕКСАНДР СЕРГЕЕВИЧ"</f>
        <v>ЖЕЛТЫШЕВ АЛЕКСАНДР СЕРГЕЕВИЧ</v>
      </c>
      <c r="B447" t="str">
        <f>"1993-07-09"</f>
        <v>1993-07-09</v>
      </c>
      <c r="C447" t="str">
        <f>"71 18 401653"</f>
        <v>71 18 401653</v>
      </c>
      <c r="D447" t="str">
        <f>"4279016725056545"</f>
        <v>4279016725056545</v>
      </c>
      <c r="E447" t="str">
        <f>"2021-05-31"</f>
        <v>2021-05-31</v>
      </c>
      <c r="F447" t="str">
        <f>"Q"</f>
        <v>Q</v>
      </c>
      <c r="G447" t="str">
        <f>"Q"</f>
        <v>Q</v>
      </c>
      <c r="H447" t="str">
        <f>"40817810216992551563"</f>
        <v>40817810216992551563</v>
      </c>
      <c r="I447" t="str">
        <f>"8647"</f>
        <v>8647</v>
      </c>
      <c r="J447" t="str">
        <f>"0186"</f>
        <v>0186</v>
      </c>
      <c r="K447" t="str">
        <f>"0.00"</f>
        <v>0.00</v>
      </c>
      <c r="L447" t="str">
        <f>"625000 ОБЛ ТЮМЕНСКАЯ   Г ТЮМЕНЬ   УЛ ТРАНСПОРТНАЯ д. 108 офис 203"</f>
        <v>625000 ОБЛ ТЮМЕНСКАЯ   Г ТЮМЕНЬ   УЛ ТРАНСПОРТНАЯ д. 108 офис 203</v>
      </c>
      <c r="M447" t="str">
        <f t="shared" si="70"/>
        <v>2019-08-24</v>
      </c>
      <c r="N447" t="str">
        <f>"67108651"</f>
        <v>67108651</v>
      </c>
      <c r="O447" t="str">
        <f>"627755"</f>
        <v>627755</v>
      </c>
      <c r="P447" t="str">
        <f>"ОБЛ ТЮМЕНСКАЯ"</f>
        <v>ОБЛ ТЮМЕНСКАЯ</v>
      </c>
      <c r="Q447" t="str">
        <f>"Р-Н ИШИМСКИЙ"</f>
        <v>Р-Н ИШИМСКИЙ</v>
      </c>
      <c r="R447" t="str">
        <f>"Г ИШИМ"</f>
        <v>Г ИШИМ</v>
      </c>
      <c r="S447" t="str">
        <f>""</f>
        <v/>
      </c>
      <c r="T447" t="str">
        <f>"УЛ КРАСИНА"</f>
        <v>УЛ КРАСИНА</v>
      </c>
      <c r="U447" s="1" t="str">
        <f>"82"</f>
        <v>82</v>
      </c>
      <c r="V447" s="1" t="str">
        <f>""</f>
        <v/>
      </c>
      <c r="W447" s="1" t="str">
        <f>""</f>
        <v/>
      </c>
      <c r="X447" s="1" t="str">
        <f>""</f>
        <v/>
      </c>
      <c r="Y447" s="1" t="str">
        <f>""</f>
        <v/>
      </c>
      <c r="Z447" t="str">
        <f>"3455131135"</f>
        <v>3455131135</v>
      </c>
      <c r="AA447" t="str">
        <f>"9829407843"</f>
        <v>9829407843</v>
      </c>
      <c r="AB447" t="str">
        <f>"9829407843"</f>
        <v>9829407843</v>
      </c>
      <c r="AC447" t="str">
        <f>"9829407843"</f>
        <v>9829407843</v>
      </c>
      <c r="AD447" t="str">
        <f>"9829407843"</f>
        <v>9829407843</v>
      </c>
      <c r="AE447" t="str">
        <f>"3455131135"</f>
        <v>3455131135</v>
      </c>
    </row>
    <row r="448" spans="1:31" x14ac:dyDescent="0.45">
      <c r="A448" t="str">
        <f>"КАЗАКОВ ВЯЧЕСЛАВ АЛЕКСАНДРОВИЧ"</f>
        <v>КАЗАКОВ ВЯЧЕСЛАВ АЛЕКСАНДРОВИЧ</v>
      </c>
      <c r="B448" t="str">
        <f>"1956-07-13"</f>
        <v>1956-07-13</v>
      </c>
      <c r="C448" t="str">
        <f>"65 03 530157"</f>
        <v>65 03 530157</v>
      </c>
      <c r="D448" t="str">
        <f>"4854630379238572"</f>
        <v>4854630379238572</v>
      </c>
      <c r="E448" t="str">
        <f>"2021-04-30"</f>
        <v>2021-04-30</v>
      </c>
      <c r="F448" t="str">
        <f>"+"</f>
        <v>+</v>
      </c>
      <c r="G448" t="str">
        <f>"+"</f>
        <v>+</v>
      </c>
      <c r="H448" t="str">
        <f>"40817810716991464177"</f>
        <v>40817810716991464177</v>
      </c>
      <c r="I448" t="str">
        <f>"7003"</f>
        <v>7003</v>
      </c>
      <c r="J448" t="str">
        <f>"0759"</f>
        <v>0759</v>
      </c>
      <c r="K448" t="str">
        <f>"100000.00"</f>
        <v>100000.00</v>
      </c>
      <c r="L448" t="str">
        <f>"620000 ОБЛ СВЕРДЛОВСКАЯ   Г ЕКАТЕРИНБУРГ   УЛ ПЕРВОМАЙСКАЯ д. 15 корп. А"</f>
        <v>620000 ОБЛ СВЕРДЛОВСКАЯ   Г ЕКАТЕРИНБУРГ   УЛ ПЕРВОМАЙСКАЯ д. 15 корп. А</v>
      </c>
      <c r="M448" t="str">
        <f t="shared" si="70"/>
        <v>2019-08-24</v>
      </c>
      <c r="N448" t="str">
        <f>"МАОУ ДО ДЮСШ ЛИДЕР"</f>
        <v>МАОУ ДО ДЮСШ ЛИДЕР</v>
      </c>
      <c r="O448" t="str">
        <f>"620000"</f>
        <v>620000</v>
      </c>
      <c r="P448" t="str">
        <f>"ОБЛ СВЕРДЛОВСКАЯ"</f>
        <v>ОБЛ СВЕРДЛОВСКАЯ</v>
      </c>
      <c r="Q448" t="str">
        <f>""</f>
        <v/>
      </c>
      <c r="R448" t="str">
        <f>"Г ЕКАТЕРИНБУРГ"</f>
        <v>Г ЕКАТЕРИНБУРГ</v>
      </c>
      <c r="S448" t="str">
        <f>""</f>
        <v/>
      </c>
      <c r="T448" t="str">
        <f>"УЛ ИНДУСТРИИ"</f>
        <v>УЛ ИНДУСТРИИ</v>
      </c>
      <c r="U448" s="1" t="str">
        <f>"57"</f>
        <v>57</v>
      </c>
      <c r="V448" s="1" t="str">
        <f>""</f>
        <v/>
      </c>
      <c r="W448" s="1" t="str">
        <f>"1"</f>
        <v>1</v>
      </c>
      <c r="X448" s="1" t="str">
        <f>""</f>
        <v/>
      </c>
      <c r="Y448" s="1" t="str">
        <f>"418"</f>
        <v>418</v>
      </c>
      <c r="Z448" t="str">
        <f>"9222936554"</f>
        <v>9222936554</v>
      </c>
      <c r="AA448" t="str">
        <f>"9222936554"</f>
        <v>9222936554</v>
      </c>
      <c r="AB448" t="str">
        <f>"9222936554"</f>
        <v>9222936554</v>
      </c>
      <c r="AC448" t="str">
        <f>"9222936554"</f>
        <v>9222936554</v>
      </c>
      <c r="AD448" t="str">
        <f>"9222936554"</f>
        <v>9222936554</v>
      </c>
      <c r="AE448" t="str">
        <f>"9222936554"</f>
        <v>9222936554</v>
      </c>
    </row>
    <row r="449" spans="1:31" x14ac:dyDescent="0.45">
      <c r="A449" t="str">
        <f>"БЛЕДНОВА ОЛЬГА АЛЬБЕРТОВНА"</f>
        <v>БЛЕДНОВА ОЛЬГА АЛЬБЕРТОВНА</v>
      </c>
      <c r="B449" t="str">
        <f>"1958-01-01"</f>
        <v>1958-01-01</v>
      </c>
      <c r="C449" t="str">
        <f>"75 03 425791"</f>
        <v>75 03 425791</v>
      </c>
      <c r="D449" t="str">
        <f>"4854630424284118"</f>
        <v>4854630424284118</v>
      </c>
      <c r="E449" t="str">
        <f>"2020-11-30"</f>
        <v>2020-11-30</v>
      </c>
      <c r="F449" t="str">
        <f>"Q"</f>
        <v>Q</v>
      </c>
      <c r="G449" t="str">
        <f>"Q"</f>
        <v>Q</v>
      </c>
      <c r="H449" t="str">
        <f>"40817810316991464179"</f>
        <v>40817810316991464179</v>
      </c>
      <c r="I449" t="str">
        <f>"8597"</f>
        <v>8597</v>
      </c>
      <c r="J449" t="str">
        <f>"0472"</f>
        <v>0472</v>
      </c>
      <c r="K449" t="str">
        <f>"0.00"</f>
        <v>0.00</v>
      </c>
      <c r="L449" t="str">
        <f>"456550 ОБЛ ЧЕЛЯБИНСКАЯ   Г КОРКИНО   ПР-КТ ГОРНЯКОВ д. 8А"</f>
        <v>456550 ОБЛ ЧЕЛЯБИНСКАЯ   Г КОРКИНО   ПР-КТ ГОРНЯКОВ д. 8А</v>
      </c>
      <c r="M449" t="str">
        <f t="shared" si="70"/>
        <v>2019-08-24</v>
      </c>
      <c r="N449" t="str">
        <f>"ПЕНСИОНЕР"</f>
        <v>ПЕНСИОНЕР</v>
      </c>
      <c r="O449" t="str">
        <f>"456550"</f>
        <v>456550</v>
      </c>
      <c r="P449" t="str">
        <f>"ОБЛ ЧЕЛЯБИНСКАЯ"</f>
        <v>ОБЛ ЧЕЛЯБИНСКАЯ</v>
      </c>
      <c r="Q449" t="str">
        <f>""</f>
        <v/>
      </c>
      <c r="R449" t="str">
        <f>"Г КОРКИНО"</f>
        <v>Г КОРКИНО</v>
      </c>
      <c r="S449" t="str">
        <f>""</f>
        <v/>
      </c>
      <c r="T449" t="str">
        <f>"УЛ 1 МАЯ"</f>
        <v>УЛ 1 МАЯ</v>
      </c>
      <c r="U449" s="1" t="str">
        <f>"20"</f>
        <v>20</v>
      </c>
      <c r="V449" s="1" t="str">
        <f>""</f>
        <v/>
      </c>
      <c r="W449" s="1" t="str">
        <f>""</f>
        <v/>
      </c>
      <c r="X449" s="1" t="str">
        <f>""</f>
        <v/>
      </c>
      <c r="Y449" s="1" t="str">
        <f>"58"</f>
        <v>58</v>
      </c>
      <c r="Z449" t="str">
        <f>"3515244136"</f>
        <v>3515244136</v>
      </c>
      <c r="AA449" t="str">
        <f>"9507378522"</f>
        <v>9507378522</v>
      </c>
      <c r="AB449" t="str">
        <f>"9507378522"</f>
        <v>9507378522</v>
      </c>
      <c r="AC449" t="str">
        <f>"9507378522"</f>
        <v>9507378522</v>
      </c>
      <c r="AD449" t="str">
        <f>"9507378522"</f>
        <v>9507378522</v>
      </c>
      <c r="AE449" t="str">
        <f>"3515244136"</f>
        <v>3515244136</v>
      </c>
    </row>
    <row r="450" spans="1:31" x14ac:dyDescent="0.45">
      <c r="A450" t="str">
        <f>"КОШЕЛЕВА НАТАЛЬЯ ВИКТОРОВНА"</f>
        <v>КОШЕЛЕВА НАТАЛЬЯ ВИКТОРОВНА</v>
      </c>
      <c r="B450" t="str">
        <f>"1972-12-16"</f>
        <v>1972-12-16</v>
      </c>
      <c r="C450" t="str">
        <f>"37 17 730674"</f>
        <v>37 17 730674</v>
      </c>
      <c r="D450" t="str">
        <f>"4854630411729109"</f>
        <v>4854630411729109</v>
      </c>
      <c r="E450" t="str">
        <f>"2021-04-30"</f>
        <v>2021-04-30</v>
      </c>
      <c r="F450" t="str">
        <f t="shared" ref="F450:G452" si="78">"+"</f>
        <v>+</v>
      </c>
      <c r="G450" t="str">
        <f t="shared" si="78"/>
        <v>+</v>
      </c>
      <c r="H450" t="str">
        <f>"40817810616991464183"</f>
        <v>40817810616991464183</v>
      </c>
      <c r="I450" t="str">
        <f>"8599"</f>
        <v>8599</v>
      </c>
      <c r="J450" t="str">
        <f>"0045"</f>
        <v>0045</v>
      </c>
      <c r="K450" t="str">
        <f>"20000.00"</f>
        <v>20000.00</v>
      </c>
      <c r="L450" t="str">
        <f>"641000 ОБЛ КУРГАНСКАЯ   Г КУРГАН   УЛ РАДИОНОВА д. 17"</f>
        <v>641000 ОБЛ КУРГАНСКАЯ   Г КУРГАН   УЛ РАДИОНОВА д. 17</v>
      </c>
      <c r="M450" t="str">
        <f t="shared" ref="M450:M513" si="79">"2019-08-24"</f>
        <v>2019-08-24</v>
      </c>
      <c r="N450" t="str">
        <f>"ООО ТАКСТЕЛЕКОМ"</f>
        <v>ООО ТАКСТЕЛЕКОМ</v>
      </c>
      <c r="O450" t="str">
        <f>"641000"</f>
        <v>641000</v>
      </c>
      <c r="P450" t="str">
        <f>"ОБЛ КУРГАНСКАЯ"</f>
        <v>ОБЛ КУРГАНСКАЯ</v>
      </c>
      <c r="Q450" t="str">
        <f>""</f>
        <v/>
      </c>
      <c r="R450" t="str">
        <f>"Г КУРГАН"</f>
        <v>Г КУРГАН</v>
      </c>
      <c r="S450" t="str">
        <f>""</f>
        <v/>
      </c>
      <c r="T450" t="str">
        <f>"УЛ ДОВАТОРА"</f>
        <v>УЛ ДОВАТОРА</v>
      </c>
      <c r="U450" s="1" t="str">
        <f>"44"</f>
        <v>44</v>
      </c>
      <c r="V450" s="1" t="str">
        <f>""</f>
        <v/>
      </c>
      <c r="W450" s="1" t="str">
        <f>""</f>
        <v/>
      </c>
      <c r="X450" s="1" t="str">
        <f>""</f>
        <v/>
      </c>
      <c r="Y450" s="1" t="str">
        <f>""</f>
        <v/>
      </c>
      <c r="Z450" t="str">
        <f>""</f>
        <v/>
      </c>
      <c r="AA450" t="str">
        <f>"9617492050"</f>
        <v>9617492050</v>
      </c>
      <c r="AB450" t="str">
        <f>"9129715920"</f>
        <v>9129715920</v>
      </c>
      <c r="AC450" t="str">
        <f>"9617492050"</f>
        <v>9617492050</v>
      </c>
      <c r="AD450" t="str">
        <f>"9129715920"</f>
        <v>9129715920</v>
      </c>
      <c r="AE450" t="str">
        <f>""</f>
        <v/>
      </c>
    </row>
    <row r="451" spans="1:31" x14ac:dyDescent="0.45">
      <c r="A451" t="str">
        <f>"ХОРОШИХ ВИКТОР ИВАНОВИЧ"</f>
        <v>ХОРОШИХ ВИКТОР ИВАНОВИЧ</v>
      </c>
      <c r="B451" t="str">
        <f>"1957-12-24"</f>
        <v>1957-12-24</v>
      </c>
      <c r="C451" t="str">
        <f>"65 03 879584"</f>
        <v>65 03 879584</v>
      </c>
      <c r="D451" t="str">
        <f>"4854630356691264"</f>
        <v>4854630356691264</v>
      </c>
      <c r="E451" t="str">
        <f t="shared" ref="E451:E460" si="80">"2021-05-31"</f>
        <v>2021-05-31</v>
      </c>
      <c r="F451" t="str">
        <f t="shared" si="78"/>
        <v>+</v>
      </c>
      <c r="G451" t="str">
        <f t="shared" si="78"/>
        <v>+</v>
      </c>
      <c r="H451" t="str">
        <f>"40817810216991464198"</f>
        <v>40817810216991464198</v>
      </c>
      <c r="I451" t="str">
        <f>"7003"</f>
        <v>7003</v>
      </c>
      <c r="J451" t="str">
        <f>"0444"</f>
        <v>0444</v>
      </c>
      <c r="K451" t="str">
        <f>"185000.00"</f>
        <v>185000.00</v>
      </c>
      <c r="L451" t="str">
        <f>"620000 ОБЛ СВЕРДЛОВСКАЯ   Г ЕКАТЕРИНБУРГ   УЛ СИРЕНЕВЫЙ БУЛЬВАР д. 7 кв. 178"</f>
        <v>620000 ОБЛ СВЕРДЛОВСКАЯ   Г ЕКАТЕРИНБУРГ   УЛ СИРЕНЕВЫЙ БУЛЬВАР д. 7 кв. 178</v>
      </c>
      <c r="M451" t="str">
        <f t="shared" si="79"/>
        <v>2019-08-24</v>
      </c>
      <c r="N451" t="str">
        <f>"ПЕНСИОНЕР"</f>
        <v>ПЕНСИОНЕР</v>
      </c>
      <c r="O451" t="str">
        <f>"620000"</f>
        <v>620000</v>
      </c>
      <c r="P451" t="str">
        <f>"ОБЛ СВЕРДЛОВСКАЯ"</f>
        <v>ОБЛ СВЕРДЛОВСКАЯ</v>
      </c>
      <c r="Q451" t="str">
        <f>""</f>
        <v/>
      </c>
      <c r="R451" t="str">
        <f>"Г ЕКАТЕРИНБУРГ"</f>
        <v>Г ЕКАТЕРИНБУРГ</v>
      </c>
      <c r="S451" t="str">
        <f>""</f>
        <v/>
      </c>
      <c r="T451" t="str">
        <f>"УЛ СИРЕНЕВЫЙ БУЛЬВАР"</f>
        <v>УЛ СИРЕНЕВЫЙ БУЛЬВАР</v>
      </c>
      <c r="U451" s="1" t="str">
        <f>"7"</f>
        <v>7</v>
      </c>
      <c r="V451" s="1" t="str">
        <f>""</f>
        <v/>
      </c>
      <c r="W451" s="1" t="str">
        <f>""</f>
        <v/>
      </c>
      <c r="X451" s="1" t="str">
        <f>""</f>
        <v/>
      </c>
      <c r="Y451" s="1" t="str">
        <f>"178"</f>
        <v>178</v>
      </c>
      <c r="Z451" t="str">
        <f>""</f>
        <v/>
      </c>
      <c r="AA451" t="str">
        <f>"+7 (912) 2686319"</f>
        <v>+7 (912) 2686319</v>
      </c>
      <c r="AB451" t="str">
        <f>"+7 (912) 2686319"</f>
        <v>+7 (912) 2686319</v>
      </c>
      <c r="AC451" t="str">
        <f>"9122686319"</f>
        <v>9122686319</v>
      </c>
      <c r="AD451" t="str">
        <f>"9122686319"</f>
        <v>9122686319</v>
      </c>
      <c r="AE451" t="str">
        <f>""</f>
        <v/>
      </c>
    </row>
    <row r="452" spans="1:31" x14ac:dyDescent="0.45">
      <c r="A452" t="str">
        <f>"ТУЛЯНОВА КРИСТИНА ОЛЕГОВНА"</f>
        <v>ТУЛЯНОВА КРИСТИНА ОЛЕГОВНА</v>
      </c>
      <c r="B452" t="str">
        <f>"1991-08-26"</f>
        <v>1991-08-26</v>
      </c>
      <c r="C452" t="str">
        <f>"65 11 295825"</f>
        <v>65 11 295825</v>
      </c>
      <c r="D452" t="str">
        <f>"4279011604120959"</f>
        <v>4279011604120959</v>
      </c>
      <c r="E452" t="str">
        <f t="shared" si="80"/>
        <v>2021-05-31</v>
      </c>
      <c r="F452" t="str">
        <f t="shared" si="78"/>
        <v>+</v>
      </c>
      <c r="G452" t="str">
        <f t="shared" si="78"/>
        <v>+</v>
      </c>
      <c r="H452" t="str">
        <f>"40817810316991427941"</f>
        <v>40817810316991427941</v>
      </c>
      <c r="I452" t="str">
        <f>"7003"</f>
        <v>7003</v>
      </c>
      <c r="J452" t="str">
        <f>"0481"</f>
        <v>0481</v>
      </c>
      <c r="K452" t="str">
        <f>"89000.00"</f>
        <v>89000.00</v>
      </c>
      <c r="L452" t="str">
        <f>"620000 ОБЛ СВЕРДЛОВСКАЯ Р-Н СЫСЕРТСКИЙ   С ЩЕЛКУН УЛ ГАГАРИНА д. 10"</f>
        <v>620000 ОБЛ СВЕРДЛОВСКАЯ Р-Н СЫСЕРТСКИЙ   С ЩЕЛКУН УЛ ГАГАРИНА д. 10</v>
      </c>
      <c r="M452" t="str">
        <f t="shared" si="79"/>
        <v>2019-08-24</v>
      </c>
      <c r="N452" t="str">
        <f>"РОСТЕЛЕКОМ"</f>
        <v>РОСТЕЛЕКОМ</v>
      </c>
      <c r="O452" t="str">
        <f>"620000"</f>
        <v>620000</v>
      </c>
      <c r="P452" t="str">
        <f>"ОБЛ СВЕРДЛОВСКАЯ"</f>
        <v>ОБЛ СВЕРДЛОВСКАЯ</v>
      </c>
      <c r="Q452" t="str">
        <f>"Р-Н СЫСЕРТСКИЙ"</f>
        <v>Р-Н СЫСЕРТСКИЙ</v>
      </c>
      <c r="R452" t="str">
        <f>""</f>
        <v/>
      </c>
      <c r="S452" t="str">
        <f>"С ЩЕЛКУН"</f>
        <v>С ЩЕЛКУН</v>
      </c>
      <c r="T452" t="str">
        <f>"УЛ САДОВАЯ"</f>
        <v>УЛ САДОВАЯ</v>
      </c>
      <c r="U452" s="1" t="str">
        <f>"17"</f>
        <v>17</v>
      </c>
      <c r="V452" s="1" t="str">
        <f>""</f>
        <v/>
      </c>
      <c r="W452" s="1" t="str">
        <f>""</f>
        <v/>
      </c>
      <c r="X452" s="1" t="str">
        <f>""</f>
        <v/>
      </c>
      <c r="Y452" s="1" t="str">
        <f>"2"</f>
        <v>2</v>
      </c>
      <c r="Z452" t="str">
        <f>""</f>
        <v/>
      </c>
      <c r="AA452" t="str">
        <f>"+7 (950) 1935942"</f>
        <v>+7 (950) 1935942</v>
      </c>
      <c r="AB452" t="str">
        <f>"+7 (950) 1935942"</f>
        <v>+7 (950) 1935942</v>
      </c>
      <c r="AC452" t="str">
        <f>"9501935942"</f>
        <v>9501935942</v>
      </c>
      <c r="AD452" t="str">
        <f>"9501935942"</f>
        <v>9501935942</v>
      </c>
      <c r="AE452" t="str">
        <f>""</f>
        <v/>
      </c>
    </row>
    <row r="453" spans="1:31" x14ac:dyDescent="0.45">
      <c r="A453" t="str">
        <f>"СЕРГЕЕВА АЛЛА АНАТОЛЬЕВНА"</f>
        <v>СЕРГЕЕВА АЛЛА АНАТОЛЬЕВНА</v>
      </c>
      <c r="B453" t="str">
        <f>"1981-12-20"</f>
        <v>1981-12-20</v>
      </c>
      <c r="C453" t="str">
        <f>"80 05 467781"</f>
        <v>80 05 467781</v>
      </c>
      <c r="D453" t="str">
        <f>"4279011607326843"</f>
        <v>4279011607326843</v>
      </c>
      <c r="E453" t="str">
        <f t="shared" si="80"/>
        <v>2021-05-31</v>
      </c>
      <c r="F453" t="str">
        <f>"K"</f>
        <v>K</v>
      </c>
      <c r="G453" t="str">
        <f>"+"</f>
        <v>+</v>
      </c>
      <c r="H453" t="str">
        <f>"40817810216991427944"</f>
        <v>40817810216991427944</v>
      </c>
      <c r="I453" t="str">
        <f>"8598"</f>
        <v>8598</v>
      </c>
      <c r="J453" t="str">
        <f>"0011"</f>
        <v>0011</v>
      </c>
      <c r="K453" t="str">
        <f>"15000.00"</f>
        <v>15000.00</v>
      </c>
      <c r="L453" t="str">
        <f>"450000 РЕСП БАШКОРТОСТАН   Г УФА   УЛ УФА д. 1"</f>
        <v>450000 РЕСП БАШКОРТОСТАН   Г УФА   УЛ УФА д. 1</v>
      </c>
      <c r="M453" t="str">
        <f t="shared" si="79"/>
        <v>2019-08-24</v>
      </c>
      <c r="N453" t="str">
        <f>"ООО ТАЛИСМАН"</f>
        <v>ООО ТАЛИСМАН</v>
      </c>
      <c r="O453" t="str">
        <f>"450000"</f>
        <v>450000</v>
      </c>
      <c r="P453" t="str">
        <f>"РЕСП БАШКОРТОСТАН"</f>
        <v>РЕСП БАШКОРТОСТАН</v>
      </c>
      <c r="Q453" t="str">
        <f>""</f>
        <v/>
      </c>
      <c r="R453" t="str">
        <f>"Г УФА"</f>
        <v>Г УФА</v>
      </c>
      <c r="S453" t="str">
        <f>""</f>
        <v/>
      </c>
      <c r="T453" t="str">
        <f>"УЛ М ЖУКОВА"</f>
        <v>УЛ М ЖУКОВА</v>
      </c>
      <c r="U453" s="1" t="str">
        <f>"11"</f>
        <v>11</v>
      </c>
      <c r="V453" s="1" t="str">
        <f>""</f>
        <v/>
      </c>
      <c r="W453" s="1" t="str">
        <f>"А"</f>
        <v>А</v>
      </c>
      <c r="X453" s="1" t="str">
        <f>""</f>
        <v/>
      </c>
      <c r="Y453" s="1" t="str">
        <f>"68"</f>
        <v>68</v>
      </c>
      <c r="Z453" t="str">
        <f>""</f>
        <v/>
      </c>
      <c r="AA453" t="str">
        <f>"3472000000"</f>
        <v>3472000000</v>
      </c>
      <c r="AB453" t="str">
        <f>"9173486663"</f>
        <v>9173486663</v>
      </c>
      <c r="AC453" t="str">
        <f>"3472000000"</f>
        <v>3472000000</v>
      </c>
      <c r="AD453" t="str">
        <f>"9173486663"</f>
        <v>9173486663</v>
      </c>
      <c r="AE453" t="str">
        <f>""</f>
        <v/>
      </c>
    </row>
    <row r="454" spans="1:31" x14ac:dyDescent="0.45">
      <c r="A454" t="str">
        <f>"ВАРСЕГОВА ТАТЬЯНА НИКОЛАЕВНА"</f>
        <v>ВАРСЕГОВА ТАТЬЯНА НИКОЛАЕВНА</v>
      </c>
      <c r="B454" t="str">
        <f>"1972-08-08"</f>
        <v>1972-08-08</v>
      </c>
      <c r="C454" t="str">
        <f>"37 17 715199"</f>
        <v>37 17 715199</v>
      </c>
      <c r="D454" t="str">
        <f>"4279011612605231"</f>
        <v>4279011612605231</v>
      </c>
      <c r="E454" t="str">
        <f t="shared" si="80"/>
        <v>2021-05-31</v>
      </c>
      <c r="F454" t="str">
        <f t="shared" ref="F454:F461" si="81">"+"</f>
        <v>+</v>
      </c>
      <c r="G454" t="str">
        <f>"+"</f>
        <v>+</v>
      </c>
      <c r="H454" t="str">
        <f>"40817810916991427943"</f>
        <v>40817810916991427943</v>
      </c>
      <c r="I454" t="str">
        <f>"8599"</f>
        <v>8599</v>
      </c>
      <c r="J454" t="str">
        <f>"7770"</f>
        <v>7770</v>
      </c>
      <c r="K454" t="str">
        <f>"510000.00"</f>
        <v>510000.00</v>
      </c>
      <c r="L454" t="str">
        <f>"641000 ОБЛ КУРГАНСКАЯ   Г КУРГАН   УЛ М.УЛЬЯНОВОЙ д. 6"</f>
        <v>641000 ОБЛ КУРГАНСКАЯ   Г КУРГАН   УЛ М.УЛЬЯНОВОЙ д. 6</v>
      </c>
      <c r="M454" t="str">
        <f t="shared" si="79"/>
        <v>2019-08-24</v>
      </c>
      <c r="N454" t="str">
        <f>"РНЦ ВТО ИМ.ИЛИЗАРОВА"</f>
        <v>РНЦ ВТО ИМ.ИЛИЗАРОВА</v>
      </c>
      <c r="O454" t="str">
        <f>"641000"</f>
        <v>641000</v>
      </c>
      <c r="P454" t="str">
        <f>"ОБЛ КУРГАНСКАЯ"</f>
        <v>ОБЛ КУРГАНСКАЯ</v>
      </c>
      <c r="Q454" t="str">
        <f>""</f>
        <v/>
      </c>
      <c r="R454" t="str">
        <f>"Г КУРГАН"</f>
        <v>Г КУРГАН</v>
      </c>
      <c r="S454" t="str">
        <f>""</f>
        <v/>
      </c>
      <c r="T454" t="str">
        <f>"УЛ К.МАРКСА"</f>
        <v>УЛ К.МАРКСА</v>
      </c>
      <c r="U454" s="1" t="str">
        <f>"80"</f>
        <v>80</v>
      </c>
      <c r="V454" s="1" t="str">
        <f>""</f>
        <v/>
      </c>
      <c r="W454" s="1" t="str">
        <f>""</f>
        <v/>
      </c>
      <c r="X454" s="1" t="str">
        <f>""</f>
        <v/>
      </c>
      <c r="Y454" s="1" t="str">
        <f>"44"</f>
        <v>44</v>
      </c>
      <c r="Z454" t="str">
        <f>"3522454171"</f>
        <v>3522454171</v>
      </c>
      <c r="AA454" t="str">
        <f>"9617519158"</f>
        <v>9617519158</v>
      </c>
      <c r="AB454" t="str">
        <f>"9617519158"</f>
        <v>9617519158</v>
      </c>
      <c r="AC454" t="str">
        <f>"9617519158"</f>
        <v>9617519158</v>
      </c>
      <c r="AD454" t="str">
        <f>"9617519158"</f>
        <v>9617519158</v>
      </c>
      <c r="AE454" t="str">
        <f>"3522454171"</f>
        <v>3522454171</v>
      </c>
    </row>
    <row r="455" spans="1:31" x14ac:dyDescent="0.45">
      <c r="A455" t="str">
        <f>"ТАЙЩИКОВА МАХАБАТ РАИМБЕКОВНА"</f>
        <v>ТАЙЩИКОВА МАХАБАТ РАИМБЕКОВНА</v>
      </c>
      <c r="B455" t="str">
        <f>"1995-06-27"</f>
        <v>1995-06-27</v>
      </c>
      <c r="C455" t="str">
        <f>"75 15 645682"</f>
        <v>75 15 645682</v>
      </c>
      <c r="D455" t="str">
        <f>"4276011674839127"</f>
        <v>4276011674839127</v>
      </c>
      <c r="E455" t="str">
        <f t="shared" si="80"/>
        <v>2021-05-31</v>
      </c>
      <c r="F455" t="str">
        <f t="shared" si="81"/>
        <v>+</v>
      </c>
      <c r="G455" t="str">
        <f>"W"</f>
        <v>W</v>
      </c>
      <c r="H455" t="str">
        <f>"40817810816991427946"</f>
        <v>40817810816991427946</v>
      </c>
      <c r="I455" t="str">
        <f>"8597"</f>
        <v>8597</v>
      </c>
      <c r="J455" t="str">
        <f>"0389"</f>
        <v>0389</v>
      </c>
      <c r="K455" t="str">
        <f>"40000.00"</f>
        <v>40000.00</v>
      </c>
      <c r="L455" t="str">
        <f>"457217 ОБЛ ЧЕЛЯБИНСКАЯ Р-Н ВАРНЕНСКИЙ   С АЛЕКСЕЕВКА УЛ ШКОЛЬНАЯ д. 1"</f>
        <v>457217 ОБЛ ЧЕЛЯБИНСКАЯ Р-Н ВАРНЕНСКИЙ   С АЛЕКСЕЕВКА УЛ ШКОЛЬНАЯ д. 1</v>
      </c>
      <c r="M455" t="str">
        <f t="shared" si="79"/>
        <v>2019-08-24</v>
      </c>
      <c r="N455" t="str">
        <f>"МКДОУ ДСАД САЛЕКСЕЕВКА"</f>
        <v>МКДОУ ДСАД САЛЕКСЕЕВКА</v>
      </c>
      <c r="O455" t="str">
        <f>"457203"</f>
        <v>457203</v>
      </c>
      <c r="P455" t="str">
        <f>"ОБЛ ЧЕЛЯБИНСКАЯ"</f>
        <v>ОБЛ ЧЕЛЯБИНСКАЯ</v>
      </c>
      <c r="Q455" t="str">
        <f>"Р-Н ВАРНЕНСКИЙ"</f>
        <v>Р-Н ВАРНЕНСКИЙ</v>
      </c>
      <c r="R455" t="str">
        <f>""</f>
        <v/>
      </c>
      <c r="S455" t="str">
        <f>"С КУЛЕВЧИ"</f>
        <v>С КУЛЕВЧИ</v>
      </c>
      <c r="T455" t="str">
        <f>"УЛ МИРА"</f>
        <v>УЛ МИРА</v>
      </c>
      <c r="U455" s="1" t="str">
        <f>"49"</f>
        <v>49</v>
      </c>
      <c r="V455" s="1" t="str">
        <f>""</f>
        <v/>
      </c>
      <c r="W455" s="1" t="str">
        <f>""</f>
        <v/>
      </c>
      <c r="X455" s="1" t="str">
        <f>""</f>
        <v/>
      </c>
      <c r="Y455" s="1" t="str">
        <f>""</f>
        <v/>
      </c>
      <c r="Z455" t="str">
        <f>"3514221474"</f>
        <v>3514221474</v>
      </c>
      <c r="AA455" t="str">
        <f>""</f>
        <v/>
      </c>
      <c r="AB455" t="str">
        <f>"9193347460"</f>
        <v>9193347460</v>
      </c>
      <c r="AC455" t="str">
        <f>""</f>
        <v/>
      </c>
      <c r="AD455" t="str">
        <f>"9193347460"</f>
        <v>9193347460</v>
      </c>
      <c r="AE455" t="str">
        <f>""</f>
        <v/>
      </c>
    </row>
    <row r="456" spans="1:31" x14ac:dyDescent="0.45">
      <c r="A456" t="str">
        <f>"РЯЗАНОВА ЕКАТЕРИНА АНДРЕЕВНА"</f>
        <v>РЯЗАНОВА ЕКАТЕРИНА АНДРЕЕВНА</v>
      </c>
      <c r="B456" t="str">
        <f>"1996-02-12"</f>
        <v>1996-02-12</v>
      </c>
      <c r="C456" t="str">
        <f>"65 16 241144"</f>
        <v>65 16 241144</v>
      </c>
      <c r="D456" t="str">
        <f>"4276011647063102"</f>
        <v>4276011647063102</v>
      </c>
      <c r="E456" t="str">
        <f t="shared" si="80"/>
        <v>2021-05-31</v>
      </c>
      <c r="F456" t="str">
        <f t="shared" si="81"/>
        <v>+</v>
      </c>
      <c r="G456" t="str">
        <f>"W"</f>
        <v>W</v>
      </c>
      <c r="H456" t="str">
        <f>"40817810116991427947"</f>
        <v>40817810116991427947</v>
      </c>
      <c r="I456" t="str">
        <f>"7003"</f>
        <v>7003</v>
      </c>
      <c r="J456" t="str">
        <f>"0503"</f>
        <v>0503</v>
      </c>
      <c r="K456" t="str">
        <f>"50000.00"</f>
        <v>50000.00</v>
      </c>
      <c r="L456" t="str">
        <f>"620000 ОБЛ СВЕРДЛОВСКАЯ   Г ЕКАТЕРИНБУРГ   УЛ БАХЧИВАНДЖИ д. 2"</f>
        <v>620000 ОБЛ СВЕРДЛОВСКАЯ   Г ЕКАТЕРИНБУРГ   УЛ БАХЧИВАНДЖИ д. 2</v>
      </c>
      <c r="M456" t="str">
        <f t="shared" si="79"/>
        <v>2019-08-24</v>
      </c>
      <c r="N456" t="str">
        <f>"ИП СИЛИН РУСЛАН ВАЛЕРЬЕВИЧ"</f>
        <v>ИП СИЛИН РУСЛАН ВАЛЕРЬЕВИЧ</v>
      </c>
      <c r="O456" t="str">
        <f>"623718"</f>
        <v>623718</v>
      </c>
      <c r="P456" t="str">
        <f>"ОБЛ СВЕРДЛОВСКАЯ"</f>
        <v>ОБЛ СВЕРДЛОВСКАЯ</v>
      </c>
      <c r="Q456" t="str">
        <f>""</f>
        <v/>
      </c>
      <c r="R456" t="str">
        <f>"Г БЕРЕЗОВСКИЙ"</f>
        <v>Г БЕРЕЗОВСКИЙ</v>
      </c>
      <c r="S456" t="str">
        <f>"П СТАРОПЫШМИНСК"</f>
        <v>П СТАРОПЫШМИНСК</v>
      </c>
      <c r="T456" t="str">
        <f>"УЛ ЛУГОВАЯ"</f>
        <v>УЛ ЛУГОВАЯ</v>
      </c>
      <c r="U456" s="1" t="str">
        <f>"22"</f>
        <v>22</v>
      </c>
      <c r="V456" s="1" t="str">
        <f>""</f>
        <v/>
      </c>
      <c r="W456" s="1" t="str">
        <f>""</f>
        <v/>
      </c>
      <c r="X456" s="1" t="str">
        <f>""</f>
        <v/>
      </c>
      <c r="Y456" s="1" t="str">
        <f>""</f>
        <v/>
      </c>
      <c r="Z456" t="str">
        <f>"9995663391"</f>
        <v>9995663391</v>
      </c>
      <c r="AA456" t="str">
        <f>""</f>
        <v/>
      </c>
      <c r="AB456" t="str">
        <f>"9530543927"</f>
        <v>9530543927</v>
      </c>
      <c r="AC456" t="str">
        <f>""</f>
        <v/>
      </c>
      <c r="AD456" t="str">
        <f>"9530543927"</f>
        <v>9530543927</v>
      </c>
      <c r="AE456" t="str">
        <f>"9995663391"</f>
        <v>9995663391</v>
      </c>
    </row>
    <row r="457" spans="1:31" x14ac:dyDescent="0.45">
      <c r="A457" t="str">
        <f>"САФИНА ЭЛЬМИРА РИМОВНА"</f>
        <v>САФИНА ЭЛЬМИРА РИМОВНА</v>
      </c>
      <c r="B457" t="str">
        <f>"1976-11-02"</f>
        <v>1976-11-02</v>
      </c>
      <c r="C457" t="str">
        <f>"75 00 943686"</f>
        <v>75 00 943686</v>
      </c>
      <c r="D457" t="str">
        <f>"4279011619435392"</f>
        <v>4279011619435392</v>
      </c>
      <c r="E457" t="str">
        <f t="shared" si="80"/>
        <v>2021-05-31</v>
      </c>
      <c r="F457" t="str">
        <f t="shared" si="81"/>
        <v>+</v>
      </c>
      <c r="G457" t="str">
        <f>"W"</f>
        <v>W</v>
      </c>
      <c r="H457" t="str">
        <f>"40817810116991427950"</f>
        <v>40817810116991427950</v>
      </c>
      <c r="I457" t="str">
        <f>"8597"</f>
        <v>8597</v>
      </c>
      <c r="J457" t="str">
        <f>"0514"</f>
        <v>0514</v>
      </c>
      <c r="K457" t="str">
        <f>"88000.00"</f>
        <v>88000.00</v>
      </c>
      <c r="L457" t="str">
        <f>"456913 ОБЛ ЧЕЛЯБИНСКАЯ   Г САТКА   УЛ СОЛНЕЧНАЯ д. 34"</f>
        <v>456913 ОБЛ ЧЕЛЯБИНСКАЯ   Г САТКА   УЛ СОЛНЕЧНАЯ д. 34</v>
      </c>
      <c r="M457" t="str">
        <f t="shared" si="79"/>
        <v>2019-08-24</v>
      </c>
      <c r="N457" t="s">
        <v>49</v>
      </c>
      <c r="O457" t="str">
        <f>"454000"</f>
        <v>454000</v>
      </c>
      <c r="P457" t="str">
        <f>"ОБЛ ЧЕЛЯБИНСКАЯ"</f>
        <v>ОБЛ ЧЕЛЯБИНСКАЯ</v>
      </c>
      <c r="Q457" t="str">
        <f>""</f>
        <v/>
      </c>
      <c r="R457" t="str">
        <f>"Г САТКА"</f>
        <v>Г САТКА</v>
      </c>
      <c r="S457" t="str">
        <f>""</f>
        <v/>
      </c>
      <c r="T457" t="str">
        <f>"УЛ 40 ЛЕТ ПОБЕДЫ"</f>
        <v>УЛ 40 ЛЕТ ПОБЕДЫ</v>
      </c>
      <c r="U457" s="1" t="str">
        <f>"23"</f>
        <v>23</v>
      </c>
      <c r="V457" s="1" t="str">
        <f>""</f>
        <v/>
      </c>
      <c r="W457" s="1" t="str">
        <f>""</f>
        <v/>
      </c>
      <c r="X457" s="1" t="str">
        <f>""</f>
        <v/>
      </c>
      <c r="Y457" s="1" t="str">
        <f>"1"</f>
        <v>1</v>
      </c>
      <c r="Z457" t="str">
        <f>"9525141027"</f>
        <v>9525141027</v>
      </c>
      <c r="AA457" t="str">
        <f>"3516131135"</f>
        <v>3516131135</v>
      </c>
      <c r="AB457" t="str">
        <f>"9525141027"</f>
        <v>9525141027</v>
      </c>
      <c r="AC457" t="str">
        <f>"9525141027"</f>
        <v>9525141027</v>
      </c>
      <c r="AD457" t="str">
        <f>"9525141027"</f>
        <v>9525141027</v>
      </c>
      <c r="AE457" t="str">
        <f>""</f>
        <v/>
      </c>
    </row>
    <row r="458" spans="1:31" x14ac:dyDescent="0.45">
      <c r="A458" t="str">
        <f>"ДОНСКИХ АНАСТАСИЯ ЮРЬЕВНА"</f>
        <v>ДОНСКИХ АНАСТАСИЯ ЮРЬЕВНА</v>
      </c>
      <c r="B458" t="str">
        <f>"1990-09-15"</f>
        <v>1990-09-15</v>
      </c>
      <c r="C458" t="str">
        <f>"37 15 623637"</f>
        <v>37 15 623637</v>
      </c>
      <c r="D458" t="str">
        <f>"4279011610133749"</f>
        <v>4279011610133749</v>
      </c>
      <c r="E458" t="str">
        <f t="shared" si="80"/>
        <v>2021-05-31</v>
      </c>
      <c r="F458" t="str">
        <f t="shared" si="81"/>
        <v>+</v>
      </c>
      <c r="G458" t="str">
        <f>"+"</f>
        <v>+</v>
      </c>
      <c r="H458" t="str">
        <f>"40817810716991427952"</f>
        <v>40817810716991427952</v>
      </c>
      <c r="I458" t="str">
        <f>"8599"</f>
        <v>8599</v>
      </c>
      <c r="J458" t="str">
        <f>"0082"</f>
        <v>0082</v>
      </c>
      <c r="K458" t="str">
        <f>"18000.00"</f>
        <v>18000.00</v>
      </c>
      <c r="L458" t="str">
        <f>"641000 ОБЛ КУРГАНСКАЯ   Г КУРГАН   МКР 2 д. 12"</f>
        <v>641000 ОБЛ КУРГАНСКАЯ   Г КУРГАН   МКР 2 д. 12</v>
      </c>
      <c r="M458" t="str">
        <f t="shared" si="79"/>
        <v>2019-08-24</v>
      </c>
      <c r="N458" t="str">
        <f>"МЦ МТТ"</f>
        <v>МЦ МТТ</v>
      </c>
      <c r="O458" t="str">
        <f>"641000"</f>
        <v>641000</v>
      </c>
      <c r="P458" t="str">
        <f>"ОБЛ КУРГАНСКАЯ"</f>
        <v>ОБЛ КУРГАНСКАЯ</v>
      </c>
      <c r="Q458" t="str">
        <f>""</f>
        <v/>
      </c>
      <c r="R458" t="str">
        <f>"Г КУРГАН"</f>
        <v>Г КУРГАН</v>
      </c>
      <c r="S458" t="str">
        <f>"П ТОРФЯНИКИ"</f>
        <v>П ТОРФЯНИКИ</v>
      </c>
      <c r="T458" t="str">
        <f>"УЛ КЛЕНОВАЯ"</f>
        <v>УЛ КЛЕНОВАЯ</v>
      </c>
      <c r="U458" s="1" t="str">
        <f>"25Б"</f>
        <v>25Б</v>
      </c>
      <c r="V458" s="1" t="str">
        <f>""</f>
        <v/>
      </c>
      <c r="W458" s="1" t="str">
        <f>""</f>
        <v/>
      </c>
      <c r="X458" s="1" t="str">
        <f>""</f>
        <v/>
      </c>
      <c r="Y458" s="1" t="str">
        <f>"2"</f>
        <v>2</v>
      </c>
      <c r="Z458" t="str">
        <f>""</f>
        <v/>
      </c>
      <c r="AA458" t="str">
        <f>"+7 (951) 2702757"</f>
        <v>+7 (951) 2702757</v>
      </c>
      <c r="AB458" t="str">
        <f>"+7 (951) 2702757"</f>
        <v>+7 (951) 2702757</v>
      </c>
      <c r="AC458" t="str">
        <f>"9091478877"</f>
        <v>9091478877</v>
      </c>
      <c r="AD458" t="str">
        <f>"9512702757"</f>
        <v>9512702757</v>
      </c>
      <c r="AE458" t="str">
        <f>""</f>
        <v/>
      </c>
    </row>
    <row r="459" spans="1:31" x14ac:dyDescent="0.45">
      <c r="A459" t="str">
        <f>"МЯГЕЛЬ ИРИНА ИВАНОВНА"</f>
        <v>МЯГЕЛЬ ИРИНА ИВАНОВНА</v>
      </c>
      <c r="B459" t="str">
        <f>"1988-01-30"</f>
        <v>1988-01-30</v>
      </c>
      <c r="C459" t="str">
        <f>"52 14 330956"</f>
        <v>52 14 330956</v>
      </c>
      <c r="D459" t="str">
        <f>"4279011613977845"</f>
        <v>4279011613977845</v>
      </c>
      <c r="E459" t="str">
        <f t="shared" si="80"/>
        <v>2021-05-31</v>
      </c>
      <c r="F459" t="str">
        <f t="shared" si="81"/>
        <v>+</v>
      </c>
      <c r="G459" t="str">
        <f>"+"</f>
        <v>+</v>
      </c>
      <c r="H459" t="str">
        <f>"40817810016991427953"</f>
        <v>40817810016991427953</v>
      </c>
      <c r="I459" t="str">
        <f>"7003"</f>
        <v>7003</v>
      </c>
      <c r="J459" t="str">
        <f>"0897"</f>
        <v>0897</v>
      </c>
      <c r="K459" t="str">
        <f>"100000.00"</f>
        <v>100000.00</v>
      </c>
      <c r="L459" t="str">
        <f>"620000 ОБЛ СВЕРДЛОВСКАЯ   Г ЕКАТЕРИНБУРГ   УЛ РОЗЫ ЛЮКСЕМБУРГ д. 49"</f>
        <v>620000 ОБЛ СВЕРДЛОВСКАЯ   Г ЕКАТЕРИНБУРГ   УЛ РОЗЫ ЛЮКСЕМБУРГ д. 49</v>
      </c>
      <c r="M459" t="str">
        <f t="shared" si="79"/>
        <v>2019-08-24</v>
      </c>
      <c r="N459" t="str">
        <f>"ООО КА-РЭ"</f>
        <v>ООО КА-РЭ</v>
      </c>
      <c r="O459" t="str">
        <f>"620000"</f>
        <v>620000</v>
      </c>
      <c r="P459" t="str">
        <f>"ОБЛ СВЕРДЛОВСКАЯ"</f>
        <v>ОБЛ СВЕРДЛОВСКАЯ</v>
      </c>
      <c r="Q459" t="str">
        <f>""</f>
        <v/>
      </c>
      <c r="R459" t="str">
        <f>"Г ЕКАТЕРИНБУРГ"</f>
        <v>Г ЕКАТЕРИНБУРГ</v>
      </c>
      <c r="S459" t="str">
        <f>""</f>
        <v/>
      </c>
      <c r="T459" t="str">
        <f>"УЛ КРАУЛЯ"</f>
        <v>УЛ КРАУЛЯ</v>
      </c>
      <c r="U459" s="1" t="str">
        <f>"86"</f>
        <v>86</v>
      </c>
      <c r="V459" s="1" t="str">
        <f>""</f>
        <v/>
      </c>
      <c r="W459" s="1" t="str">
        <f>""</f>
        <v/>
      </c>
      <c r="X459" s="1" t="str">
        <f>""</f>
        <v/>
      </c>
      <c r="Y459" s="1" t="str">
        <f>"71"</f>
        <v>71</v>
      </c>
      <c r="Z459" t="str">
        <f>""</f>
        <v/>
      </c>
      <c r="AA459" t="str">
        <f>"9637567016"</f>
        <v>9637567016</v>
      </c>
      <c r="AB459" t="str">
        <f>"9637567016"</f>
        <v>9637567016</v>
      </c>
      <c r="AC459" t="str">
        <f>"9637567016"</f>
        <v>9637567016</v>
      </c>
      <c r="AD459" t="str">
        <f>"9637567016"</f>
        <v>9637567016</v>
      </c>
      <c r="AE459" t="str">
        <f>""</f>
        <v/>
      </c>
    </row>
    <row r="460" spans="1:31" x14ac:dyDescent="0.45">
      <c r="A460" t="str">
        <f>"СОБОЛЬ АЛИНА ЗИНУРОВНА"</f>
        <v>СОБОЛЬ АЛИНА ЗИНУРОВНА</v>
      </c>
      <c r="B460" t="str">
        <f>"1974-04-30"</f>
        <v>1974-04-30</v>
      </c>
      <c r="C460" t="str">
        <f>"74 12 813605"</f>
        <v>74 12 813605</v>
      </c>
      <c r="D460" t="str">
        <f>"4279016724156783"</f>
        <v>4279016724156783</v>
      </c>
      <c r="E460" t="str">
        <f t="shared" si="80"/>
        <v>2021-05-31</v>
      </c>
      <c r="F460" t="str">
        <f t="shared" si="81"/>
        <v>+</v>
      </c>
      <c r="G460" t="str">
        <f>"+"</f>
        <v>+</v>
      </c>
      <c r="H460" t="str">
        <f>"40817810916992200664"</f>
        <v>40817810916992200664</v>
      </c>
      <c r="I460" t="str">
        <f>"8369"</f>
        <v>8369</v>
      </c>
      <c r="J460" t="str">
        <f>"0003"</f>
        <v>0003</v>
      </c>
      <c r="K460" t="str">
        <f>"86000.00"</f>
        <v>86000.00</v>
      </c>
      <c r="L460" t="str">
        <f>"629300 ОБЛ ТЮМЕНСКАЯ АО ЯМАЛО-НЕНЕЦКИЙ Г НОВЫЙ УРЕНГОЙ   УЛ МОЛОДЕЖНАЯ д. 17 стр. А"</f>
        <v>629300 ОБЛ ТЮМЕНСКАЯ АО ЯМАЛО-НЕНЕЦКИЙ Г НОВЫЙ УРЕНГОЙ   УЛ МОЛОДЕЖНАЯ д. 17 стр. А</v>
      </c>
      <c r="M460" t="str">
        <f t="shared" si="79"/>
        <v>2019-08-24</v>
      </c>
      <c r="N460" t="str">
        <f>"ДЕТСКИЙ ДОМ ТВОРЧЕСТВА"</f>
        <v>ДЕТСКИЙ ДОМ ТВОРЧЕСТВА</v>
      </c>
      <c r="O460" t="str">
        <f>"629300"</f>
        <v>629300</v>
      </c>
      <c r="P460" t="str">
        <f>"ОБЛ ТЮМЕНСКАЯ"</f>
        <v>ОБЛ ТЮМЕНСКАЯ</v>
      </c>
      <c r="Q460" t="str">
        <f>"АО ЯМАЛО-НЕНЕЦКИЙ"</f>
        <v>АО ЯМАЛО-НЕНЕЦКИЙ</v>
      </c>
      <c r="R460" t="str">
        <f>"Г НОВЫЙ УРЕНГОЙ"</f>
        <v>Г НОВЫЙ УРЕНГОЙ</v>
      </c>
      <c r="S460" t="str">
        <f>""</f>
        <v/>
      </c>
      <c r="T460" t="str">
        <f>"ПР-КТ ЛЕНИНГРАДСКИЙ"</f>
        <v>ПР-КТ ЛЕНИНГРАДСКИЙ</v>
      </c>
      <c r="U460" s="1" t="str">
        <f>"19"</f>
        <v>19</v>
      </c>
      <c r="V460" s="1" t="str">
        <f>""</f>
        <v/>
      </c>
      <c r="W460" s="1" t="str">
        <f>""</f>
        <v/>
      </c>
      <c r="X460" s="1" t="str">
        <f>""</f>
        <v/>
      </c>
      <c r="Y460" s="1" t="str">
        <f>"23"</f>
        <v>23</v>
      </c>
      <c r="Z460" t="str">
        <f>""</f>
        <v/>
      </c>
      <c r="AA460" t="str">
        <f>"9174500844"</f>
        <v>9174500844</v>
      </c>
      <c r="AB460" t="str">
        <f>"9124269020"</f>
        <v>9124269020</v>
      </c>
      <c r="AC460" t="str">
        <f>"9174500844"</f>
        <v>9174500844</v>
      </c>
      <c r="AD460" t="str">
        <f>"9124269020"</f>
        <v>9124269020</v>
      </c>
      <c r="AE460" t="str">
        <f>""</f>
        <v/>
      </c>
    </row>
    <row r="461" spans="1:31" x14ac:dyDescent="0.45">
      <c r="A461" t="str">
        <f>"БАЖЕНОВ ДМИТРИЙ АНДРЕЕВИЧ"</f>
        <v>БАЖЕНОВ ДМИТРИЙ АНДРЕЕВИЧ</v>
      </c>
      <c r="B461" t="str">
        <f>"1995-02-23"</f>
        <v>1995-02-23</v>
      </c>
      <c r="C461" t="str">
        <f>"37 14 612025"</f>
        <v>37 14 612025</v>
      </c>
      <c r="D461" t="str">
        <f>"4854630411319836"</f>
        <v>4854630411319836</v>
      </c>
      <c r="E461" t="str">
        <f>"2021-04-30"</f>
        <v>2021-04-30</v>
      </c>
      <c r="F461" t="str">
        <f t="shared" si="81"/>
        <v>+</v>
      </c>
      <c r="G461" t="str">
        <f>"+"</f>
        <v>+</v>
      </c>
      <c r="H461" t="str">
        <f>"40817810516992241337"</f>
        <v>40817810516992241337</v>
      </c>
      <c r="I461" t="str">
        <f>"8647"</f>
        <v>8647</v>
      </c>
      <c r="J461" t="str">
        <f>"0079"</f>
        <v>0079</v>
      </c>
      <c r="K461" t="str">
        <f>"30000.00"</f>
        <v>30000.00</v>
      </c>
      <c r="L461" t="str">
        <f>"625000 ОБЛ ТЮМЕНСКАЯ   Г ТЮМЕНЬ   УЛ 50 ЛЕТ ВЛКСМ д. 109"</f>
        <v>625000 ОБЛ ТЮМЕНСКАЯ   Г ТЮМЕНЬ   УЛ 50 ЛЕТ ВЛКСМ д. 109</v>
      </c>
      <c r="M461" t="str">
        <f t="shared" si="79"/>
        <v>2019-08-24</v>
      </c>
      <c r="N461" t="str">
        <f>"ООО ВЕТЕРАН"</f>
        <v>ООО ВЕТЕРАН</v>
      </c>
      <c r="O461" t="str">
        <f>"641000"</f>
        <v>641000</v>
      </c>
      <c r="P461" t="str">
        <f>"ОБЛ КУРГАНСКАЯ"</f>
        <v>ОБЛ КУРГАНСКАЯ</v>
      </c>
      <c r="Q461" t="str">
        <f>""</f>
        <v/>
      </c>
      <c r="R461" t="str">
        <f>"Г КУРГАН"</f>
        <v>Г КУРГАН</v>
      </c>
      <c r="S461" t="str">
        <f>""</f>
        <v/>
      </c>
      <c r="T461" t="str">
        <f>"УЛ ЮБИЛЕЙНАЯ"</f>
        <v>УЛ ЮБИЛЕЙНАЯ</v>
      </c>
      <c r="U461" s="1" t="str">
        <f>"31"</f>
        <v>31</v>
      </c>
      <c r="V461" s="1" t="str">
        <f>""</f>
        <v/>
      </c>
      <c r="W461" s="1" t="str">
        <f>""</f>
        <v/>
      </c>
      <c r="X461" s="1" t="str">
        <f>""</f>
        <v/>
      </c>
      <c r="Y461" s="1" t="str">
        <f>"2"</f>
        <v>2</v>
      </c>
      <c r="Z461" t="str">
        <f>""</f>
        <v/>
      </c>
      <c r="AA461" t="str">
        <f>"9323235666"</f>
        <v>9323235666</v>
      </c>
      <c r="AB461" t="str">
        <f>"9323235666"</f>
        <v>9323235666</v>
      </c>
      <c r="AC461" t="str">
        <f>"9129753472"</f>
        <v>9129753472</v>
      </c>
      <c r="AD461" t="str">
        <f>"9323235666"</f>
        <v>9323235666</v>
      </c>
      <c r="AE461" t="str">
        <f>""</f>
        <v/>
      </c>
    </row>
    <row r="462" spans="1:31" x14ac:dyDescent="0.45">
      <c r="A462" t="str">
        <f>"БОРОДИНА ОЛЬГА АЛЕКСЕЕВНА"</f>
        <v>БОРОДИНА ОЛЬГА АЛЕКСЕЕВНА</v>
      </c>
      <c r="B462" t="str">
        <f>"1964-06-26"</f>
        <v>1964-06-26</v>
      </c>
      <c r="C462" t="str">
        <f>"65 08 593194"</f>
        <v>65 08 593194</v>
      </c>
      <c r="D462" t="str">
        <f>"4854630203643427"</f>
        <v>4854630203643427</v>
      </c>
      <c r="E462" t="str">
        <f>"2021-04-30"</f>
        <v>2021-04-30</v>
      </c>
      <c r="F462" t="str">
        <f>"K"</f>
        <v>K</v>
      </c>
      <c r="G462" t="str">
        <f>"Q"</f>
        <v>Q</v>
      </c>
      <c r="H462" t="str">
        <f>"40817810816991464132"</f>
        <v>40817810816991464132</v>
      </c>
      <c r="I462" t="str">
        <f>"7003"</f>
        <v>7003</v>
      </c>
      <c r="J462" t="str">
        <f>"0839"</f>
        <v>0839</v>
      </c>
      <c r="K462" t="str">
        <f>"0.00"</f>
        <v>0.00</v>
      </c>
      <c r="L462" t="str">
        <f>"624350 ОБЛ СВЕРДЛОВСКАЯ   Г КАЧКАНАР   УЛ СВЕРДЛОВА"</f>
        <v>624350 ОБЛ СВЕРДЛОВСКАЯ   Г КАЧКАНАР   УЛ СВЕРДЛОВА</v>
      </c>
      <c r="M462" t="str">
        <f t="shared" si="79"/>
        <v>2019-08-24</v>
      </c>
      <c r="N462" t="str">
        <f>"МОУ ЛИЦЕЦ"</f>
        <v>МОУ ЛИЦЕЦ</v>
      </c>
      <c r="O462" t="str">
        <f>"620000"</f>
        <v>620000</v>
      </c>
      <c r="P462" t="str">
        <f>"ОБЛ СВЕРДЛОВСКАЯ"</f>
        <v>ОБЛ СВЕРДЛОВСКАЯ</v>
      </c>
      <c r="Q462" t="str">
        <f>""</f>
        <v/>
      </c>
      <c r="R462" t="str">
        <f>"Г КАЧКАНАР"</f>
        <v>Г КАЧКАНАР</v>
      </c>
      <c r="S462" t="str">
        <f>""</f>
        <v/>
      </c>
      <c r="T462" t="str">
        <f>"МКР ОКТЯБРЬСКАЯ"</f>
        <v>МКР ОКТЯБРЬСКАЯ</v>
      </c>
      <c r="U462" s="1" t="str">
        <f>"1"</f>
        <v>1</v>
      </c>
      <c r="V462" s="1" t="str">
        <f>""</f>
        <v/>
      </c>
      <c r="W462" s="1" t="str">
        <f>""</f>
        <v/>
      </c>
      <c r="X462" s="1" t="str">
        <f>""</f>
        <v/>
      </c>
      <c r="Y462" s="1" t="str">
        <f>"1"</f>
        <v>1</v>
      </c>
      <c r="Z462" t="str">
        <f>"9089004913"</f>
        <v>9089004913</v>
      </c>
      <c r="AA462" t="str">
        <f>"9826501426"</f>
        <v>9826501426</v>
      </c>
      <c r="AB462" t="str">
        <f>"9826501426"</f>
        <v>9826501426</v>
      </c>
      <c r="AC462" t="str">
        <f>"3434135199"</f>
        <v>3434135199</v>
      </c>
      <c r="AD462" t="str">
        <f>"9826501426"</f>
        <v>9826501426</v>
      </c>
      <c r="AE462" t="str">
        <f>""</f>
        <v/>
      </c>
    </row>
    <row r="463" spans="1:31" x14ac:dyDescent="0.45">
      <c r="A463" t="str">
        <f>"ОЛЕЙНИКОВ МИХАИЛ ЛЕОНИДОВИЧ"</f>
        <v>ОЛЕЙНИКОВ МИХАИЛ ЛЕОНИДОВИЧ</v>
      </c>
      <c r="B463" t="str">
        <f>"1972-11-05"</f>
        <v>1972-11-05</v>
      </c>
      <c r="C463" t="str">
        <f>"80 17 671506"</f>
        <v>80 17 671506</v>
      </c>
      <c r="D463" t="str">
        <f>"4854630381068199"</f>
        <v>4854630381068199</v>
      </c>
      <c r="E463" t="str">
        <f>"2021-04-30"</f>
        <v>2021-04-30</v>
      </c>
      <c r="F463" t="str">
        <f>"+"</f>
        <v>+</v>
      </c>
      <c r="G463" t="str">
        <f>"+"</f>
        <v>+</v>
      </c>
      <c r="H463" t="str">
        <f>"40817810016991427830"</f>
        <v>40817810016991427830</v>
      </c>
      <c r="I463" t="str">
        <f>"8598"</f>
        <v>8598</v>
      </c>
      <c r="J463" t="str">
        <f>"0163"</f>
        <v>0163</v>
      </c>
      <c r="K463" t="str">
        <f>"100000.00"</f>
        <v>100000.00</v>
      </c>
      <c r="L463" t="str">
        <f>"450000 РЕСП БАШКОРТОСТАН   Г УФА   УЛ КАРЛА МАРКСА д. 58"</f>
        <v>450000 РЕСП БАШКОРТОСТАН   Г УФА   УЛ КАРЛА МАРКСА д. 58</v>
      </c>
      <c r="M463" t="str">
        <f t="shared" si="79"/>
        <v>2019-08-24</v>
      </c>
      <c r="N463" t="str">
        <f>"ИП ОЛЕЙНИКОВ"</f>
        <v>ИП ОЛЕЙНИКОВ</v>
      </c>
      <c r="O463" t="str">
        <f>"450000"</f>
        <v>450000</v>
      </c>
      <c r="P463" t="str">
        <f>"РЕСП БАШКОРТОСТАН"</f>
        <v>РЕСП БАШКОРТОСТАН</v>
      </c>
      <c r="Q463" t="str">
        <f>""</f>
        <v/>
      </c>
      <c r="R463" t="str">
        <f>"Г УФА"</f>
        <v>Г УФА</v>
      </c>
      <c r="S463" t="str">
        <f>""</f>
        <v/>
      </c>
      <c r="T463" t="str">
        <f>"УЛ ЗАПОТОЦКАЯ"</f>
        <v>УЛ ЗАПОТОЦКАЯ</v>
      </c>
      <c r="U463" s="1" t="str">
        <f>"48"</f>
        <v>48</v>
      </c>
      <c r="V463" s="1" t="str">
        <f>""</f>
        <v/>
      </c>
      <c r="W463" s="1" t="str">
        <f>""</f>
        <v/>
      </c>
      <c r="X463" s="1" t="str">
        <f>""</f>
        <v/>
      </c>
      <c r="Y463" s="1" t="str">
        <f>"12"</f>
        <v>12</v>
      </c>
      <c r="Z463" t="str">
        <f>""</f>
        <v/>
      </c>
      <c r="AA463" t="str">
        <f>"9272326234"</f>
        <v>9272326234</v>
      </c>
      <c r="AB463" t="str">
        <f>"9272326234"</f>
        <v>9272326234</v>
      </c>
      <c r="AC463" t="str">
        <f>"9272326234"</f>
        <v>9272326234</v>
      </c>
      <c r="AD463" t="str">
        <f>"9272326234"</f>
        <v>9272326234</v>
      </c>
      <c r="AE463" t="str">
        <f>""</f>
        <v/>
      </c>
    </row>
    <row r="464" spans="1:31" x14ac:dyDescent="0.45">
      <c r="A464" t="str">
        <f>"КОВАЛЕВ АЛЕКСАНДР ВЛАДИМИРОВИЧ"</f>
        <v>КОВАЛЕВ АЛЕКСАНДР ВЛАДИМИРОВИЧ</v>
      </c>
      <c r="B464" t="str">
        <f>"1961-01-15"</f>
        <v>1961-01-15</v>
      </c>
      <c r="C464" t="str">
        <f>"65 05 730382"</f>
        <v>65 05 730382</v>
      </c>
      <c r="D464" t="str">
        <f>"4854630354367941"</f>
        <v>4854630354367941</v>
      </c>
      <c r="E464" t="str">
        <f>"2021-05-31"</f>
        <v>2021-05-31</v>
      </c>
      <c r="F464" t="str">
        <f>"+"</f>
        <v>+</v>
      </c>
      <c r="G464" t="str">
        <f>"+"</f>
        <v>+</v>
      </c>
      <c r="H464" t="str">
        <f>"40817810516991464144"</f>
        <v>40817810516991464144</v>
      </c>
      <c r="I464" t="str">
        <f>"7003"</f>
        <v>7003</v>
      </c>
      <c r="J464" t="str">
        <f>"0706"</f>
        <v>0706</v>
      </c>
      <c r="K464" t="str">
        <f>"15000.00"</f>
        <v>15000.00</v>
      </c>
      <c r="L464" t="str">
        <f>"620000 ОБЛ СВЕРДЛОВСКАЯ   Г РЕВДА   УЛ ПАВЛА ЗЫКИНА д. 30"</f>
        <v>620000 ОБЛ СВЕРДЛОВСКАЯ   Г РЕВДА   УЛ ПАВЛА ЗЫКИНА д. 30</v>
      </c>
      <c r="M464" t="str">
        <f t="shared" si="79"/>
        <v>2019-08-24</v>
      </c>
      <c r="N464" t="str">
        <f>"ПФР"</f>
        <v>ПФР</v>
      </c>
      <c r="O464" t="str">
        <f>"620000"</f>
        <v>620000</v>
      </c>
      <c r="P464" t="str">
        <f>"ОБЛ СВЕРДЛОВСКАЯ"</f>
        <v>ОБЛ СВЕРДЛОВСКАЯ</v>
      </c>
      <c r="Q464" t="str">
        <f>""</f>
        <v/>
      </c>
      <c r="R464" t="str">
        <f>"Г РЕВДА"</f>
        <v>Г РЕВДА</v>
      </c>
      <c r="S464" t="str">
        <f>""</f>
        <v/>
      </c>
      <c r="T464" t="str">
        <f>"УЛ П. ЗЫКИНА"</f>
        <v>УЛ П. ЗЫКИНА</v>
      </c>
      <c r="U464" s="1" t="str">
        <f>"30"</f>
        <v>30</v>
      </c>
      <c r="V464" s="1" t="str">
        <f>""</f>
        <v/>
      </c>
      <c r="W464" s="1" t="str">
        <f>""</f>
        <v/>
      </c>
      <c r="X464" s="1" t="str">
        <f>""</f>
        <v/>
      </c>
      <c r="Y464" s="1" t="str">
        <f>"101"</f>
        <v>101</v>
      </c>
      <c r="Z464" t="str">
        <f>"9126130631"</f>
        <v>9126130631</v>
      </c>
      <c r="AA464" t="str">
        <f>"3439720660"</f>
        <v>3439720660</v>
      </c>
      <c r="AB464" t="str">
        <f>"9126130631"</f>
        <v>9126130631</v>
      </c>
      <c r="AC464" t="str">
        <f>"3439758660"</f>
        <v>3439758660</v>
      </c>
      <c r="AD464" t="str">
        <f>"9126130631"</f>
        <v>9126130631</v>
      </c>
      <c r="AE464" t="str">
        <f>"9126130631"</f>
        <v>9126130631</v>
      </c>
    </row>
    <row r="465" spans="1:31" x14ac:dyDescent="0.45">
      <c r="A465" t="str">
        <f>"МИХАЙЛОВА НАТАЛЬЯ ВЯЧЕСЛАВОВНА"</f>
        <v>МИХАЙЛОВА НАТАЛЬЯ ВЯЧЕСЛАВОВНА</v>
      </c>
      <c r="B465" t="str">
        <f>"1974-07-03"</f>
        <v>1974-07-03</v>
      </c>
      <c r="C465" t="str">
        <f>"67 19 825680"</f>
        <v>67 19 825680</v>
      </c>
      <c r="D465" t="str">
        <f>"4279016729467052"</f>
        <v>4279016729467052</v>
      </c>
      <c r="E465" t="str">
        <f>"2021-05-31"</f>
        <v>2021-05-31</v>
      </c>
      <c r="F465" t="str">
        <f>"Q"</f>
        <v>Q</v>
      </c>
      <c r="G465" t="str">
        <f>"Q"</f>
        <v>Q</v>
      </c>
      <c r="H465" t="str">
        <f>"40817810467720699706"</f>
        <v>40817810467720699706</v>
      </c>
      <c r="I465" t="str">
        <f>"5940"</f>
        <v>5940</v>
      </c>
      <c r="J465" t="str">
        <f>"0083"</f>
        <v>0083</v>
      </c>
      <c r="K465" t="str">
        <f t="shared" ref="K465:K467" si="82">"0.00"</f>
        <v>0.00</v>
      </c>
      <c r="L465" t="str">
        <f>"628405 АО ХАНТЫ-МАНСИЙСКИЙ   Г СУРГУТ   УЛ ЮГОРСКАЯ д. 34"</f>
        <v>628405 АО ХАНТЫ-МАНСИЙСКИЙ   Г СУРГУТ   УЛ ЮГОРСКАЯ д. 34</v>
      </c>
      <c r="M465" t="str">
        <f t="shared" si="79"/>
        <v>2019-08-24</v>
      </c>
      <c r="N465" t="str">
        <f>"ОАО СУРГУТАВТОТРАНС"</f>
        <v>ОАО СУРГУТАВТОТРАНС</v>
      </c>
      <c r="O465" t="str">
        <f>"628400"</f>
        <v>628400</v>
      </c>
      <c r="P465" t="str">
        <f>"ОБЛ ТЮМЕНСКАЯ"</f>
        <v>ОБЛ ТЮМЕНСКАЯ</v>
      </c>
      <c r="Q465" t="str">
        <f>""</f>
        <v/>
      </c>
      <c r="R465" t="str">
        <f>"Г СУРГУТ"</f>
        <v>Г СУРГУТ</v>
      </c>
      <c r="S465" t="str">
        <f>""</f>
        <v/>
      </c>
      <c r="T465" t="str">
        <f>"УЛ ИГОРЯ КИРТБАЯ"</f>
        <v>УЛ ИГОРЯ КИРТБАЯ</v>
      </c>
      <c r="U465" s="1" t="str">
        <f>"20"</f>
        <v>20</v>
      </c>
      <c r="V465" s="1" t="str">
        <f>""</f>
        <v/>
      </c>
      <c r="W465" s="1" t="str">
        <f>""</f>
        <v/>
      </c>
      <c r="X465" s="1" t="str">
        <f>""</f>
        <v/>
      </c>
      <c r="Y465" s="1" t="str">
        <f>"46"</f>
        <v>46</v>
      </c>
      <c r="Z465" t="str">
        <f>"+7 (3462) 481279"</f>
        <v>+7 (3462) 481279</v>
      </c>
      <c r="AA465" t="str">
        <f>"+7 (3462) 513290"</f>
        <v>+7 (3462) 513290</v>
      </c>
      <c r="AB465" t="str">
        <f>"+7 (902) 4937840"</f>
        <v>+7 (902) 4937840</v>
      </c>
      <c r="AC465" t="str">
        <f>"9003917817"</f>
        <v>9003917817</v>
      </c>
      <c r="AD465" t="str">
        <f>"9024937840"</f>
        <v>9024937840</v>
      </c>
      <c r="AE465" t="str">
        <f>"3462778465"</f>
        <v>3462778465</v>
      </c>
    </row>
    <row r="466" spans="1:31" x14ac:dyDescent="0.45">
      <c r="A466" t="str">
        <f>"АКШЕВ РЕНАТ ГАРЯФЕТДИНОВИЧ"</f>
        <v>АКШЕВ РЕНАТ ГАРЯФЕТДИНОВИЧ</v>
      </c>
      <c r="B466" t="str">
        <f>"1986-05-06"</f>
        <v>1986-05-06</v>
      </c>
      <c r="C466" t="str">
        <f>"69 07 227184"</f>
        <v>69 07 227184</v>
      </c>
      <c r="D466" t="str">
        <f>"4854630378342201"</f>
        <v>4854630378342201</v>
      </c>
      <c r="E466" t="str">
        <f>"2021-04-30"</f>
        <v>2021-04-30</v>
      </c>
      <c r="F466" t="str">
        <f>"Y"</f>
        <v>Y</v>
      </c>
      <c r="G466" t="str">
        <f>"Q"</f>
        <v>Q</v>
      </c>
      <c r="H466" t="str">
        <f>"40817810016992067079"</f>
        <v>40817810016992067079</v>
      </c>
      <c r="I466" t="str">
        <f>"5940"</f>
        <v>5940</v>
      </c>
      <c r="J466" t="str">
        <f>"0135"</f>
        <v>0135</v>
      </c>
      <c r="K466" t="str">
        <f t="shared" si="82"/>
        <v>0.00</v>
      </c>
      <c r="L466" t="str">
        <f>"628600 ОБЛ ТЮМЕНСКАЯ АО ХМАО Г НИЖНЕВАРТОВСК   УЛ ЛЕНИНА д. 4"</f>
        <v>628600 ОБЛ ТЮМЕНСКАЯ АО ХМАО Г НИЖНЕВАРТОВСК   УЛ ЛЕНИНА д. 4</v>
      </c>
      <c r="M466" t="str">
        <f t="shared" si="79"/>
        <v>2019-08-24</v>
      </c>
      <c r="N466" t="str">
        <f>"АО САМОТЛОРНЕФТЕГАЗ"</f>
        <v>АО САМОТЛОРНЕФТЕГАЗ</v>
      </c>
      <c r="O466" t="str">
        <f>"628600"</f>
        <v>628600</v>
      </c>
      <c r="P466" t="str">
        <f>"ОБЛ ТЮМЕНСКАЯ"</f>
        <v>ОБЛ ТЮМЕНСКАЯ</v>
      </c>
      <c r="Q466" t="str">
        <f>"АО ХМАО"</f>
        <v>АО ХМАО</v>
      </c>
      <c r="R466" t="str">
        <f>"Г НИЖНЕВАРТОВСК"</f>
        <v>Г НИЖНЕВАРТОВСК</v>
      </c>
      <c r="S466" t="str">
        <f>""</f>
        <v/>
      </c>
      <c r="T466" t="str">
        <f>"УЛ ПЕРМСКАЯ"</f>
        <v>УЛ ПЕРМСКАЯ</v>
      </c>
      <c r="U466" s="1" t="str">
        <f>"5"</f>
        <v>5</v>
      </c>
      <c r="V466" s="1" t="str">
        <f>""</f>
        <v/>
      </c>
      <c r="W466" s="1" t="str">
        <f>""</f>
        <v/>
      </c>
      <c r="X466" s="1" t="str">
        <f>""</f>
        <v/>
      </c>
      <c r="Y466" s="1" t="str">
        <f>"25"</f>
        <v>25</v>
      </c>
      <c r="Z466" t="str">
        <f>""</f>
        <v/>
      </c>
      <c r="AA466" t="str">
        <f>"9292948666"</f>
        <v>9292948666</v>
      </c>
      <c r="AB466" t="str">
        <f>"9129309777"</f>
        <v>9129309777</v>
      </c>
      <c r="AC466" t="str">
        <f>"9292948666"</f>
        <v>9292948666</v>
      </c>
      <c r="AD466" t="str">
        <f>"9129309777"</f>
        <v>9129309777</v>
      </c>
      <c r="AE466" t="str">
        <f>""</f>
        <v/>
      </c>
    </row>
    <row r="467" spans="1:31" x14ac:dyDescent="0.45">
      <c r="A467" t="str">
        <f>"БЕЛЯКОВА ЛЮДМИЛА ВИКТОРОВНА"</f>
        <v>БЕЛЯКОВА ЛЮДМИЛА ВИКТОРОВНА</v>
      </c>
      <c r="B467" t="str">
        <f>"1972-03-29"</f>
        <v>1972-03-29</v>
      </c>
      <c r="C467" t="str">
        <f>"71 17 278691"</f>
        <v>71 17 278691</v>
      </c>
      <c r="D467" t="str">
        <f>"4854630103233212"</f>
        <v>4854630103233212</v>
      </c>
      <c r="E467" t="str">
        <f>"2021-05-31"</f>
        <v>2021-05-31</v>
      </c>
      <c r="F467" t="str">
        <f>"Y"</f>
        <v>Y</v>
      </c>
      <c r="G467" t="str">
        <f>"Q"</f>
        <v>Q</v>
      </c>
      <c r="H467" t="str">
        <f>"40817810516992455343"</f>
        <v>40817810516992455343</v>
      </c>
      <c r="I467" t="str">
        <f>"8647"</f>
        <v>8647</v>
      </c>
      <c r="J467" t="str">
        <f>"0089"</f>
        <v>0089</v>
      </c>
      <c r="K467" t="str">
        <f t="shared" si="82"/>
        <v>0.00</v>
      </c>
      <c r="L467" t="str">
        <f>"625000 ОБЛ ТЮМЕНСКАЯ   Г ТЮМЕНЬ   УЛ ЧЕРЕПАНОВА д. 29"</f>
        <v>625000 ОБЛ ТЮМЕНСКАЯ   Г ТЮМЕНЬ   УЛ ЧЕРЕПАНОВА д. 29</v>
      </c>
      <c r="M467" t="str">
        <f t="shared" si="79"/>
        <v>2019-08-24</v>
      </c>
      <c r="N467" t="str">
        <f>"67101934"</f>
        <v>67101934</v>
      </c>
      <c r="O467" t="str">
        <f>"625000"</f>
        <v>625000</v>
      </c>
      <c r="P467" t="str">
        <f>"ОБЛ ТЮМЕНСКАЯ"</f>
        <v>ОБЛ ТЮМЕНСКАЯ</v>
      </c>
      <c r="Q467" t="str">
        <f>""</f>
        <v/>
      </c>
      <c r="R467" t="str">
        <f>"Г ТЮМЕНЬ"</f>
        <v>Г ТЮМЕНЬ</v>
      </c>
      <c r="S467" t="str">
        <f>""</f>
        <v/>
      </c>
      <c r="T467" t="str">
        <f>"УЛ ШИРОТНАЯ"</f>
        <v>УЛ ШИРОТНАЯ</v>
      </c>
      <c r="U467" s="1" t="str">
        <f>"45"</f>
        <v>45</v>
      </c>
      <c r="V467" s="1" t="str">
        <f>""</f>
        <v/>
      </c>
      <c r="W467" s="1" t="str">
        <f>""</f>
        <v/>
      </c>
      <c r="X467" s="1" t="str">
        <f>""</f>
        <v/>
      </c>
      <c r="Y467" s="1" t="str">
        <f>"34"</f>
        <v>34</v>
      </c>
      <c r="Z467" t="str">
        <f>""</f>
        <v/>
      </c>
      <c r="AA467" t="str">
        <f>"9222696980"</f>
        <v>9222696980</v>
      </c>
      <c r="AB467" t="str">
        <f>"9222696980"</f>
        <v>9222696980</v>
      </c>
      <c r="AC467" t="str">
        <f>"9504908151"</f>
        <v>9504908151</v>
      </c>
      <c r="AD467" t="str">
        <f>"9222696980"</f>
        <v>9222696980</v>
      </c>
      <c r="AE467" t="str">
        <f>""</f>
        <v/>
      </c>
    </row>
    <row r="468" spans="1:31" x14ac:dyDescent="0.45">
      <c r="A468" t="str">
        <f>"ПЕРШИНА ОЛЬГА ВЛАДИМИРОВНА"</f>
        <v>ПЕРШИНА ОЛЬГА ВЛАДИМИРОВНА</v>
      </c>
      <c r="B468" t="str">
        <f>"1974-09-21"</f>
        <v>1974-09-21</v>
      </c>
      <c r="C468" t="str">
        <f>"65 10 902267"</f>
        <v>65 10 902267</v>
      </c>
      <c r="D468" t="str">
        <f>"4854630364839145"</f>
        <v>4854630364839145</v>
      </c>
      <c r="E468" t="str">
        <f>"2021-05-31"</f>
        <v>2021-05-31</v>
      </c>
      <c r="F468" t="str">
        <f t="shared" ref="F468:G471" si="83">"+"</f>
        <v>+</v>
      </c>
      <c r="G468" t="str">
        <f t="shared" si="83"/>
        <v>+</v>
      </c>
      <c r="H468" t="str">
        <f>"40817810416991464176"</f>
        <v>40817810416991464176</v>
      </c>
      <c r="I468" t="str">
        <f>"7003"</f>
        <v>7003</v>
      </c>
      <c r="J468" t="str">
        <f>"0406"</f>
        <v>0406</v>
      </c>
      <c r="K468" t="str">
        <f>"20000.00"</f>
        <v>20000.00</v>
      </c>
      <c r="L468" t="str">
        <f>"620000 ОБЛ СВЕРДЛОВСКАЯ   Г ЕКАТЕРИНБУРГ   УЛ ВОССТАНИЯ д. 50"</f>
        <v>620000 ОБЛ СВЕРДЛОВСКАЯ   Г ЕКАТЕРИНБУРГ   УЛ ВОССТАНИЯ д. 50</v>
      </c>
      <c r="M468" t="str">
        <f t="shared" si="79"/>
        <v>2019-08-24</v>
      </c>
      <c r="N468" t="str">
        <f>"ООО ЛЕВ"</f>
        <v>ООО ЛЕВ</v>
      </c>
      <c r="O468" t="str">
        <f>"620000"</f>
        <v>620000</v>
      </c>
      <c r="P468" t="str">
        <f>"ОБЛ СВЕРДЛОВСКАЯ"</f>
        <v>ОБЛ СВЕРДЛОВСКАЯ</v>
      </c>
      <c r="Q468" t="str">
        <f>""</f>
        <v/>
      </c>
      <c r="R468" t="str">
        <f>"Г ЕКАТЕРИНБУРГ"</f>
        <v>Г ЕКАТЕРИНБУРГ</v>
      </c>
      <c r="S468" t="str">
        <f>""</f>
        <v/>
      </c>
      <c r="T468" t="str">
        <f>"УЛ УРАЛЬСКИХ РАБОЧИХ"</f>
        <v>УЛ УРАЛЬСКИХ РАБОЧИХ</v>
      </c>
      <c r="U468" s="1" t="str">
        <f>"41"</f>
        <v>41</v>
      </c>
      <c r="V468" s="1" t="str">
        <f>""</f>
        <v/>
      </c>
      <c r="W468" s="1" t="str">
        <f>""</f>
        <v/>
      </c>
      <c r="X468" s="1" t="str">
        <f>""</f>
        <v/>
      </c>
      <c r="Y468" s="1" t="str">
        <f>"141"</f>
        <v>141</v>
      </c>
      <c r="Z468" t="str">
        <f>""</f>
        <v/>
      </c>
      <c r="AA468" t="str">
        <f>"9678534472"</f>
        <v>9678534472</v>
      </c>
      <c r="AB468" t="str">
        <f>"9678534472"</f>
        <v>9678534472</v>
      </c>
      <c r="AC468" t="str">
        <f>"9678534472"</f>
        <v>9678534472</v>
      </c>
      <c r="AD468" t="str">
        <f>"9678534472"</f>
        <v>9678534472</v>
      </c>
      <c r="AE468" t="str">
        <f>""</f>
        <v/>
      </c>
    </row>
    <row r="469" spans="1:31" x14ac:dyDescent="0.45">
      <c r="A469" t="str">
        <f>"ШИШМАКОВА ТАТЬЯНА ПЕТРОВНА"</f>
        <v>ШИШМАКОВА ТАТЬЯНА ПЕТРОВНА</v>
      </c>
      <c r="B469" t="str">
        <f>"1955-07-10"</f>
        <v>1955-07-10</v>
      </c>
      <c r="C469" t="str">
        <f>"74 99 088785"</f>
        <v>74 99 088785</v>
      </c>
      <c r="D469" t="str">
        <f>"4854630382327537"</f>
        <v>4854630382327537</v>
      </c>
      <c r="E469" t="str">
        <f>"2021-04-30"</f>
        <v>2021-04-30</v>
      </c>
      <c r="F469" t="str">
        <f t="shared" si="83"/>
        <v>+</v>
      </c>
      <c r="G469" t="str">
        <f t="shared" si="83"/>
        <v>+</v>
      </c>
      <c r="H469" t="str">
        <f>"40817810816991427852"</f>
        <v>40817810816991427852</v>
      </c>
      <c r="I469" t="str">
        <f>"7003"</f>
        <v>7003</v>
      </c>
      <c r="J469" t="str">
        <f>"0725"</f>
        <v>0725</v>
      </c>
      <c r="K469" t="str">
        <f>"60000.00"</f>
        <v>60000.00</v>
      </c>
      <c r="L469" t="str">
        <f>"624140 ОБЛ СВЕРДЛОВСКАЯ   Г КИРОВГРАД   УЛ БУЛЬВАР ЦЕНТРАЛЬНЫЙ д. 2 корп. 1 кв. 40"</f>
        <v>624140 ОБЛ СВЕРДЛОВСКАЯ   Г КИРОВГРАД   УЛ БУЛЬВАР ЦЕНТРАЛЬНЫЙ д. 2 корп. 1 кв. 40</v>
      </c>
      <c r="M469" t="str">
        <f t="shared" si="79"/>
        <v>2019-08-24</v>
      </c>
      <c r="N469" t="str">
        <f>"ПЕНСИОНЕР"</f>
        <v>ПЕНСИОНЕР</v>
      </c>
      <c r="O469" t="str">
        <f>"624140"</f>
        <v>624140</v>
      </c>
      <c r="P469" t="str">
        <f>"ОБЛ СВЕРДЛОВСКАЯ"</f>
        <v>ОБЛ СВЕРДЛОВСКАЯ</v>
      </c>
      <c r="Q469" t="str">
        <f>""</f>
        <v/>
      </c>
      <c r="R469" t="str">
        <f>"Г КИРОВГРАД"</f>
        <v>Г КИРОВГРАД</v>
      </c>
      <c r="S469" t="str">
        <f>""</f>
        <v/>
      </c>
      <c r="T469" t="str">
        <f>"УЛ БУЛЬВАР ЦЕНТРАЛЬНЫЙ"</f>
        <v>УЛ БУЛЬВАР ЦЕНТРАЛЬНЫЙ</v>
      </c>
      <c r="U469" s="1" t="str">
        <f>"2"</f>
        <v>2</v>
      </c>
      <c r="V469" s="1" t="str">
        <f>""</f>
        <v/>
      </c>
      <c r="W469" s="1" t="str">
        <f>"1"</f>
        <v>1</v>
      </c>
      <c r="X469" s="1" t="str">
        <f>""</f>
        <v/>
      </c>
      <c r="Y469" s="1" t="str">
        <f>"40"</f>
        <v>40</v>
      </c>
      <c r="Z469" t="str">
        <f>"+7 (922) 1394830"</f>
        <v>+7 (922) 1394830</v>
      </c>
      <c r="AA469" t="str">
        <f>"+7 (922) 6085181"</f>
        <v>+7 (922) 6085181</v>
      </c>
      <c r="AB469" t="str">
        <f>"+7 (922) 6085181"</f>
        <v>+7 (922) 6085181</v>
      </c>
      <c r="AC469" t="str">
        <f>"9221394830"</f>
        <v>9221394830</v>
      </c>
      <c r="AD469" t="str">
        <f>"9226085181"</f>
        <v>9226085181</v>
      </c>
      <c r="AE469" t="str">
        <f>"9221394830"</f>
        <v>9221394830</v>
      </c>
    </row>
    <row r="470" spans="1:31" x14ac:dyDescent="0.45">
      <c r="A470" t="str">
        <f>"ФИРУЛЕВ ВЛАДИМИР АРКАДЬЕВИЧ"</f>
        <v>ФИРУЛЕВ ВЛАДИМИР АРКАДЬЕВИЧ</v>
      </c>
      <c r="B470" t="str">
        <f>"1962-10-30"</f>
        <v>1962-10-30</v>
      </c>
      <c r="C470" t="str">
        <f>"65 07 225162"</f>
        <v>65 07 225162</v>
      </c>
      <c r="D470" t="str">
        <f>"4854630360898517"</f>
        <v>4854630360898517</v>
      </c>
      <c r="E470" t="str">
        <f>"2021-05-31"</f>
        <v>2021-05-31</v>
      </c>
      <c r="F470" t="str">
        <f t="shared" si="83"/>
        <v>+</v>
      </c>
      <c r="G470" t="str">
        <f t="shared" si="83"/>
        <v>+</v>
      </c>
      <c r="H470" t="str">
        <f>"40817810916991464184"</f>
        <v>40817810916991464184</v>
      </c>
      <c r="I470" t="str">
        <f>"7003"</f>
        <v>7003</v>
      </c>
      <c r="J470" t="str">
        <f>"0503"</f>
        <v>0503</v>
      </c>
      <c r="K470" t="str">
        <f>"125000.00"</f>
        <v>125000.00</v>
      </c>
      <c r="L470" t="str">
        <f>"620014 ОБЛ СВЕРДЛОВСКАЯ   Г ЕКАТЕРИНБУРГ   ПЕР ТЕАТРАЛЬНЫЙ д. 4"</f>
        <v>620014 ОБЛ СВЕРДЛОВСКАЯ   Г ЕКАТЕРИНБУРГ   ПЕР ТЕАТРАЛЬНЫЙ д. 4</v>
      </c>
      <c r="M470" t="str">
        <f t="shared" si="79"/>
        <v>2019-08-24</v>
      </c>
      <c r="N470" t="str">
        <f>"АДМИНИСТРАЦИЯ ГОРОДА"</f>
        <v>АДМИНИСТРАЦИЯ ГОРОДА</v>
      </c>
      <c r="O470" t="str">
        <f>"620000"</f>
        <v>620000</v>
      </c>
      <c r="P470" t="str">
        <f>"ОБЛ СВЕРДЛОВСКАЯ"</f>
        <v>ОБЛ СВЕРДЛОВСКАЯ</v>
      </c>
      <c r="Q470" t="str">
        <f>""</f>
        <v/>
      </c>
      <c r="R470" t="str">
        <f>"Г ЕКАТЕРИНБУРГ"</f>
        <v>Г ЕКАТЕРИНБУРГ</v>
      </c>
      <c r="S470" t="str">
        <f>""</f>
        <v/>
      </c>
      <c r="T470" t="str">
        <f>"УЛ РОДОНИТОВАЯ"</f>
        <v>УЛ РОДОНИТОВАЯ</v>
      </c>
      <c r="U470" s="1" t="str">
        <f>"8"</f>
        <v>8</v>
      </c>
      <c r="V470" s="1" t="str">
        <f>""</f>
        <v/>
      </c>
      <c r="W470" s="1" t="str">
        <f>""</f>
        <v/>
      </c>
      <c r="X470" s="1" t="str">
        <f>""</f>
        <v/>
      </c>
      <c r="Y470" s="1" t="str">
        <f>"282"</f>
        <v>282</v>
      </c>
      <c r="Z470" t="str">
        <f>""</f>
        <v/>
      </c>
      <c r="AA470" t="str">
        <f>"9024453219"</f>
        <v>9024453219</v>
      </c>
      <c r="AB470" t="str">
        <f>"9024453219"</f>
        <v>9024453219</v>
      </c>
      <c r="AC470" t="str">
        <f>"9024453219"</f>
        <v>9024453219</v>
      </c>
      <c r="AD470" t="str">
        <f>"9024453219"</f>
        <v>9024453219</v>
      </c>
      <c r="AE470" t="str">
        <f>""</f>
        <v/>
      </c>
    </row>
    <row r="471" spans="1:31" x14ac:dyDescent="0.45">
      <c r="A471" t="str">
        <f>"СОЛОМИН ЕВГЕНИЙ ВАСИЛЬЕВИЧ"</f>
        <v>СОЛОМИН ЕВГЕНИЙ ВАСИЛЬЕВИЧ</v>
      </c>
      <c r="B471" t="str">
        <f>"1956-01-22"</f>
        <v>1956-01-22</v>
      </c>
      <c r="C471" t="str">
        <f>"80 03 890271"</f>
        <v>80 03 890271</v>
      </c>
      <c r="D471" t="str">
        <f>"4854630384768647"</f>
        <v>4854630384768647</v>
      </c>
      <c r="E471" t="str">
        <f>"2021-04-30"</f>
        <v>2021-04-30</v>
      </c>
      <c r="F471" t="str">
        <f t="shared" si="83"/>
        <v>+</v>
      </c>
      <c r="G471" t="str">
        <f t="shared" si="83"/>
        <v>+</v>
      </c>
      <c r="H471" t="str">
        <f>"40817810316991427860"</f>
        <v>40817810316991427860</v>
      </c>
      <c r="I471" t="str">
        <f>"8598"</f>
        <v>8598</v>
      </c>
      <c r="J471" t="str">
        <f>"0130"</f>
        <v>0130</v>
      </c>
      <c r="K471" t="str">
        <f>"10000.00"</f>
        <v>10000.00</v>
      </c>
      <c r="L471" t="str">
        <f>"450000 РЕСП БАШКОРТОСТАН   Г УФА   УЛ ЛЕВИТАНА д. 22 стр. 4"</f>
        <v>450000 РЕСП БАШКОРТОСТАН   Г УФА   УЛ ЛЕВИТАНА д. 22 стр. 4</v>
      </c>
      <c r="M471" t="str">
        <f t="shared" si="79"/>
        <v>2019-08-24</v>
      </c>
      <c r="N471" t="str">
        <f>"ПЕНСИОННЫЙ ФОНД"</f>
        <v>ПЕНСИОННЫЙ ФОНД</v>
      </c>
      <c r="O471" t="str">
        <f>"450000"</f>
        <v>450000</v>
      </c>
      <c r="P471" t="str">
        <f>"РЕСП БАШКОРТОСТАН"</f>
        <v>РЕСП БАШКОРТОСТАН</v>
      </c>
      <c r="Q471" t="str">
        <f>""</f>
        <v/>
      </c>
      <c r="R471" t="str">
        <f>"Г УФА"</f>
        <v>Г УФА</v>
      </c>
      <c r="S471" t="str">
        <f>""</f>
        <v/>
      </c>
      <c r="T471" t="str">
        <f>"УЛ ДАГЕСТАНСКАЯ"</f>
        <v>УЛ ДАГЕСТАНСКАЯ</v>
      </c>
      <c r="U471" s="1" t="str">
        <f>"15"</f>
        <v>15</v>
      </c>
      <c r="V471" s="1" t="str">
        <f>""</f>
        <v/>
      </c>
      <c r="W471" s="1" t="str">
        <f>""</f>
        <v/>
      </c>
      <c r="X471" s="1" t="str">
        <f>""</f>
        <v/>
      </c>
      <c r="Y471" s="1" t="str">
        <f>"46"</f>
        <v>46</v>
      </c>
      <c r="Z471" t="str">
        <f>""</f>
        <v/>
      </c>
      <c r="AA471" t="str">
        <f>"9174472321"</f>
        <v>9174472321</v>
      </c>
      <c r="AB471" t="str">
        <f>"9174472321"</f>
        <v>9174472321</v>
      </c>
      <c r="AC471" t="str">
        <f>"9879874696"</f>
        <v>9879874696</v>
      </c>
      <c r="AD471" t="str">
        <f>"9174472321"</f>
        <v>9174472321</v>
      </c>
      <c r="AE471" t="str">
        <f>""</f>
        <v/>
      </c>
    </row>
    <row r="472" spans="1:31" x14ac:dyDescent="0.45">
      <c r="A472" t="str">
        <f>"БАЛАГУТДИНОВА ЛИЛИЯ НАФКАТОВНА"</f>
        <v>БАЛАГУТДИНОВА ЛИЛИЯ НАФКАТОВНА</v>
      </c>
      <c r="B472" t="str">
        <f>"1988-05-21"</f>
        <v>1988-05-21</v>
      </c>
      <c r="C472" t="str">
        <f>"80 07 532592"</f>
        <v>80 07 532592</v>
      </c>
      <c r="D472" t="str">
        <f>"4854630350348283"</f>
        <v>4854630350348283</v>
      </c>
      <c r="E472" t="str">
        <f>"2021-04-30"</f>
        <v>2021-04-30</v>
      </c>
      <c r="F472" t="str">
        <f>"K"</f>
        <v>K</v>
      </c>
      <c r="G472" t="str">
        <f>"Q"</f>
        <v>Q</v>
      </c>
      <c r="H472" t="str">
        <f>"40817810316991427912"</f>
        <v>40817810316991427912</v>
      </c>
      <c r="I472" t="str">
        <f>"8598"</f>
        <v>8598</v>
      </c>
      <c r="J472" t="str">
        <f>"0622"</f>
        <v>0622</v>
      </c>
      <c r="K472" t="str">
        <f>"0.00"</f>
        <v>0.00</v>
      </c>
      <c r="L472" t="str">
        <f>"450000 РЕСП БАШКОРТОСТАН Р-Н ТАТЫШЛИНСКИЙ   С ТАТЫШЛЫ УЛ ЛЕНИНА д. 89"</f>
        <v>450000 РЕСП БАШКОРТОСТАН Р-Н ТАТЫШЛИНСКИЙ   С ТАТЫШЛЫ УЛ ЛЕНИНА д. 89</v>
      </c>
      <c r="M472" t="str">
        <f t="shared" si="79"/>
        <v>2019-08-24</v>
      </c>
      <c r="N472" t="str">
        <f>"ТАТЫШЛИНСКОЕ РАЙПО"</f>
        <v>ТАТЫШЛИНСКОЕ РАЙПО</v>
      </c>
      <c r="O472" t="str">
        <f>"450000"</f>
        <v>450000</v>
      </c>
      <c r="P472" t="str">
        <f>"РЕСП БАШКОРТОСТАН"</f>
        <v>РЕСП БАШКОРТОСТАН</v>
      </c>
      <c r="Q472" t="str">
        <f>"Р-Н ТАТЫШЛИНСКИЙ"</f>
        <v>Р-Н ТАТЫШЛИНСКИЙ</v>
      </c>
      <c r="R472" t="str">
        <f>""</f>
        <v/>
      </c>
      <c r="S472" t="str">
        <f>"Д БАДРЯШЕВО"</f>
        <v>Д БАДРЯШЕВО</v>
      </c>
      <c r="T472" t="str">
        <f>"УЛ МОЛОДЕЖНАЯ"</f>
        <v>УЛ МОЛОДЕЖНАЯ</v>
      </c>
      <c r="U472" s="1" t="str">
        <f>"15"</f>
        <v>15</v>
      </c>
      <c r="V472" s="1" t="str">
        <f>""</f>
        <v/>
      </c>
      <c r="W472" s="1" t="str">
        <f>""</f>
        <v/>
      </c>
      <c r="X472" s="1" t="str">
        <f>""</f>
        <v/>
      </c>
      <c r="Y472" s="1" t="str">
        <f>""</f>
        <v/>
      </c>
      <c r="Z472" t="str">
        <f>"3477821684"</f>
        <v>3477821684</v>
      </c>
      <c r="AA472" t="str">
        <f>"9373431902"</f>
        <v>9373431902</v>
      </c>
      <c r="AB472" t="str">
        <f>"9373431902"</f>
        <v>9373431902</v>
      </c>
      <c r="AC472" t="str">
        <f>"9373431902"</f>
        <v>9373431902</v>
      </c>
      <c r="AD472" t="str">
        <f>"9373431902"</f>
        <v>9373431902</v>
      </c>
      <c r="AE472" t="str">
        <f>"3477821684"</f>
        <v>3477821684</v>
      </c>
    </row>
    <row r="473" spans="1:31" x14ac:dyDescent="0.45">
      <c r="A473" t="str">
        <f>"ИДРИСОВ РУСТАМ РАШИТОВИЧ"</f>
        <v>ИДРИСОВ РУСТАМ РАШИТОВИЧ</v>
      </c>
      <c r="B473" t="str">
        <f>"1989-02-06"</f>
        <v>1989-02-06</v>
      </c>
      <c r="C473" t="str">
        <f>"80 08 734588"</f>
        <v>80 08 734588</v>
      </c>
      <c r="D473" t="str">
        <f>"5313100725182223"</f>
        <v>5313100725182223</v>
      </c>
      <c r="E473" t="str">
        <f>"2020-07-31"</f>
        <v>2020-07-31</v>
      </c>
      <c r="F473" t="str">
        <f>"K"</f>
        <v>K</v>
      </c>
      <c r="G473" t="str">
        <f t="shared" ref="G473:G485" si="84">"+"</f>
        <v>+</v>
      </c>
      <c r="H473" t="str">
        <f>"40817810416991427948"</f>
        <v>40817810416991427948</v>
      </c>
      <c r="I473" t="str">
        <f>"8598"</f>
        <v>8598</v>
      </c>
      <c r="J473" t="str">
        <f>"0122"</f>
        <v>0122</v>
      </c>
      <c r="K473" t="str">
        <f>"300000.00"</f>
        <v>300000.00</v>
      </c>
      <c r="L473" t="str">
        <f>"450000 РЕСП БАШКОРТОСТАН   Г УФА   УЛ МАРШАЛА ЖУКОВО д. 14"</f>
        <v>450000 РЕСП БАШКОРТОСТАН   Г УФА   УЛ МАРШАЛА ЖУКОВО д. 14</v>
      </c>
      <c r="M473" t="str">
        <f t="shared" si="79"/>
        <v>2019-08-24</v>
      </c>
      <c r="N473" t="str">
        <f>"ИП ИДРИСОВ"</f>
        <v>ИП ИДРИСОВ</v>
      </c>
      <c r="O473" t="str">
        <f>"450000"</f>
        <v>450000</v>
      </c>
      <c r="P473" t="str">
        <f>"РЕСП БАШКОРТОСТАН"</f>
        <v>РЕСП БАШКОРТОСТАН</v>
      </c>
      <c r="Q473" t="str">
        <f>"Р-Н БИЖБУЛЯКСКИЙ"</f>
        <v>Р-Н БИЖБУЛЯКСКИЙ</v>
      </c>
      <c r="R473" t="str">
        <f>""</f>
        <v/>
      </c>
      <c r="S473" t="str">
        <f>"Д МУРАДЫМОВО"</f>
        <v>Д МУРАДЫМОВО</v>
      </c>
      <c r="T473" t="str">
        <f>"УЛ М. ГАРЕЕВА"</f>
        <v>УЛ М. ГАРЕЕВА</v>
      </c>
      <c r="U473" s="1" t="str">
        <f>"50"</f>
        <v>50</v>
      </c>
      <c r="V473" s="1" t="str">
        <f>""</f>
        <v/>
      </c>
      <c r="W473" s="1" t="str">
        <f>""</f>
        <v/>
      </c>
      <c r="X473" s="1" t="str">
        <f>""</f>
        <v/>
      </c>
      <c r="Y473" s="1" t="str">
        <f>"1"</f>
        <v>1</v>
      </c>
      <c r="Z473" t="str">
        <f>"9870531622"</f>
        <v>9870531622</v>
      </c>
      <c r="AA473" t="str">
        <f>"9870531622"</f>
        <v>9870531622</v>
      </c>
      <c r="AB473" t="str">
        <f>"9870531622"</f>
        <v>9870531622</v>
      </c>
      <c r="AC473" t="str">
        <f>"9870531622"</f>
        <v>9870531622</v>
      </c>
      <c r="AD473" t="str">
        <f>"9870531622"</f>
        <v>9870531622</v>
      </c>
      <c r="AE473" t="str">
        <f>"9870531622"</f>
        <v>9870531622</v>
      </c>
    </row>
    <row r="474" spans="1:31" x14ac:dyDescent="0.45">
      <c r="A474" t="str">
        <f>"ТОЛСТЕНЕВ ВЛАДИМИР АЛЕКСАНДРОВИЧ"</f>
        <v>ТОЛСТЕНЕВ ВЛАДИМИР АЛЕКСАНДРОВИЧ</v>
      </c>
      <c r="B474" t="str">
        <f>"1960-11-07"</f>
        <v>1960-11-07</v>
      </c>
      <c r="C474" t="str">
        <f>"67 04 420051"</f>
        <v>67 04 420051</v>
      </c>
      <c r="D474" t="str">
        <f>"4854630379840948"</f>
        <v>4854630379840948</v>
      </c>
      <c r="E474" t="str">
        <f>"2021-04-30"</f>
        <v>2021-04-30</v>
      </c>
      <c r="F474" t="str">
        <f>"Z"</f>
        <v>Z</v>
      </c>
      <c r="G474" t="str">
        <f t="shared" si="84"/>
        <v>+</v>
      </c>
      <c r="H474" t="str">
        <f>"40817810116992454362"</f>
        <v>40817810116992454362</v>
      </c>
      <c r="I474" t="str">
        <f>"5940"</f>
        <v>5940</v>
      </c>
      <c r="J474" t="str">
        <f>"0116"</f>
        <v>0116</v>
      </c>
      <c r="K474" t="str">
        <f>"18000.00"</f>
        <v>18000.00</v>
      </c>
      <c r="L474" t="str">
        <f>"628600 ОБЛ ТЮМЕНСКАЯ   ПГТ ИЗЛУЧИНСК   УЛ ТАЕЖНАЯ д. 10 кв. 93"</f>
        <v>628600 ОБЛ ТЮМЕНСКАЯ   ПГТ ИЗЛУЧИНСК   УЛ ТАЕЖНАЯ д. 10 кв. 93</v>
      </c>
      <c r="M474" t="str">
        <f t="shared" si="79"/>
        <v>2019-08-24</v>
      </c>
      <c r="N474" t="str">
        <f>"ПЕНСИОНЕР"</f>
        <v>ПЕНСИОНЕР</v>
      </c>
      <c r="O474" t="str">
        <f>"628600"</f>
        <v>628600</v>
      </c>
      <c r="P474" t="str">
        <f>"ОБЛ ТЮМЕНСКАЯ"</f>
        <v>ОБЛ ТЮМЕНСКАЯ</v>
      </c>
      <c r="Q474" t="str">
        <f>""</f>
        <v/>
      </c>
      <c r="R474" t="str">
        <f>"ПГТ ИЗЛУЧИНСК"</f>
        <v>ПГТ ИЗЛУЧИНСК</v>
      </c>
      <c r="S474" t="str">
        <f>""</f>
        <v/>
      </c>
      <c r="T474" t="str">
        <f>"УЛ ТАЕЖНАЯ"</f>
        <v>УЛ ТАЕЖНАЯ</v>
      </c>
      <c r="U474" s="1" t="str">
        <f>"10"</f>
        <v>10</v>
      </c>
      <c r="V474" s="1" t="str">
        <f>""</f>
        <v/>
      </c>
      <c r="W474" s="1" t="str">
        <f>""</f>
        <v/>
      </c>
      <c r="X474" s="1" t="str">
        <f>""</f>
        <v/>
      </c>
      <c r="Y474" s="1" t="str">
        <f>"93"</f>
        <v>93</v>
      </c>
      <c r="Z474" t="str">
        <f>""</f>
        <v/>
      </c>
      <c r="AA474" t="str">
        <f>"9125390691"</f>
        <v>9125390691</v>
      </c>
      <c r="AB474" t="str">
        <f>"9129334280"</f>
        <v>9129334280</v>
      </c>
      <c r="AC474" t="str">
        <f>"9125390691"</f>
        <v>9125390691</v>
      </c>
      <c r="AD474" t="str">
        <f>"9129334280"</f>
        <v>9129334280</v>
      </c>
      <c r="AE474" t="str">
        <f>""</f>
        <v/>
      </c>
    </row>
    <row r="475" spans="1:31" x14ac:dyDescent="0.45">
      <c r="A475" t="str">
        <f>"ЛЕБЕДЕВА СВЕТЛАНА ГЕННАДЬЕВНА"</f>
        <v>ЛЕБЕДЕВА СВЕТЛАНА ГЕННАДЬЕВНА</v>
      </c>
      <c r="B475" t="str">
        <f>"1996-02-05"</f>
        <v>1996-02-05</v>
      </c>
      <c r="C475" t="str">
        <f>"71 16 211250"</f>
        <v>71 16 211250</v>
      </c>
      <c r="D475" t="str">
        <f>"4854630375612614"</f>
        <v>4854630375612614</v>
      </c>
      <c r="E475" t="str">
        <f>"2021-04-30"</f>
        <v>2021-04-30</v>
      </c>
      <c r="F475" t="str">
        <f t="shared" ref="F475:F480" si="85">"+"</f>
        <v>+</v>
      </c>
      <c r="G475" t="str">
        <f t="shared" si="84"/>
        <v>+</v>
      </c>
      <c r="H475" t="str">
        <f>"40817810816992066377"</f>
        <v>40817810816992066377</v>
      </c>
      <c r="I475" t="str">
        <f>"8647"</f>
        <v>8647</v>
      </c>
      <c r="J475" t="str">
        <f>"0288"</f>
        <v>0288</v>
      </c>
      <c r="K475" t="str">
        <f>"150000.00"</f>
        <v>150000.00</v>
      </c>
      <c r="L475" t="str">
        <f>"626150 ОБЛ ТЮМЕНСКАЯ   Г ТОБОЛЬСК   МКР 7 д. 0"</f>
        <v>626150 ОБЛ ТЮМЕНСКАЯ   Г ТОБОЛЬСК   МКР 7 д. 0</v>
      </c>
      <c r="M475" t="str">
        <f t="shared" si="79"/>
        <v>2019-08-24</v>
      </c>
      <c r="N475" t="str">
        <f>"ЗАО ТОРГОВЫЙ ДОМ ПЕРЕКРЕСТОК"</f>
        <v>ЗАО ТОРГОВЫЙ ДОМ ПЕРЕКРЕСТОК</v>
      </c>
      <c r="O475" t="str">
        <f>"626150"</f>
        <v>626150</v>
      </c>
      <c r="P475" t="str">
        <f>"ОБЛ ТЮМЕНСКАЯ"</f>
        <v>ОБЛ ТЮМЕНСКАЯ</v>
      </c>
      <c r="Q475" t="str">
        <f>""</f>
        <v/>
      </c>
      <c r="R475" t="str">
        <f>"Г ТОБОЛЬСК"</f>
        <v>Г ТОБОЛЬСК</v>
      </c>
      <c r="S475" t="str">
        <f>""</f>
        <v/>
      </c>
      <c r="T475" t="str">
        <f>"МКР 6"</f>
        <v>МКР 6</v>
      </c>
      <c r="U475" s="1" t="str">
        <f>"120"</f>
        <v>120</v>
      </c>
      <c r="V475" s="1" t="str">
        <f>""</f>
        <v/>
      </c>
      <c r="W475" s="1" t="str">
        <f>"Б"</f>
        <v>Б</v>
      </c>
      <c r="X475" s="1" t="str">
        <f>""</f>
        <v/>
      </c>
      <c r="Y475" s="1" t="str">
        <f>"513"</f>
        <v>513</v>
      </c>
      <c r="Z475" t="str">
        <f>""</f>
        <v/>
      </c>
      <c r="AA475" t="str">
        <f>"9504941552"</f>
        <v>9504941552</v>
      </c>
      <c r="AB475" t="str">
        <f>"9827776387"</f>
        <v>9827776387</v>
      </c>
      <c r="AC475" t="str">
        <f>"9504941552"</f>
        <v>9504941552</v>
      </c>
      <c r="AD475" t="str">
        <f>"9827776387"</f>
        <v>9827776387</v>
      </c>
      <c r="AE475" t="str">
        <f>""</f>
        <v/>
      </c>
    </row>
    <row r="476" spans="1:31" x14ac:dyDescent="0.45">
      <c r="A476" t="str">
        <f>"ИОНОВ ВАЛЕРИЙ ЛЕОНИДОВИЧ"</f>
        <v>ИОНОВ ВАЛЕРИЙ ЛЕОНИДОВИЧ</v>
      </c>
      <c r="B476" t="str">
        <f>"1954-02-15"</f>
        <v>1954-02-15</v>
      </c>
      <c r="C476" t="str">
        <f>"65 04 294698"</f>
        <v>65 04 294698</v>
      </c>
      <c r="D476" t="str">
        <f>"4854630425141077"</f>
        <v>4854630425141077</v>
      </c>
      <c r="E476" t="str">
        <f>"2020-09-30"</f>
        <v>2020-09-30</v>
      </c>
      <c r="F476" t="str">
        <f t="shared" si="85"/>
        <v>+</v>
      </c>
      <c r="G476" t="str">
        <f t="shared" si="84"/>
        <v>+</v>
      </c>
      <c r="H476" t="str">
        <f>"40817810016991464110"</f>
        <v>40817810016991464110</v>
      </c>
      <c r="I476" t="str">
        <f>"7003"</f>
        <v>7003</v>
      </c>
      <c r="J476" t="str">
        <f>"0892"</f>
        <v>0892</v>
      </c>
      <c r="K476" t="str">
        <f>"16000.00"</f>
        <v>16000.00</v>
      </c>
      <c r="L476" t="str">
        <f>"628600 ОБЛ ТЮМЕНСКАЯ     Д ВЕРХНЯЯ ПОЛДНЕВАЯ УЛ КУНАВИНА д. 40"</f>
        <v>628600 ОБЛ ТЮМЕНСКАЯ     Д ВЕРХНЯЯ ПОЛДНЕВАЯ УЛ КУНАВИНА д. 40</v>
      </c>
      <c r="M476" t="str">
        <f t="shared" si="79"/>
        <v>2019-08-24</v>
      </c>
      <c r="N476" t="str">
        <f>"ПЕНСИОНЕР"</f>
        <v>ПЕНСИОНЕР</v>
      </c>
      <c r="O476" t="str">
        <f>"628600"</f>
        <v>628600</v>
      </c>
      <c r="P476" t="str">
        <f>"ОБЛ СВЕРДЛОВСКАЯ"</f>
        <v>ОБЛ СВЕРДЛОВСКАЯ</v>
      </c>
      <c r="Q476" t="str">
        <f>""</f>
        <v/>
      </c>
      <c r="R476" t="str">
        <f>""</f>
        <v/>
      </c>
      <c r="S476" t="str">
        <f>"Д ВЕРХНЯЯ ПОЛДНЕВАЯ"</f>
        <v>Д ВЕРХНЯЯ ПОЛДНЕВАЯ</v>
      </c>
      <c r="T476" t="str">
        <f>"УЛ КУНАВИНА"</f>
        <v>УЛ КУНАВИНА</v>
      </c>
      <c r="U476" s="1" t="str">
        <f>"40"</f>
        <v>40</v>
      </c>
      <c r="V476" s="1" t="str">
        <f>""</f>
        <v/>
      </c>
      <c r="W476" s="1" t="str">
        <f>""</f>
        <v/>
      </c>
      <c r="X476" s="1" t="str">
        <f>""</f>
        <v/>
      </c>
      <c r="Y476" s="1" t="str">
        <f>""</f>
        <v/>
      </c>
      <c r="Z476" t="str">
        <f>"+7 (982) 7077472"</f>
        <v>+7 (982) 7077472</v>
      </c>
      <c r="AA476" t="str">
        <f>"+7 (982) 7077472"</f>
        <v>+7 (982) 7077472</v>
      </c>
      <c r="AB476" t="str">
        <f>"+7 (952) 1488843"</f>
        <v>+7 (952) 1488843</v>
      </c>
      <c r="AC476" t="str">
        <f>"9827077472"</f>
        <v>9827077472</v>
      </c>
      <c r="AD476" t="str">
        <f>"9827077472"</f>
        <v>9827077472</v>
      </c>
      <c r="AE476" t="str">
        <f>"9827077472"</f>
        <v>9827077472</v>
      </c>
    </row>
    <row r="477" spans="1:31" x14ac:dyDescent="0.45">
      <c r="A477" t="str">
        <f>"РОМАНЧУК ИВАН ИВАНОВИЧ"</f>
        <v>РОМАНЧУК ИВАН ИВАНОВИЧ</v>
      </c>
      <c r="B477" t="str">
        <f>"1967-12-14"</f>
        <v>1967-12-14</v>
      </c>
      <c r="C477" t="str">
        <f>"37 12 493139"</f>
        <v>37 12 493139</v>
      </c>
      <c r="D477" t="str">
        <f>"4854630409773937"</f>
        <v>4854630409773937</v>
      </c>
      <c r="E477" t="str">
        <f>"2021-04-30"</f>
        <v>2021-04-30</v>
      </c>
      <c r="F477" t="str">
        <f t="shared" si="85"/>
        <v>+</v>
      </c>
      <c r="G477" t="str">
        <f t="shared" si="84"/>
        <v>+</v>
      </c>
      <c r="H477" t="str">
        <f>"40817810316991464111"</f>
        <v>40817810316991464111</v>
      </c>
      <c r="I477" t="str">
        <f>"8599"</f>
        <v>8599</v>
      </c>
      <c r="J477" t="str">
        <f>"0269"</f>
        <v>0269</v>
      </c>
      <c r="K477" t="str">
        <f>"50000.00"</f>
        <v>50000.00</v>
      </c>
      <c r="L477" t="str">
        <f>"641000 ОБЛ КУРГАНСКАЯ   Г ШАДРИНСК   УЛ РАЗВИНА д. 97 кв. 70"</f>
        <v>641000 ОБЛ КУРГАНСКАЯ   Г ШАДРИНСК   УЛ РАЗВИНА д. 97 кв. 70</v>
      </c>
      <c r="M477" t="str">
        <f t="shared" si="79"/>
        <v>2019-08-24</v>
      </c>
      <c r="N477" t="str">
        <f>"ПЕНСИОНЕР"</f>
        <v>ПЕНСИОНЕР</v>
      </c>
      <c r="O477" t="str">
        <f>"641000"</f>
        <v>641000</v>
      </c>
      <c r="P477" t="str">
        <f>"ОБЛ КУРГАНСКАЯ"</f>
        <v>ОБЛ КУРГАНСКАЯ</v>
      </c>
      <c r="Q477" t="str">
        <f>""</f>
        <v/>
      </c>
      <c r="R477" t="str">
        <f>"Г ШАДРИНСК"</f>
        <v>Г ШАДРИНСК</v>
      </c>
      <c r="S477" t="str">
        <f>""</f>
        <v/>
      </c>
      <c r="T477" t="str">
        <f>"УЛ РАЗВИНА"</f>
        <v>УЛ РАЗВИНА</v>
      </c>
      <c r="U477" s="1" t="str">
        <f>"97"</f>
        <v>97</v>
      </c>
      <c r="V477" s="1" t="str">
        <f>""</f>
        <v/>
      </c>
      <c r="W477" s="1" t="str">
        <f>""</f>
        <v/>
      </c>
      <c r="X477" s="1" t="str">
        <f>""</f>
        <v/>
      </c>
      <c r="Y477" s="1" t="str">
        <f>"70"</f>
        <v>70</v>
      </c>
      <c r="Z477" t="str">
        <f>"9125287738"</f>
        <v>9125287738</v>
      </c>
      <c r="AA477" t="str">
        <f>"9195871412"</f>
        <v>9195871412</v>
      </c>
      <c r="AB477" t="str">
        <f>"9195871412"</f>
        <v>9195871412</v>
      </c>
      <c r="AC477" t="str">
        <f>"9195871412"</f>
        <v>9195871412</v>
      </c>
      <c r="AD477" t="str">
        <f>"9195871412"</f>
        <v>9195871412</v>
      </c>
      <c r="AE477" t="str">
        <f>"9125287738"</f>
        <v>9125287738</v>
      </c>
    </row>
    <row r="478" spans="1:31" x14ac:dyDescent="0.45">
      <c r="A478" t="str">
        <f>"ХАКИМОВ УРАЛ УРАЛОВИЧ"</f>
        <v>ХАКИМОВ УРАЛ УРАЛОВИЧ</v>
      </c>
      <c r="B478" t="str">
        <f>"1983-01-07"</f>
        <v>1983-01-07</v>
      </c>
      <c r="C478" t="str">
        <f>"80 13 931835"</f>
        <v>80 13 931835</v>
      </c>
      <c r="D478" t="str">
        <f>"4854630383516765"</f>
        <v>4854630383516765</v>
      </c>
      <c r="E478" t="str">
        <f>"2021-04-30"</f>
        <v>2021-04-30</v>
      </c>
      <c r="F478" t="str">
        <f t="shared" si="85"/>
        <v>+</v>
      </c>
      <c r="G478" t="str">
        <f t="shared" si="84"/>
        <v>+</v>
      </c>
      <c r="H478" t="str">
        <f>"40817810416991427825"</f>
        <v>40817810416991427825</v>
      </c>
      <c r="I478" t="str">
        <f>"8598"</f>
        <v>8598</v>
      </c>
      <c r="J478" t="str">
        <f>"0059"</f>
        <v>0059</v>
      </c>
      <c r="K478" t="str">
        <f>"300000.00"</f>
        <v>300000.00</v>
      </c>
      <c r="L478" t="str">
        <f>"450000 РЕСП БАШКОРТОСТАН   Г УФА   УЛ МАЛАЯ СИЛИКАТНАЯ д. 31"</f>
        <v>450000 РЕСП БАШКОРТОСТАН   Г УФА   УЛ МАЛАЯ СИЛИКАТНАЯ д. 31</v>
      </c>
      <c r="M478" t="str">
        <f t="shared" si="79"/>
        <v>2019-08-24</v>
      </c>
      <c r="N478" t="str">
        <f>"ООО БИОМЕД"</f>
        <v>ООО БИОМЕД</v>
      </c>
      <c r="O478" t="str">
        <f>"450000"</f>
        <v>450000</v>
      </c>
      <c r="P478" t="str">
        <f>"РЕСП БАШКОРТОСТАН"</f>
        <v>РЕСП БАШКОРТОСТАН</v>
      </c>
      <c r="Q478" t="str">
        <f>"Р-Н УФИМСКИЙ"</f>
        <v>Р-Н УФИМСКИЙ</v>
      </c>
      <c r="R478" t="str">
        <f>""</f>
        <v/>
      </c>
      <c r="S478" t="str">
        <f>"С РУССКИЙ ЮРМАШ"</f>
        <v>С РУССКИЙ ЮРМАШ</v>
      </c>
      <c r="T478" t="str">
        <f>"УЛ ЖЕЛЕЗНОДОРОЖНАЯ"</f>
        <v>УЛ ЖЕЛЕЗНОДОРОЖНАЯ</v>
      </c>
      <c r="U478" s="1" t="str">
        <f>"20Б"</f>
        <v>20Б</v>
      </c>
      <c r="V478" s="1" t="str">
        <f>""</f>
        <v/>
      </c>
      <c r="W478" s="1" t="str">
        <f>""</f>
        <v/>
      </c>
      <c r="X478" s="1" t="str">
        <f>""</f>
        <v/>
      </c>
      <c r="Y478" s="1" t="str">
        <f>""</f>
        <v/>
      </c>
      <c r="Z478" t="str">
        <f>"9177318265"</f>
        <v>9177318265</v>
      </c>
      <c r="AA478" t="str">
        <f>"9177318102"</f>
        <v>9177318102</v>
      </c>
      <c r="AB478" t="str">
        <f>"9177318102"</f>
        <v>9177318102</v>
      </c>
      <c r="AC478" t="str">
        <f>"9177318102"</f>
        <v>9177318102</v>
      </c>
      <c r="AD478" t="str">
        <f>"9177318102"</f>
        <v>9177318102</v>
      </c>
      <c r="AE478" t="str">
        <f>"9177318265"</f>
        <v>9177318265</v>
      </c>
    </row>
    <row r="479" spans="1:31" x14ac:dyDescent="0.45">
      <c r="A479" t="str">
        <f>"КОЧЕРГИНА ЕЛЕНА НИКОЛАЕВНА"</f>
        <v>КОЧЕРГИНА ЕЛЕНА НИКОЛАЕВНА</v>
      </c>
      <c r="B479" t="str">
        <f>"1975-01-24"</f>
        <v>1975-01-24</v>
      </c>
      <c r="C479" t="str">
        <f>"80 02 570378"</f>
        <v>80 02 570378</v>
      </c>
      <c r="D479" t="str">
        <f>"4854630204787793"</f>
        <v>4854630204787793</v>
      </c>
      <c r="E479" t="str">
        <f>"2021-04-30"</f>
        <v>2021-04-30</v>
      </c>
      <c r="F479" t="str">
        <f t="shared" si="85"/>
        <v>+</v>
      </c>
      <c r="G479" t="str">
        <f t="shared" si="84"/>
        <v>+</v>
      </c>
      <c r="H479" t="str">
        <f>"40817810316991427831"</f>
        <v>40817810316991427831</v>
      </c>
      <c r="I479" t="str">
        <f>"8598"</f>
        <v>8598</v>
      </c>
      <c r="J479" t="str">
        <f>"0765"</f>
        <v>0765</v>
      </c>
      <c r="K479" t="str">
        <f>"30000.00"</f>
        <v>30000.00</v>
      </c>
      <c r="L479" t="str">
        <f>"453850 РЕСП БАШКОРТОСТАН Р-Н МЕЛЕУЗОВСКИЙ Г МЕЛЕУЗ   УЛ ПРАВДЫ д. 4 кв. 5"</f>
        <v>453850 РЕСП БАШКОРТОСТАН Р-Н МЕЛЕУЗОВСКИЙ Г МЕЛЕУЗ   УЛ ПРАВДЫ д. 4 кв. 5</v>
      </c>
      <c r="M479" t="str">
        <f t="shared" si="79"/>
        <v>2019-08-24</v>
      </c>
      <c r="N479" t="str">
        <f>"ООО ЦЕНТР ЗАБОТЫ"</f>
        <v>ООО ЦЕНТР ЗАБОТЫ</v>
      </c>
      <c r="O479" t="str">
        <f>"453850"</f>
        <v>453850</v>
      </c>
      <c r="P479" t="str">
        <f>"РЕСП БАШКОРТОСТАН"</f>
        <v>РЕСП БАШКОРТОСТАН</v>
      </c>
      <c r="Q479" t="str">
        <f>"Р-Н МЕЛЕУЗОВСКИЙ"</f>
        <v>Р-Н МЕЛЕУЗОВСКИЙ</v>
      </c>
      <c r="R479" t="str">
        <f>"Г МЕЛЕУЗ"</f>
        <v>Г МЕЛЕУЗ</v>
      </c>
      <c r="S479" t="str">
        <f>""</f>
        <v/>
      </c>
      <c r="T479" t="str">
        <f>"УЛ ПРАВДЫ"</f>
        <v>УЛ ПРАВДЫ</v>
      </c>
      <c r="U479" s="1" t="str">
        <f>"4"</f>
        <v>4</v>
      </c>
      <c r="V479" s="1" t="str">
        <f>""</f>
        <v/>
      </c>
      <c r="W479" s="1" t="str">
        <f>""</f>
        <v/>
      </c>
      <c r="X479" s="1" t="str">
        <f>""</f>
        <v/>
      </c>
      <c r="Y479" s="1" t="str">
        <f>"5"</f>
        <v>5</v>
      </c>
      <c r="Z479" t="str">
        <f>""</f>
        <v/>
      </c>
      <c r="AA479" t="str">
        <f>"9279246032"</f>
        <v>9279246032</v>
      </c>
      <c r="AB479" t="str">
        <f>"9279246032"</f>
        <v>9279246032</v>
      </c>
      <c r="AC479" t="str">
        <f>"9279246032"</f>
        <v>9279246032</v>
      </c>
      <c r="AD479" t="str">
        <f>"9279246032"</f>
        <v>9279246032</v>
      </c>
      <c r="AE479" t="str">
        <f>""</f>
        <v/>
      </c>
    </row>
    <row r="480" spans="1:31" x14ac:dyDescent="0.45">
      <c r="A480" t="str">
        <f>"ЦЫПЛЯТНИКОВА НИНА АРКАДЬЕВНА"</f>
        <v>ЦЫПЛЯТНИКОВА НИНА АРКАДЬЕВНА</v>
      </c>
      <c r="B480" t="str">
        <f>"1957-03-23"</f>
        <v>1957-03-23</v>
      </c>
      <c r="C480" t="str">
        <f>"65 05 027470"</f>
        <v>65 05 027470</v>
      </c>
      <c r="D480" t="str">
        <f>"4854630362557863"</f>
        <v>4854630362557863</v>
      </c>
      <c r="E480" t="str">
        <f>"2021-05-31"</f>
        <v>2021-05-31</v>
      </c>
      <c r="F480" t="str">
        <f t="shared" si="85"/>
        <v>+</v>
      </c>
      <c r="G480" t="str">
        <f t="shared" si="84"/>
        <v>+</v>
      </c>
      <c r="H480" t="str">
        <f>"40817810716991464151"</f>
        <v>40817810716991464151</v>
      </c>
      <c r="I480" t="str">
        <f>"7003"</f>
        <v>7003</v>
      </c>
      <c r="J480" t="str">
        <f>"0383"</f>
        <v>0383</v>
      </c>
      <c r="K480" t="str">
        <f>"45000.00"</f>
        <v>45000.00</v>
      </c>
      <c r="L480" t="str">
        <f>"620000 ОБЛ СВЕРДЛОВСКАЯ   Г ЕКАТЕРИНБУРГ   УЛ ЧКАЛОВА"</f>
        <v>620000 ОБЛ СВЕРДЛОВСКАЯ   Г ЕКАТЕРИНБУРГ   УЛ ЧКАЛОВА</v>
      </c>
      <c r="M480" t="str">
        <f t="shared" si="79"/>
        <v>2019-08-24</v>
      </c>
      <c r="N480" t="str">
        <f>"ПФР"</f>
        <v>ПФР</v>
      </c>
      <c r="O480" t="str">
        <f>"620000"</f>
        <v>620000</v>
      </c>
      <c r="P480" t="str">
        <f>"ОБЛ СВЕРДЛОВСКАЯ"</f>
        <v>ОБЛ СВЕРДЛОВСКАЯ</v>
      </c>
      <c r="Q480" t="str">
        <f>""</f>
        <v/>
      </c>
      <c r="R480" t="str">
        <f>"Г ЕКАТЕРИНБУРГ"</f>
        <v>Г ЕКАТЕРИНБУРГ</v>
      </c>
      <c r="S480" t="str">
        <f>""</f>
        <v/>
      </c>
      <c r="T480" t="str">
        <f>"УЛ ЧКАЛОВА"</f>
        <v>УЛ ЧКАЛОВА</v>
      </c>
      <c r="U480" s="1" t="str">
        <f>"129"</f>
        <v>129</v>
      </c>
      <c r="V480" s="1" t="str">
        <f>""</f>
        <v/>
      </c>
      <c r="W480" s="1" t="str">
        <f>""</f>
        <v/>
      </c>
      <c r="X480" s="1" t="str">
        <f>""</f>
        <v/>
      </c>
      <c r="Y480" s="1" t="str">
        <f>"1"</f>
        <v>1</v>
      </c>
      <c r="Z480" t="str">
        <f>""</f>
        <v/>
      </c>
      <c r="AA480" t="str">
        <f>"9045411941"</f>
        <v>9045411941</v>
      </c>
      <c r="AB480" t="str">
        <f>"9045411941"</f>
        <v>9045411941</v>
      </c>
      <c r="AC480" t="str">
        <f>"9045411941"</f>
        <v>9045411941</v>
      </c>
      <c r="AD480" t="str">
        <f>"9045411941"</f>
        <v>9045411941</v>
      </c>
      <c r="AE480" t="str">
        <f>""</f>
        <v/>
      </c>
    </row>
    <row r="481" spans="1:31" x14ac:dyDescent="0.45">
      <c r="A481" t="str">
        <f>"КАМАЛЕТДИНОВА АЛЬБИНА ШАЙХЕТДИНОВНА"</f>
        <v>КАМАЛЕТДИНОВА АЛЬБИНА ШАЙХЕТДИНОВНА</v>
      </c>
      <c r="B481" t="str">
        <f>"1984-11-21"</f>
        <v>1984-11-21</v>
      </c>
      <c r="C481" t="str">
        <f>"71 06 502562"</f>
        <v>71 06 502562</v>
      </c>
      <c r="D481" t="str">
        <f>"4854630200093048"</f>
        <v>4854630200093048</v>
      </c>
      <c r="E481" t="str">
        <f>"2020-11-30"</f>
        <v>2020-11-30</v>
      </c>
      <c r="F481" t="str">
        <f>"M"</f>
        <v>M</v>
      </c>
      <c r="G481" t="str">
        <f t="shared" si="84"/>
        <v>+</v>
      </c>
      <c r="H481" t="str">
        <f>"40817810016992066999"</f>
        <v>40817810016992066999</v>
      </c>
      <c r="I481" t="str">
        <f>"8647"</f>
        <v>8647</v>
      </c>
      <c r="J481" t="str">
        <f>"0288"</f>
        <v>0288</v>
      </c>
      <c r="K481" t="str">
        <f>"50000.00"</f>
        <v>50000.00</v>
      </c>
      <c r="L481" t="str">
        <f>"626150 ОБЛ ТЮМЕНСКАЯ   Г ТОБОЛЬСК   УЛ БОЛЬШАЯ СИБИРСКАЯ д. 54 кв. 4"</f>
        <v>626150 ОБЛ ТЮМЕНСКАЯ   Г ТОБОЛЬСК   УЛ БОЛЬШАЯ СИБИРСКАЯ д. 54 кв. 4</v>
      </c>
      <c r="M481" t="str">
        <f t="shared" si="79"/>
        <v>2019-08-24</v>
      </c>
      <c r="N481" t="str">
        <f>"ПЕНСИОНЕР"</f>
        <v>ПЕНСИОНЕР</v>
      </c>
      <c r="O481" t="str">
        <f>"626150"</f>
        <v>626150</v>
      </c>
      <c r="P481" t="str">
        <f>"ОБЛ ТЮМЕНСКАЯ"</f>
        <v>ОБЛ ТЮМЕНСКАЯ</v>
      </c>
      <c r="Q481" t="str">
        <f>""</f>
        <v/>
      </c>
      <c r="R481" t="str">
        <f>"Г ТОБОЛЬСК"</f>
        <v>Г ТОБОЛЬСК</v>
      </c>
      <c r="S481" t="str">
        <f>""</f>
        <v/>
      </c>
      <c r="T481" t="str">
        <f>"УЛ БОЛЬШАЯ СИБИРСКАЯ"</f>
        <v>УЛ БОЛЬШАЯ СИБИРСКАЯ</v>
      </c>
      <c r="U481" s="1" t="str">
        <f>"54"</f>
        <v>54</v>
      </c>
      <c r="V481" s="1" t="str">
        <f>""</f>
        <v/>
      </c>
      <c r="W481" s="1" t="str">
        <f>""</f>
        <v/>
      </c>
      <c r="X481" s="1" t="str">
        <f>""</f>
        <v/>
      </c>
      <c r="Y481" s="1" t="str">
        <f>"4"</f>
        <v>4</v>
      </c>
      <c r="Z481" t="str">
        <f>"9504856367"</f>
        <v>9504856367</v>
      </c>
      <c r="AA481" t="str">
        <f>"9199584084"</f>
        <v>9199584084</v>
      </c>
      <c r="AB481" t="str">
        <f>"9827850825"</f>
        <v>9827850825</v>
      </c>
      <c r="AC481" t="str">
        <f>"9199584084"</f>
        <v>9199584084</v>
      </c>
      <c r="AD481" t="str">
        <f>"9827850825"</f>
        <v>9827850825</v>
      </c>
      <c r="AE481" t="str">
        <f>"9504856367"</f>
        <v>9504856367</v>
      </c>
    </row>
    <row r="482" spans="1:31" x14ac:dyDescent="0.45">
      <c r="A482" t="str">
        <f>"ТУРЯНСКИХ МАРИНА ВЯЧЕСЛАВОВНА"</f>
        <v>ТУРЯНСКИХ МАРИНА ВЯЧЕСЛАВОВНА</v>
      </c>
      <c r="B482" t="str">
        <f>"1980-08-11"</f>
        <v>1980-08-11</v>
      </c>
      <c r="C482" t="str">
        <f>"71 11 868039"</f>
        <v>71 11 868039</v>
      </c>
      <c r="D482" t="str">
        <f>"4854630400290824"</f>
        <v>4854630400290824</v>
      </c>
      <c r="E482" t="str">
        <f>"2021-04-30"</f>
        <v>2021-04-30</v>
      </c>
      <c r="F482" t="str">
        <f t="shared" ref="F482:F495" si="86">"+"</f>
        <v>+</v>
      </c>
      <c r="G482" t="str">
        <f t="shared" si="84"/>
        <v>+</v>
      </c>
      <c r="H482" t="str">
        <f>"40817810816992300664"</f>
        <v>40817810816992300664</v>
      </c>
      <c r="I482" t="str">
        <f>"8647"</f>
        <v>8647</v>
      </c>
      <c r="J482" t="str">
        <f>"0184"</f>
        <v>0184</v>
      </c>
      <c r="K482" t="str">
        <f>"30000.00"</f>
        <v>30000.00</v>
      </c>
      <c r="L482" t="str">
        <f>"625000 ОБЛ ТЮМЕНСКАЯ   Г ТЮМЕНЬ   УЛ ГРИБОЕДОВА д. 3"</f>
        <v>625000 ОБЛ ТЮМЕНСКАЯ   Г ТЮМЕНЬ   УЛ ГРИБОЕДОВА д. 3</v>
      </c>
      <c r="M482" t="str">
        <f t="shared" si="79"/>
        <v>2019-08-24</v>
      </c>
      <c r="N482" t="str">
        <f>"ООО ПУРГЕОКОМ"</f>
        <v>ООО ПУРГЕОКОМ</v>
      </c>
      <c r="O482" t="str">
        <f>"625000"</f>
        <v>625000</v>
      </c>
      <c r="P482" t="str">
        <f>"ОБЛ ТЮМЕНСКАЯ"</f>
        <v>ОБЛ ТЮМЕНСКАЯ</v>
      </c>
      <c r="Q482" t="str">
        <f>""</f>
        <v/>
      </c>
      <c r="R482" t="str">
        <f>"Г ТЮМЕНЬ"</f>
        <v>Г ТЮМЕНЬ</v>
      </c>
      <c r="S482" t="str">
        <f>""</f>
        <v/>
      </c>
      <c r="T482" t="str">
        <f>"УЛ Н.ЧАПЛИНА"</f>
        <v>УЛ Н.ЧАПЛИНА</v>
      </c>
      <c r="U482" s="1" t="str">
        <f>"121"</f>
        <v>121</v>
      </c>
      <c r="V482" s="1" t="str">
        <f>""</f>
        <v/>
      </c>
      <c r="W482" s="1" t="str">
        <f>""</f>
        <v/>
      </c>
      <c r="X482" s="1" t="str">
        <f>""</f>
        <v/>
      </c>
      <c r="Y482" s="1" t="str">
        <f>"6"</f>
        <v>6</v>
      </c>
      <c r="Z482" t="str">
        <f>""</f>
        <v/>
      </c>
      <c r="AA482" t="str">
        <f>"9224864495"</f>
        <v>9224864495</v>
      </c>
      <c r="AB482" t="str">
        <f>"9129988092"</f>
        <v>9129988092</v>
      </c>
      <c r="AC482" t="str">
        <f>"9224864495"</f>
        <v>9224864495</v>
      </c>
      <c r="AD482" t="str">
        <f>"9129988092"</f>
        <v>9129988092</v>
      </c>
      <c r="AE482" t="str">
        <f>""</f>
        <v/>
      </c>
    </row>
    <row r="483" spans="1:31" x14ac:dyDescent="0.45">
      <c r="A483" t="str">
        <f>"ПИВОВАРОВ СЕРГЕЙ ВЛАДИМИРОВИЧ"</f>
        <v>ПИВОВАРОВ СЕРГЕЙ ВЛАДИМИРОВИЧ</v>
      </c>
      <c r="B483" t="str">
        <f>"1961-05-31"</f>
        <v>1961-05-31</v>
      </c>
      <c r="C483" t="str">
        <f>"37 06 147428"</f>
        <v>37 06 147428</v>
      </c>
      <c r="D483" t="str">
        <f>"5313100776831272"</f>
        <v>5313100776831272</v>
      </c>
      <c r="E483" t="str">
        <f>"2020-10-31"</f>
        <v>2020-10-31</v>
      </c>
      <c r="F483" t="str">
        <f t="shared" si="86"/>
        <v>+</v>
      </c>
      <c r="G483" t="str">
        <f t="shared" si="84"/>
        <v>+</v>
      </c>
      <c r="H483" t="str">
        <f>"40817810416991427838"</f>
        <v>40817810416991427838</v>
      </c>
      <c r="I483" t="str">
        <f>"8599"</f>
        <v>8599</v>
      </c>
      <c r="J483" t="str">
        <f>"0078"</f>
        <v>0078</v>
      </c>
      <c r="K483" t="str">
        <f>"50000.00"</f>
        <v>50000.00</v>
      </c>
      <c r="L483" t="str">
        <f>"641000 ОБЛ КУРГАНСКАЯ   Г КУРГАН   УЛ ХИММАШЕВСКАЯ д. 4 корп. А"</f>
        <v>641000 ОБЛ КУРГАНСКАЯ   Г КУРГАН   УЛ ХИММАШЕВСКАЯ д. 4 корп. А</v>
      </c>
      <c r="M483" t="str">
        <f t="shared" si="79"/>
        <v>2019-08-24</v>
      </c>
      <c r="N483" t="str">
        <f>"АО КУРГАНАВТОРЕМОНТ"</f>
        <v>АО КУРГАНАВТОРЕМОНТ</v>
      </c>
      <c r="O483" t="str">
        <f>"641000"</f>
        <v>641000</v>
      </c>
      <c r="P483" t="str">
        <f>"ОБЛ КУРГАНСКАЯ"</f>
        <v>ОБЛ КУРГАНСКАЯ</v>
      </c>
      <c r="Q483" t="str">
        <f>""</f>
        <v/>
      </c>
      <c r="R483" t="str">
        <f>"Г КУРГАН"</f>
        <v>Г КУРГАН</v>
      </c>
      <c r="S483" t="str">
        <f>""</f>
        <v/>
      </c>
      <c r="T483" t="str">
        <f>"УЛ Б-ПЕТРОВА"</f>
        <v>УЛ Б-ПЕТРОВА</v>
      </c>
      <c r="U483" s="1" t="str">
        <f>"60"</f>
        <v>60</v>
      </c>
      <c r="V483" s="1" t="str">
        <f>""</f>
        <v/>
      </c>
      <c r="W483" s="1" t="str">
        <f>""</f>
        <v/>
      </c>
      <c r="X483" s="1" t="str">
        <f>""</f>
        <v/>
      </c>
      <c r="Y483" s="1" t="str">
        <f>"118"</f>
        <v>118</v>
      </c>
      <c r="Z483" t="str">
        <f>"9512738734"</f>
        <v>9512738734</v>
      </c>
      <c r="AA483" t="str">
        <f>"9658350095"</f>
        <v>9658350095</v>
      </c>
      <c r="AB483" t="str">
        <f>"9658350095"</f>
        <v>9658350095</v>
      </c>
      <c r="AC483" t="str">
        <f>"9658350095"</f>
        <v>9658350095</v>
      </c>
      <c r="AD483" t="str">
        <f>"9658350095"</f>
        <v>9658350095</v>
      </c>
      <c r="AE483" t="str">
        <f>"9512738734"</f>
        <v>9512738734</v>
      </c>
    </row>
    <row r="484" spans="1:31" x14ac:dyDescent="0.45">
      <c r="A484" t="str">
        <f>"ИГНАТОВ НИКОЛАЙ ВАСИЛЬЕВИЧ"</f>
        <v>ИГНАТОВ НИКОЛАЙ ВАСИЛЬЕВИЧ</v>
      </c>
      <c r="B484" t="str">
        <f>"1966-08-07"</f>
        <v>1966-08-07</v>
      </c>
      <c r="C484" t="str">
        <f>"75 10 900909"</f>
        <v>75 10 900909</v>
      </c>
      <c r="D484" t="str">
        <f>"4279011652073118"</f>
        <v>4279011652073118</v>
      </c>
      <c r="E484" t="str">
        <f>"2021-05-31"</f>
        <v>2021-05-31</v>
      </c>
      <c r="F484" t="str">
        <f t="shared" si="86"/>
        <v>+</v>
      </c>
      <c r="G484" t="str">
        <f t="shared" si="84"/>
        <v>+</v>
      </c>
      <c r="H484" t="str">
        <f>"40817810416991429865"</f>
        <v>40817810416991429865</v>
      </c>
      <c r="I484" t="str">
        <f>"8597"</f>
        <v>8597</v>
      </c>
      <c r="J484" t="str">
        <f>"0430"</f>
        <v>0430</v>
      </c>
      <c r="K484" t="str">
        <f>"600000.00"</f>
        <v>600000.00</v>
      </c>
      <c r="L484" t="str">
        <f>"456800 ОБЛ ЧЕЛЯБИНСКАЯ ОБЛАСТЬ   Г ВЕРХНИЙ УФАЛЕЙ   УЛ ЛЕНИНА д. 159 стр. А"</f>
        <v>456800 ОБЛ ЧЕЛЯБИНСКАЯ ОБЛАСТЬ   Г ВЕРХНИЙ УФАЛЕЙ   УЛ ЛЕНИНА д. 159 стр. А</v>
      </c>
      <c r="M484" t="str">
        <f t="shared" si="79"/>
        <v>2019-08-24</v>
      </c>
      <c r="N484" t="str">
        <f>"72195001"</f>
        <v>72195001</v>
      </c>
      <c r="O484" t="str">
        <f>"454000"</f>
        <v>454000</v>
      </c>
      <c r="P484" t="str">
        <f>"ОБЛ ЧЕЛЯБИНСКАЯ"</f>
        <v>ОБЛ ЧЕЛЯБИНСКАЯ</v>
      </c>
      <c r="Q484" t="str">
        <f>""</f>
        <v/>
      </c>
      <c r="R484" t="str">
        <f>"Г ВЕРХНИЙ УФАЛЕЙ"</f>
        <v>Г ВЕРХНИЙ УФАЛЕЙ</v>
      </c>
      <c r="S484" t="str">
        <f>""</f>
        <v/>
      </c>
      <c r="T484" t="str">
        <f>"УЛ ЛЕНИНА"</f>
        <v>УЛ ЛЕНИНА</v>
      </c>
      <c r="U484" s="1" t="str">
        <f>"190"</f>
        <v>190</v>
      </c>
      <c r="V484" s="1" t="str">
        <f>""</f>
        <v/>
      </c>
      <c r="W484" s="1" t="str">
        <f>""</f>
        <v/>
      </c>
      <c r="X484" s="1" t="str">
        <f>""</f>
        <v/>
      </c>
      <c r="Y484" s="1" t="str">
        <f>"8"</f>
        <v>8</v>
      </c>
      <c r="Z484" t="str">
        <f>"+7 (35164) 21651"</f>
        <v>+7 (35164) 21651</v>
      </c>
      <c r="AA484" t="str">
        <f>"+7 (902) 6056977"</f>
        <v>+7 (902) 6056977</v>
      </c>
      <c r="AB484" t="str">
        <f>"+7 (932) 3062686"</f>
        <v>+7 (932) 3062686</v>
      </c>
      <c r="AC484" t="str">
        <f>"3516421930"</f>
        <v>3516421930</v>
      </c>
      <c r="AD484" t="str">
        <f>"9066056977"</f>
        <v>9066056977</v>
      </c>
      <c r="AE484" t="str">
        <f>"3516421651"</f>
        <v>3516421651</v>
      </c>
    </row>
    <row r="485" spans="1:31" x14ac:dyDescent="0.45">
      <c r="A485" t="str">
        <f>"ПОДКОРЫТОВ АЛЕКСЕЙ СЕРГЕЕВИЧ"</f>
        <v>ПОДКОРЫТОВ АЛЕКСЕЙ СЕРГЕЕВИЧ</v>
      </c>
      <c r="B485" t="str">
        <f>"1976-11-16"</f>
        <v>1976-11-16</v>
      </c>
      <c r="C485" t="str">
        <f>"65 04 520910"</f>
        <v>65 04 520910</v>
      </c>
      <c r="D485" t="str">
        <f>"4854630379900544"</f>
        <v>4854630379900544</v>
      </c>
      <c r="E485" t="str">
        <f>"2021-04-30"</f>
        <v>2021-04-30</v>
      </c>
      <c r="F485" t="str">
        <f t="shared" si="86"/>
        <v>+</v>
      </c>
      <c r="G485" t="str">
        <f t="shared" si="84"/>
        <v>+</v>
      </c>
      <c r="H485" t="str">
        <f>"40817810116991464159"</f>
        <v>40817810116991464159</v>
      </c>
      <c r="I485" t="str">
        <f>"7003"</f>
        <v>7003</v>
      </c>
      <c r="J485" t="str">
        <f>"0796"</f>
        <v>0796</v>
      </c>
      <c r="K485" t="str">
        <f>"15000.00"</f>
        <v>15000.00</v>
      </c>
      <c r="L485" t="str">
        <f>"620000 ОБЛ СВЕРДЛОВСКАЯ   Г ЕКАТЕРИНБУРГ   УЛ СТУДЕНЧЕСКАЯ д. 3"</f>
        <v>620000 ОБЛ СВЕРДЛОВСКАЯ   Г ЕКАТЕРИНБУРГ   УЛ СТУДЕНЧЕСКАЯ д. 3</v>
      </c>
      <c r="M485" t="str">
        <f t="shared" si="79"/>
        <v>2019-08-24</v>
      </c>
      <c r="N485" t="str">
        <f>"УЭМЗ"</f>
        <v>УЭМЗ</v>
      </c>
      <c r="O485" t="str">
        <f>"620000"</f>
        <v>620000</v>
      </c>
      <c r="P485" t="str">
        <f>"ОБЛ СВЕРДЛОВСКАЯ"</f>
        <v>ОБЛ СВЕРДЛОВСКАЯ</v>
      </c>
      <c r="Q485" t="str">
        <f>""</f>
        <v/>
      </c>
      <c r="R485" t="str">
        <f>"Г ЕКАТЕРИНБУРГ"</f>
        <v>Г ЕКАТЕРИНБУРГ</v>
      </c>
      <c r="S485" t="str">
        <f>""</f>
        <v/>
      </c>
      <c r="T485" t="str">
        <f>"УЛ МУРЗИНСКАЯ"</f>
        <v>УЛ МУРЗИНСКАЯ</v>
      </c>
      <c r="U485" s="1" t="str">
        <f>"30"</f>
        <v>30</v>
      </c>
      <c r="V485" s="1" t="str">
        <f>""</f>
        <v/>
      </c>
      <c r="W485" s="1" t="str">
        <f>""</f>
        <v/>
      </c>
      <c r="X485" s="1" t="str">
        <f>""</f>
        <v/>
      </c>
      <c r="Y485" s="1" t="str">
        <f>"16"</f>
        <v>16</v>
      </c>
      <c r="Z485" t="str">
        <f>""</f>
        <v/>
      </c>
      <c r="AA485" t="str">
        <f>"9089137422"</f>
        <v>9089137422</v>
      </c>
      <c r="AB485" t="str">
        <f>"9089137422"</f>
        <v>9089137422</v>
      </c>
      <c r="AC485" t="str">
        <f>"9089137422"</f>
        <v>9089137422</v>
      </c>
      <c r="AD485" t="str">
        <f>"9089137422"</f>
        <v>9089137422</v>
      </c>
      <c r="AE485" t="str">
        <f>""</f>
        <v/>
      </c>
    </row>
    <row r="486" spans="1:31" x14ac:dyDescent="0.45">
      <c r="A486" t="str">
        <f>"БАЙНОВ АЛЕКСАНДР ВИКТОРОВИЧ"</f>
        <v>БАЙНОВ АЛЕКСАНДР ВИКТОРОВИЧ</v>
      </c>
      <c r="B486" t="str">
        <f>"1980-10-18"</f>
        <v>1980-10-18</v>
      </c>
      <c r="C486" t="str">
        <f>"65 04 244430"</f>
        <v>65 04 244430</v>
      </c>
      <c r="D486" t="str">
        <f>"4854630195945780"</f>
        <v>4854630195945780</v>
      </c>
      <c r="E486" t="str">
        <f>"2021-04-30"</f>
        <v>2021-04-30</v>
      </c>
      <c r="F486" t="str">
        <f t="shared" si="86"/>
        <v>+</v>
      </c>
      <c r="G486" t="str">
        <f>"3"</f>
        <v>3</v>
      </c>
      <c r="H486" t="str">
        <f>"40817810716991427842"</f>
        <v>40817810716991427842</v>
      </c>
      <c r="I486" t="str">
        <f>"7003"</f>
        <v>7003</v>
      </c>
      <c r="J486" t="str">
        <f>"0897"</f>
        <v>0897</v>
      </c>
      <c r="K486" t="str">
        <f>"80000.00"</f>
        <v>80000.00</v>
      </c>
      <c r="L486" t="str">
        <f>"620000 ОБЛ СВЕРДЛОВСКАЯ   Г ЕКАТЕРИНБУРГ   УЛ ГОРЬКОГО д. 65"</f>
        <v>620000 ОБЛ СВЕРДЛОВСКАЯ   Г ЕКАТЕРИНБУРГ   УЛ ГОРЬКОГО д. 65</v>
      </c>
      <c r="M486" t="str">
        <f t="shared" si="79"/>
        <v>2019-08-24</v>
      </c>
      <c r="N486" t="str">
        <f>"ПАО МЕТКОМБАНК"</f>
        <v>ПАО МЕТКОМБАНК</v>
      </c>
      <c r="O486" t="str">
        <f>"620000"</f>
        <v>620000</v>
      </c>
      <c r="P486" t="str">
        <f>"ОБЛ СВЕРДЛОВСКАЯ"</f>
        <v>ОБЛ СВЕРДЛОВСКАЯ</v>
      </c>
      <c r="Q486" t="str">
        <f>""</f>
        <v/>
      </c>
      <c r="R486" t="str">
        <f>"Г НОВОУРАЛЬСК"</f>
        <v>Г НОВОУРАЛЬСК</v>
      </c>
      <c r="S486" t="str">
        <f>""</f>
        <v/>
      </c>
      <c r="T486" t="str">
        <f>"УЛ ГАСТЕЛЛО"</f>
        <v>УЛ ГАСТЕЛЛО</v>
      </c>
      <c r="U486" s="1" t="str">
        <f>"2"</f>
        <v>2</v>
      </c>
      <c r="V486" s="1" t="str">
        <f>""</f>
        <v/>
      </c>
      <c r="W486" s="1" t="str">
        <f>""</f>
        <v/>
      </c>
      <c r="X486" s="1" t="str">
        <f>""</f>
        <v/>
      </c>
      <c r="Y486" s="1" t="str">
        <f>"125"</f>
        <v>125</v>
      </c>
      <c r="Z486" t="str">
        <f>"9126250797"</f>
        <v>9126250797</v>
      </c>
      <c r="AA486" t="str">
        <f>"9126250797"</f>
        <v>9126250797</v>
      </c>
      <c r="AB486" t="str">
        <f>"9126206222"</f>
        <v>9126206222</v>
      </c>
      <c r="AC486" t="str">
        <f>"9126250797"</f>
        <v>9126250797</v>
      </c>
      <c r="AD486" t="str">
        <f>"9126250797"</f>
        <v>9126250797</v>
      </c>
      <c r="AE486" t="str">
        <f>"9126250797"</f>
        <v>9126250797</v>
      </c>
    </row>
    <row r="487" spans="1:31" x14ac:dyDescent="0.45">
      <c r="A487" t="str">
        <f>"ЗАЙЦЕВ НИКОЛАЙ ВЛАДИМИРОВИЧ"</f>
        <v>ЗАЙЦЕВ НИКОЛАЙ ВЛАДИМИРОВИЧ</v>
      </c>
      <c r="B487" t="str">
        <f>"1991-11-22"</f>
        <v>1991-11-22</v>
      </c>
      <c r="C487" t="str">
        <f>"67 11 171650"</f>
        <v>67 11 171650</v>
      </c>
      <c r="D487" t="str">
        <f>"5484016709145189"</f>
        <v>5484016709145189</v>
      </c>
      <c r="E487" t="str">
        <f>"2021-05-31"</f>
        <v>2021-05-31</v>
      </c>
      <c r="F487" t="str">
        <f t="shared" si="86"/>
        <v>+</v>
      </c>
      <c r="G487" t="str">
        <f>"+"</f>
        <v>+</v>
      </c>
      <c r="H487" t="str">
        <f>"40817810616992502662"</f>
        <v>40817810616992502662</v>
      </c>
      <c r="I487" t="str">
        <f>"5940"</f>
        <v>5940</v>
      </c>
      <c r="J487" t="str">
        <f>"0112"</f>
        <v>0112</v>
      </c>
      <c r="K487" t="str">
        <f>"230000.00"</f>
        <v>230000.00</v>
      </c>
      <c r="L487" t="str">
        <f>"628600 ОБЛ ТЮМЕНСКАЯ   Г НИЖНЕВАРТОВСК   УЛ ЛЕНИНА д. 4"</f>
        <v>628600 ОБЛ ТЮМЕНСКАЯ   Г НИЖНЕВАРТОВСК   УЛ ЛЕНИНА д. 4</v>
      </c>
      <c r="M487" t="str">
        <f t="shared" si="79"/>
        <v>2019-08-24</v>
      </c>
      <c r="N487" t="str">
        <f>"СУДЕБНЫЕ ПРИСТАВЫ"</f>
        <v>СУДЕБНЫЕ ПРИСТАВЫ</v>
      </c>
      <c r="O487" t="str">
        <f>"628600"</f>
        <v>628600</v>
      </c>
      <c r="P487" t="str">
        <f>"ОБЛ ТЮМЕНСКАЯ"</f>
        <v>ОБЛ ТЮМЕНСКАЯ</v>
      </c>
      <c r="Q487" t="str">
        <f>""</f>
        <v/>
      </c>
      <c r="R487" t="str">
        <f>"Г НИЖНЕВАРТОВСК"</f>
        <v>Г НИЖНЕВАРТОВСК</v>
      </c>
      <c r="S487" t="str">
        <f>""</f>
        <v/>
      </c>
      <c r="T487" t="str">
        <f>"УЛ СЕВЕРНАЯ"</f>
        <v>УЛ СЕВЕРНАЯ</v>
      </c>
      <c r="U487" s="1" t="str">
        <f>"6"</f>
        <v>6</v>
      </c>
      <c r="V487" s="1" t="str">
        <f>""</f>
        <v/>
      </c>
      <c r="W487" s="1" t="str">
        <f>"А"</f>
        <v>А</v>
      </c>
      <c r="X487" s="1" t="str">
        <f>""</f>
        <v/>
      </c>
      <c r="Y487" s="1" t="str">
        <f>"43"</f>
        <v>43</v>
      </c>
      <c r="Z487" t="str">
        <f>""</f>
        <v/>
      </c>
      <c r="AA487" t="str">
        <f>"9125396824"</f>
        <v>9125396824</v>
      </c>
      <c r="AB487" t="str">
        <f>"9125396824"</f>
        <v>9125396824</v>
      </c>
      <c r="AC487" t="str">
        <f>"9825369982"</f>
        <v>9825369982</v>
      </c>
      <c r="AD487" t="str">
        <f>"9125396824"</f>
        <v>9125396824</v>
      </c>
      <c r="AE487" t="str">
        <f>""</f>
        <v/>
      </c>
    </row>
    <row r="488" spans="1:31" x14ac:dyDescent="0.45">
      <c r="A488" t="str">
        <f>"ШКУРКО АНДРЕЙ МИХАЙЛОВИЧ"</f>
        <v>ШКУРКО АНДРЕЙ МИХАЙЛОВИЧ</v>
      </c>
      <c r="B488" t="str">
        <f>"1967-03-23"</f>
        <v>1967-03-23</v>
      </c>
      <c r="C488" t="str">
        <f>"52 11 121172"</f>
        <v>52 11 121172</v>
      </c>
      <c r="D488" t="str">
        <f>"5484016707875241"</f>
        <v>5484016707875241</v>
      </c>
      <c r="E488" t="str">
        <f>"2021-05-31"</f>
        <v>2021-05-31</v>
      </c>
      <c r="F488" t="str">
        <f t="shared" si="86"/>
        <v>+</v>
      </c>
      <c r="G488" t="str">
        <f>"+"</f>
        <v>+</v>
      </c>
      <c r="H488" t="str">
        <f>"40817810116992551757"</f>
        <v>40817810116992551757</v>
      </c>
      <c r="I488" t="str">
        <f>"8369"</f>
        <v>8369</v>
      </c>
      <c r="J488" t="str">
        <f>"7770"</f>
        <v>7770</v>
      </c>
      <c r="K488" t="str">
        <f>"140000.00"</f>
        <v>140000.00</v>
      </c>
      <c r="L488" t="str">
        <f>"629306 ОБЛ ТЮМЕНСКАЯ АО ЯМАЛО-НЕНЕЦКИЙ Г НОВЫЙ УРЕНГОЙ   УЛ ГЕОЛОГОРАЗВЕДЧИКОВ д. 9"</f>
        <v>629306 ОБЛ ТЮМЕНСКАЯ АО ЯМАЛО-НЕНЕЦКИЙ Г НОВЫЙ УРЕНГОЙ   УЛ ГЕОЛОГОРАЗВЕДЧИКОВ д. 9</v>
      </c>
      <c r="M488" t="str">
        <f t="shared" si="79"/>
        <v>2019-08-24</v>
      </c>
      <c r="N488" t="str">
        <f>"ГДЯ ЯМБУРГ"</f>
        <v>ГДЯ ЯМБУРГ</v>
      </c>
      <c r="O488" t="str">
        <f>"644001"</f>
        <v>644001</v>
      </c>
      <c r="P488" t="str">
        <f>"ОБЛ ОМСКАЯ"</f>
        <v>ОБЛ ОМСКАЯ</v>
      </c>
      <c r="Q488" t="str">
        <f>""</f>
        <v/>
      </c>
      <c r="R488" t="str">
        <f>"Г ОМСК"</f>
        <v>Г ОМСК</v>
      </c>
      <c r="S488" t="str">
        <f>""</f>
        <v/>
      </c>
      <c r="T488" t="str">
        <f>"УЛ КУЙБЫШЕВА"</f>
        <v>УЛ КУЙБЫШЕВА</v>
      </c>
      <c r="U488" s="1" t="str">
        <f>"149"</f>
        <v>149</v>
      </c>
      <c r="V488" s="1" t="str">
        <f>""</f>
        <v/>
      </c>
      <c r="W488" s="1" t="str">
        <f>""</f>
        <v/>
      </c>
      <c r="X488" s="1" t="str">
        <f>""</f>
        <v/>
      </c>
      <c r="Y488" s="1" t="str">
        <f>""</f>
        <v/>
      </c>
      <c r="Z488" t="str">
        <f>"3494966706"</f>
        <v>3494966706</v>
      </c>
      <c r="AA488" t="str">
        <f>"9139648312"</f>
        <v>9139648312</v>
      </c>
      <c r="AB488" t="str">
        <f>"9139648312"</f>
        <v>9139648312</v>
      </c>
      <c r="AC488" t="str">
        <f>"9139648312"</f>
        <v>9139648312</v>
      </c>
      <c r="AD488" t="str">
        <f>"9139648312"</f>
        <v>9139648312</v>
      </c>
      <c r="AE488" t="str">
        <f>"3494966706"</f>
        <v>3494966706</v>
      </c>
    </row>
    <row r="489" spans="1:31" x14ac:dyDescent="0.45">
      <c r="A489" t="str">
        <f>"ПЕРЖА РЕГИНА ЮРЬЕВНА"</f>
        <v>ПЕРЖА РЕГИНА ЮРЬЕВНА</v>
      </c>
      <c r="B489" t="str">
        <f>"1991-07-18"</f>
        <v>1991-07-18</v>
      </c>
      <c r="C489" t="str">
        <f>"74 17 965895"</f>
        <v>74 17 965895</v>
      </c>
      <c r="D489" t="str">
        <f>"5484016709167837"</f>
        <v>5484016709167837</v>
      </c>
      <c r="E489" t="str">
        <f>"2021-05-31"</f>
        <v>2021-05-31</v>
      </c>
      <c r="F489" t="str">
        <f t="shared" si="86"/>
        <v>+</v>
      </c>
      <c r="G489" t="str">
        <f>"+"</f>
        <v>+</v>
      </c>
      <c r="H489" t="str">
        <f>"40817810316992551816"</f>
        <v>40817810316992551816</v>
      </c>
      <c r="I489" t="str">
        <f>"8369"</f>
        <v>8369</v>
      </c>
      <c r="J489" t="str">
        <f>"7770"</f>
        <v>7770</v>
      </c>
      <c r="K489" t="str">
        <f>"205000.00"</f>
        <v>205000.00</v>
      </c>
      <c r="L489" t="str">
        <f>"629300 ОБЛ ТЮМЕНСКАЯ АО ЯНАО Г НОВЫЙ УРЕНГОЙ   УЛ ГЕОЛОГОРАЗВЕДЧИКОВ д. 9"</f>
        <v>629300 ОБЛ ТЮМЕНСКАЯ АО ЯНАО Г НОВЫЙ УРЕНГОЙ   УЛ ГЕОЛОГОРАЗВЕДЧИКОВ д. 9</v>
      </c>
      <c r="M489" t="str">
        <f t="shared" si="79"/>
        <v>2019-08-24</v>
      </c>
      <c r="N489" t="str">
        <f>"67405070 ГДЯ"</f>
        <v>67405070 ГДЯ</v>
      </c>
      <c r="O489" t="str">
        <f>"629300"</f>
        <v>629300</v>
      </c>
      <c r="P489" t="str">
        <f>"ОБЛ ТЮМЕНСКАЯ"</f>
        <v>ОБЛ ТЮМЕНСКАЯ</v>
      </c>
      <c r="Q489" t="str">
        <f>"АО ЯНАО"</f>
        <v>АО ЯНАО</v>
      </c>
      <c r="R489" t="str">
        <f>"Г НОВЫЙ УРЕНГОЙ"</f>
        <v>Г НОВЫЙ УРЕНГОЙ</v>
      </c>
      <c r="S489" t="str">
        <f>""</f>
        <v/>
      </c>
      <c r="T489" t="str">
        <f>"МКР ДРУЖБА"</f>
        <v>МКР ДРУЖБА</v>
      </c>
      <c r="U489" s="1" t="str">
        <f>"4"</f>
        <v>4</v>
      </c>
      <c r="V489" s="1" t="str">
        <f>""</f>
        <v/>
      </c>
      <c r="W489" s="1" t="str">
        <f>"1"</f>
        <v>1</v>
      </c>
      <c r="X489" s="1" t="str">
        <f>""</f>
        <v/>
      </c>
      <c r="Y489" s="1" t="str">
        <f>"64"</f>
        <v>64</v>
      </c>
      <c r="Z489" t="str">
        <f>"+7 (3494) 966448"</f>
        <v>+7 (3494) 966448</v>
      </c>
      <c r="AA489" t="str">
        <f>"+7 (3494) 251693"</f>
        <v>+7 (3494) 251693</v>
      </c>
      <c r="AB489" t="str">
        <f>"+7 (922) 0928197"</f>
        <v>+7 (922) 0928197</v>
      </c>
      <c r="AC489" t="str">
        <f>"3494966077"</f>
        <v>3494966077</v>
      </c>
      <c r="AD489" t="str">
        <f>"9220928197"</f>
        <v>9220928197</v>
      </c>
      <c r="AE489" t="str">
        <f>""</f>
        <v/>
      </c>
    </row>
    <row r="490" spans="1:31" x14ac:dyDescent="0.45">
      <c r="A490" t="str">
        <f>"ВАЦУРО НАТАЛЬЯ АЛЕКСЕЕВНА"</f>
        <v>ВАЦУРО НАТАЛЬЯ АЛЕКСЕЕВНА</v>
      </c>
      <c r="B490" t="str">
        <f>"1968-01-01"</f>
        <v>1968-01-01</v>
      </c>
      <c r="C490" t="str">
        <f>"74 12 814008"</f>
        <v>74 12 814008</v>
      </c>
      <c r="D490" t="str">
        <f>"5484016703543785"</f>
        <v>5484016703543785</v>
      </c>
      <c r="E490" t="str">
        <f>"2021-05-31"</f>
        <v>2021-05-31</v>
      </c>
      <c r="F490" t="str">
        <f t="shared" si="86"/>
        <v>+</v>
      </c>
      <c r="G490" t="str">
        <f>"+"</f>
        <v>+</v>
      </c>
      <c r="H490" t="str">
        <f>"40817810016992551925"</f>
        <v>40817810016992551925</v>
      </c>
      <c r="I490" t="str">
        <f>"8369"</f>
        <v>8369</v>
      </c>
      <c r="J490" t="str">
        <f>"7770"</f>
        <v>7770</v>
      </c>
      <c r="K490" t="str">
        <f>"100000.00"</f>
        <v>100000.00</v>
      </c>
      <c r="L490" t="str">
        <f>"629300 ОБЛ ТЮМЕНСКАЯ АО ЯНАО Г НОВЫЙ УРЕНГОЙ   УЛ ГЕОЛОГОРАЗВЕДЧИКОВ д. 9 корп. А"</f>
        <v>629300 ОБЛ ТЮМЕНСКАЯ АО ЯНАО Г НОВЫЙ УРЕНГОЙ   УЛ ГЕОЛОГОРАЗВЕДЧИКОВ д. 9 корп. А</v>
      </c>
      <c r="M490" t="str">
        <f t="shared" si="79"/>
        <v>2019-08-24</v>
      </c>
      <c r="N490" t="str">
        <f>"ГДЯ УРЕНГОЙ 67405070"</f>
        <v>ГДЯ УРЕНГОЙ 67405070</v>
      </c>
      <c r="O490" t="str">
        <f>"629300"</f>
        <v>629300</v>
      </c>
      <c r="P490" t="str">
        <f>"ОБЛ ТЮМЕНСКАЯ"</f>
        <v>ОБЛ ТЮМЕНСКАЯ</v>
      </c>
      <c r="Q490" t="str">
        <f>"АО ЯНАО"</f>
        <v>АО ЯНАО</v>
      </c>
      <c r="R490" t="str">
        <f>"Г НОВЫЙ УРЕНГОЙ"</f>
        <v>Г НОВЫЙ УРЕНГОЙ</v>
      </c>
      <c r="S490" t="str">
        <f>""</f>
        <v/>
      </c>
      <c r="T490" t="str">
        <f>"МКР ВОСТОЧНЫЙ"</f>
        <v>МКР ВОСТОЧНЫЙ</v>
      </c>
      <c r="U490" s="1" t="str">
        <f>"5"</f>
        <v>5</v>
      </c>
      <c r="V490" s="1" t="str">
        <f>""</f>
        <v/>
      </c>
      <c r="W490" s="1" t="str">
        <f>"7"</f>
        <v>7</v>
      </c>
      <c r="X490" s="1" t="str">
        <f>""</f>
        <v/>
      </c>
      <c r="Y490" s="1" t="str">
        <f>"10"</f>
        <v>10</v>
      </c>
      <c r="Z490" t="str">
        <f>""</f>
        <v/>
      </c>
      <c r="AA490" t="str">
        <f>"3494966777"</f>
        <v>3494966777</v>
      </c>
      <c r="AB490" t="str">
        <f>"9224680319"</f>
        <v>9224680319</v>
      </c>
      <c r="AC490" t="str">
        <f>"3494966777"</f>
        <v>3494966777</v>
      </c>
      <c r="AD490" t="str">
        <f>"9224680319"</f>
        <v>9224680319</v>
      </c>
      <c r="AE490" t="str">
        <f>""</f>
        <v/>
      </c>
    </row>
    <row r="491" spans="1:31" x14ac:dyDescent="0.45">
      <c r="A491" t="str">
        <f>"МАЛЬКОВ СЕРГЕЙ АЛЕКСЕЕВИЧ"</f>
        <v>МАЛЬКОВ СЕРГЕЙ АЛЕКСЕЕВИЧ</v>
      </c>
      <c r="B491" t="str">
        <f>"1954-07-23"</f>
        <v>1954-07-23</v>
      </c>
      <c r="C491" t="str">
        <f>"75 12 219709"</f>
        <v>75 12 219709</v>
      </c>
      <c r="D491" t="str">
        <f>"5313100701413550"</f>
        <v>5313100701413550</v>
      </c>
      <c r="E491" t="str">
        <f>"2020-09-30"</f>
        <v>2020-09-30</v>
      </c>
      <c r="F491" t="str">
        <f t="shared" si="86"/>
        <v>+</v>
      </c>
      <c r="G491" t="str">
        <f>"+"</f>
        <v>+</v>
      </c>
      <c r="H491" t="str">
        <f>"40817810016991424707"</f>
        <v>40817810016991424707</v>
      </c>
      <c r="I491" t="str">
        <f>"8597"</f>
        <v>8597</v>
      </c>
      <c r="J491" t="str">
        <f>"0233"</f>
        <v>0233</v>
      </c>
      <c r="K491" t="str">
        <f>"73000.00"</f>
        <v>73000.00</v>
      </c>
      <c r="L491" t="str">
        <f>"454000 ОБЛ ЧЕЛЯБИНСКАЯ   Г ЧЕЛЯБИНСК   УЛ ДЕГТЯРЕВА д. 31 кв. 32"</f>
        <v>454000 ОБЛ ЧЕЛЯБИНСКАЯ   Г ЧЕЛЯБИНСК   УЛ ДЕГТЯРЕВА д. 31 кв. 32</v>
      </c>
      <c r="M491" t="str">
        <f t="shared" si="79"/>
        <v>2019-08-24</v>
      </c>
      <c r="N491" t="str">
        <f>"ПЕНСИОНЕР"</f>
        <v>ПЕНСИОНЕР</v>
      </c>
      <c r="O491" t="str">
        <f>"454000"</f>
        <v>454000</v>
      </c>
      <c r="P491" t="str">
        <f>"ОБЛ ЧЕЛЯБИНСКАЯ"</f>
        <v>ОБЛ ЧЕЛЯБИНСКАЯ</v>
      </c>
      <c r="Q491" t="str">
        <f>""</f>
        <v/>
      </c>
      <c r="R491" t="str">
        <f>"Г ЧЕЛЯБИНСК"</f>
        <v>Г ЧЕЛЯБИНСК</v>
      </c>
      <c r="S491" t="str">
        <f>""</f>
        <v/>
      </c>
      <c r="T491" t="str">
        <f>"УЛ ДЕГТЯРЕВА"</f>
        <v>УЛ ДЕГТЯРЕВА</v>
      </c>
      <c r="U491" s="1" t="str">
        <f>"31"</f>
        <v>31</v>
      </c>
      <c r="V491" s="1" t="str">
        <f>""</f>
        <v/>
      </c>
      <c r="W491" s="1" t="str">
        <f>""</f>
        <v/>
      </c>
      <c r="X491" s="1" t="str">
        <f>""</f>
        <v/>
      </c>
      <c r="Y491" s="1" t="str">
        <f>"32"</f>
        <v>32</v>
      </c>
      <c r="Z491" t="str">
        <f>""</f>
        <v/>
      </c>
      <c r="AA491" t="str">
        <f>"9080942608"</f>
        <v>9080942608</v>
      </c>
      <c r="AB491" t="str">
        <f>"9080942608"</f>
        <v>9080942608</v>
      </c>
      <c r="AC491" t="str">
        <f>"9043007986"</f>
        <v>9043007986</v>
      </c>
      <c r="AD491" t="str">
        <f>"9080942608"</f>
        <v>9080942608</v>
      </c>
      <c r="AE491" t="str">
        <f>""</f>
        <v/>
      </c>
    </row>
    <row r="492" spans="1:31" x14ac:dyDescent="0.45">
      <c r="A492" t="str">
        <f>"ВАЛЕЕВ ВЛАДИСЛАВ МАНСУРОВИЧ"</f>
        <v>ВАЛЕЕВ ВЛАДИСЛАВ МАНСУРОВИЧ</v>
      </c>
      <c r="B492" t="str">
        <f>"1975-05-26"</f>
        <v>1975-05-26</v>
      </c>
      <c r="C492" t="str">
        <f>"75 02 453987"</f>
        <v>75 02 453987</v>
      </c>
      <c r="D492" t="str">
        <f>"4854630386063286"</f>
        <v>4854630386063286</v>
      </c>
      <c r="E492" t="str">
        <f>"2021-04-30"</f>
        <v>2021-04-30</v>
      </c>
      <c r="F492" t="str">
        <f t="shared" si="86"/>
        <v>+</v>
      </c>
      <c r="G492" t="str">
        <f>"7"</f>
        <v>7</v>
      </c>
      <c r="H492" t="str">
        <f>"40817810316991427857"</f>
        <v>40817810316991427857</v>
      </c>
      <c r="I492" t="str">
        <f>"8597"</f>
        <v>8597</v>
      </c>
      <c r="J492" t="str">
        <f>"0382"</f>
        <v>0382</v>
      </c>
      <c r="K492" t="str">
        <f>"99998.47"</f>
        <v>99998.47</v>
      </c>
      <c r="L492" t="str">
        <f>"454000 ОБЛ ЧЕЛЯБИНСКАЯ   Г МАГНИТОГОРСК   УЛ НИКОЛАЯ ШИШКА д. 32 корп. 1 кв. 5"</f>
        <v>454000 ОБЛ ЧЕЛЯБИНСКАЯ   Г МАГНИТОГОРСК   УЛ НИКОЛАЯ ШИШКА д. 32 корп. 1 кв. 5</v>
      </c>
      <c r="M492" t="str">
        <f t="shared" si="79"/>
        <v>2019-08-24</v>
      </c>
      <c r="N492" t="str">
        <f>"ООО УРАЛ СТАЛЬ"</f>
        <v>ООО УРАЛ СТАЛЬ</v>
      </c>
      <c r="O492" t="str">
        <f>"454000"</f>
        <v>454000</v>
      </c>
      <c r="P492" t="str">
        <f>"ОБЛ ЧЕЛЯБИНСКАЯ"</f>
        <v>ОБЛ ЧЕЛЯБИНСКАЯ</v>
      </c>
      <c r="Q492" t="str">
        <f>""</f>
        <v/>
      </c>
      <c r="R492" t="str">
        <f>"Г МАГНИТОГОРСК"</f>
        <v>Г МАГНИТОГОРСК</v>
      </c>
      <c r="S492" t="str">
        <f>""</f>
        <v/>
      </c>
      <c r="T492" t="str">
        <f>"УЛ СОВЕТСКАЯ"</f>
        <v>УЛ СОВЕТСКАЯ</v>
      </c>
      <c r="U492" s="1" t="str">
        <f>"168"</f>
        <v>168</v>
      </c>
      <c r="V492" s="1" t="str">
        <f>""</f>
        <v/>
      </c>
      <c r="W492" s="1" t="str">
        <f>""</f>
        <v/>
      </c>
      <c r="X492" s="1" t="str">
        <f>""</f>
        <v/>
      </c>
      <c r="Y492" s="1" t="str">
        <f>"146"</f>
        <v>146</v>
      </c>
      <c r="Z492" t="str">
        <f>""</f>
        <v/>
      </c>
      <c r="AA492" t="str">
        <f>"9681186886"</f>
        <v>9681186886</v>
      </c>
      <c r="AB492" t="str">
        <f>"9822831018"</f>
        <v>9822831018</v>
      </c>
      <c r="AC492" t="str">
        <f>"9681186886"</f>
        <v>9681186886</v>
      </c>
      <c r="AD492" t="str">
        <f>"9822831018"</f>
        <v>9822831018</v>
      </c>
      <c r="AE492" t="str">
        <f>""</f>
        <v/>
      </c>
    </row>
    <row r="493" spans="1:31" x14ac:dyDescent="0.45">
      <c r="A493" t="str">
        <f>"БЫКОВА ОЛЬГА ПЕТРОВНА"</f>
        <v>БЫКОВА ОЛЬГА ПЕТРОВНА</v>
      </c>
      <c r="B493" t="str">
        <f>"1957-08-13"</f>
        <v>1957-08-13</v>
      </c>
      <c r="C493" t="str">
        <f>"75 02 799425"</f>
        <v>75 02 799425</v>
      </c>
      <c r="D493" t="str">
        <f>"4854630223299069"</f>
        <v>4854630223299069</v>
      </c>
      <c r="E493" t="str">
        <f>"2021-04-30"</f>
        <v>2021-04-30</v>
      </c>
      <c r="F493" t="str">
        <f t="shared" si="86"/>
        <v>+</v>
      </c>
      <c r="G493" t="str">
        <f>"+"</f>
        <v>+</v>
      </c>
      <c r="H493" t="str">
        <f>"40817810616991427861"</f>
        <v>40817810616991427861</v>
      </c>
      <c r="I493" t="str">
        <f>"8597"</f>
        <v>8597</v>
      </c>
      <c r="J493" t="str">
        <f>"0556"</f>
        <v>0556</v>
      </c>
      <c r="K493" t="str">
        <f>"80000.00"</f>
        <v>80000.00</v>
      </c>
      <c r="L493" t="str">
        <f>"454000 ОБЛ ЧЕЛЯБИНСКАЯ   Г ЧЕЛЯБИНСК Д МАЛИНОВКА УЛ НОВАЯ ПИКАДИЛЛИ д. 11"</f>
        <v>454000 ОБЛ ЧЕЛЯБИНСКАЯ   Г ЧЕЛЯБИНСК Д МАЛИНОВКА УЛ НОВАЯ ПИКАДИЛЛИ д. 11</v>
      </c>
      <c r="M493" t="str">
        <f t="shared" si="79"/>
        <v>2019-08-24</v>
      </c>
      <c r="N493" t="str">
        <f>"-"</f>
        <v>-</v>
      </c>
      <c r="O493" t="str">
        <f>"454000"</f>
        <v>454000</v>
      </c>
      <c r="P493" t="str">
        <f>"ОБЛ ЧЕЛЯБИНСКАЯ"</f>
        <v>ОБЛ ЧЕЛЯБИНСКАЯ</v>
      </c>
      <c r="Q493" t="str">
        <f>""</f>
        <v/>
      </c>
      <c r="R493" t="str">
        <f>"Г ЧЕЛЯБИНСК"</f>
        <v>Г ЧЕЛЯБИНСК</v>
      </c>
      <c r="S493" t="str">
        <f>"Д МАЛТНОВСКА"</f>
        <v>Д МАЛТНОВСКА</v>
      </c>
      <c r="T493" t="str">
        <f>"УЛ НОВАЯ ПИКАДИЛЛИ"</f>
        <v>УЛ НОВАЯ ПИКАДИЛЛИ</v>
      </c>
      <c r="U493" s="1" t="str">
        <f>"11"</f>
        <v>11</v>
      </c>
      <c r="V493" s="1" t="str">
        <f>""</f>
        <v/>
      </c>
      <c r="W493" s="1" t="str">
        <f>""</f>
        <v/>
      </c>
      <c r="X493" s="1" t="str">
        <f>""</f>
        <v/>
      </c>
      <c r="Y493" s="1" t="str">
        <f>""</f>
        <v/>
      </c>
      <c r="Z493" t="str">
        <f>""</f>
        <v/>
      </c>
      <c r="AA493" t="str">
        <f>"9512371043"</f>
        <v>9512371043</v>
      </c>
      <c r="AB493" t="str">
        <f>"9512371043"</f>
        <v>9512371043</v>
      </c>
      <c r="AC493" t="str">
        <f>"9512371043"</f>
        <v>9512371043</v>
      </c>
      <c r="AD493" t="str">
        <f>"9512371043"</f>
        <v>9512371043</v>
      </c>
      <c r="AE493" t="str">
        <f>""</f>
        <v/>
      </c>
    </row>
    <row r="494" spans="1:31" x14ac:dyDescent="0.45">
      <c r="A494" t="str">
        <f>"САДРЕТДИНОВ АЛМАЗ АЛЬБЕРТОВИЧ"</f>
        <v>САДРЕТДИНОВ АЛМАЗ АЛЬБЕРТОВИЧ</v>
      </c>
      <c r="B494" t="str">
        <f>"1985-11-16"</f>
        <v>1985-11-16</v>
      </c>
      <c r="C494" t="str">
        <f>"67 04 099786"</f>
        <v>67 04 099786</v>
      </c>
      <c r="D494" t="str">
        <f>"4854630381380305"</f>
        <v>4854630381380305</v>
      </c>
      <c r="E494" t="str">
        <f>"2021-04-30"</f>
        <v>2021-04-30</v>
      </c>
      <c r="F494" t="str">
        <f t="shared" si="86"/>
        <v>+</v>
      </c>
      <c r="G494" t="str">
        <f>"+"</f>
        <v>+</v>
      </c>
      <c r="H494" t="str">
        <f>"40817810216992300840"</f>
        <v>40817810216992300840</v>
      </c>
      <c r="I494" t="str">
        <f>"1791"</f>
        <v>1791</v>
      </c>
      <c r="J494" t="str">
        <f>"0100"</f>
        <v>0100</v>
      </c>
      <c r="K494" t="str">
        <f>"300000.00"</f>
        <v>300000.00</v>
      </c>
      <c r="L494" t="str">
        <f>"628600 ОБЛ ТЮМЕНСКАЯ АО ХМАО Г ТЮМЕНЬ   УЛ ПЕРВОМАЙСКАЯ д. 6"</f>
        <v>628600 ОБЛ ТЮМЕНСКАЯ АО ХМАО Г ТЮМЕНЬ   УЛ ПЕРВОМАЙСКАЯ д. 6</v>
      </c>
      <c r="M494" t="str">
        <f t="shared" si="79"/>
        <v>2019-08-24</v>
      </c>
      <c r="N494" t="str">
        <f>"РН-ГРП"</f>
        <v>РН-ГРП</v>
      </c>
      <c r="O494" t="str">
        <f>"628181"</f>
        <v>628181</v>
      </c>
      <c r="P494" t="str">
        <f>"ОБЛ ТЮМЕНСКАЯ"</f>
        <v>ОБЛ ТЮМЕНСКАЯ</v>
      </c>
      <c r="Q494" t="str">
        <f>"АО ХМАО"</f>
        <v>АО ХМАО</v>
      </c>
      <c r="R494" t="str">
        <f>"Г НЯГАНЬ"</f>
        <v>Г НЯГАНЬ</v>
      </c>
      <c r="S494" t="str">
        <f>""</f>
        <v/>
      </c>
      <c r="T494" t="str">
        <f>"УЛ 3-Й МИКРОРАЙОН"</f>
        <v>УЛ 3-Й МИКРОРАЙОН</v>
      </c>
      <c r="U494" s="1" t="str">
        <f>"7"</f>
        <v>7</v>
      </c>
      <c r="V494" s="1" t="str">
        <f>""</f>
        <v/>
      </c>
      <c r="W494" s="1" t="str">
        <f>""</f>
        <v/>
      </c>
      <c r="X494" s="1" t="str">
        <f>""</f>
        <v/>
      </c>
      <c r="Y494" s="1" t="str">
        <f>"200"</f>
        <v>200</v>
      </c>
      <c r="Z494" t="str">
        <f>""</f>
        <v/>
      </c>
      <c r="AA494" t="str">
        <f>"9821426026"</f>
        <v>9821426026</v>
      </c>
      <c r="AB494" t="str">
        <f>"9124182955"</f>
        <v>9124182955</v>
      </c>
      <c r="AC494" t="str">
        <f>"9821426026"</f>
        <v>9821426026</v>
      </c>
      <c r="AD494" t="str">
        <f>"9124182955"</f>
        <v>9124182955</v>
      </c>
      <c r="AE494" t="str">
        <f>""</f>
        <v/>
      </c>
    </row>
    <row r="495" spans="1:31" x14ac:dyDescent="0.45">
      <c r="A495" t="str">
        <f>"БЛОХИНА АННА ВЯЧЕСЛАВОВНА"</f>
        <v>БЛОХИНА АННА ВЯЧЕСЛАВОВНА</v>
      </c>
      <c r="B495" t="str">
        <f>"1983-04-05"</f>
        <v>1983-04-05</v>
      </c>
      <c r="C495" t="str">
        <f>"65 10 911367"</f>
        <v>65 10 911367</v>
      </c>
      <c r="D495" t="str">
        <f>"4854630231614309"</f>
        <v>4854630231614309</v>
      </c>
      <c r="E495" t="str">
        <f>"2021-04-30"</f>
        <v>2021-04-30</v>
      </c>
      <c r="F495" t="str">
        <f t="shared" si="86"/>
        <v>+</v>
      </c>
      <c r="G495" t="str">
        <f>"+"</f>
        <v>+</v>
      </c>
      <c r="H495" t="str">
        <f>"40817810516991427961"</f>
        <v>40817810516991427961</v>
      </c>
      <c r="I495" t="str">
        <f>"7003"</f>
        <v>7003</v>
      </c>
      <c r="J495" t="str">
        <f>"0444"</f>
        <v>0444</v>
      </c>
      <c r="K495" t="str">
        <f>"85000.00"</f>
        <v>85000.00</v>
      </c>
      <c r="L495" t="str">
        <f>"620102 ОБЛ СВЕРДЛОВСКАЯ   Г ЕКАТЕРИНБУРГ   УЛ ПОСАДСКАЯ д. 28 корп. 5 кв. 55"</f>
        <v>620102 ОБЛ СВЕРДЛОВСКАЯ   Г ЕКАТЕРИНБУРГ   УЛ ПОСАДСКАЯ д. 28 корп. 5 кв. 55</v>
      </c>
      <c r="M495" t="str">
        <f t="shared" si="79"/>
        <v>2019-08-24</v>
      </c>
      <c r="N495" t="str">
        <f>"ЛИЧНАЯ"</f>
        <v>ЛИЧНАЯ</v>
      </c>
      <c r="O495" t="str">
        <f>"620102"</f>
        <v>620102</v>
      </c>
      <c r="P495" t="str">
        <f>"ОБЛ СВЕРДЛОВСКАЯ"</f>
        <v>ОБЛ СВЕРДЛОВСКАЯ</v>
      </c>
      <c r="Q495" t="str">
        <f>""</f>
        <v/>
      </c>
      <c r="R495" t="str">
        <f>"Г ЕКАТЕРИНБУРГ"</f>
        <v>Г ЕКАТЕРИНБУРГ</v>
      </c>
      <c r="S495" t="str">
        <f>""</f>
        <v/>
      </c>
      <c r="T495" t="str">
        <f>"УЛ ПОСАДСКАЯ"</f>
        <v>УЛ ПОСАДСКАЯ</v>
      </c>
      <c r="U495" s="1" t="str">
        <f>"28"</f>
        <v>28</v>
      </c>
      <c r="V495" s="1" t="str">
        <f>""</f>
        <v/>
      </c>
      <c r="W495" s="1" t="str">
        <f>"5"</f>
        <v>5</v>
      </c>
      <c r="X495" s="1" t="str">
        <f>""</f>
        <v/>
      </c>
      <c r="Y495" s="1" t="str">
        <f>"55"</f>
        <v>55</v>
      </c>
      <c r="Z495" t="str">
        <f>""</f>
        <v/>
      </c>
      <c r="AA495" t="str">
        <f>"9193816009"</f>
        <v>9193816009</v>
      </c>
      <c r="AB495" t="str">
        <f>"9193816009"</f>
        <v>9193816009</v>
      </c>
      <c r="AC495" t="str">
        <f>"9193816009"</f>
        <v>9193816009</v>
      </c>
      <c r="AD495" t="str">
        <f>"9193816009"</f>
        <v>9193816009</v>
      </c>
      <c r="AE495" t="str">
        <f>""</f>
        <v/>
      </c>
    </row>
    <row r="496" spans="1:31" x14ac:dyDescent="0.45">
      <c r="A496" t="str">
        <f>"НАЗИПОВА ВАЛЕНТИНА МИХАЙЛОВНА"</f>
        <v>НАЗИПОВА ВАЛЕНТИНА МИХАЙЛОВНА</v>
      </c>
      <c r="B496" t="str">
        <f>"1956-03-23"</f>
        <v>1956-03-23</v>
      </c>
      <c r="C496" t="str">
        <f>"67 00 288984"</f>
        <v>67 00 288984</v>
      </c>
      <c r="D496" t="str">
        <f>"4854630312362521"</f>
        <v>4854630312362521</v>
      </c>
      <c r="E496" t="str">
        <f>"2020-11-30"</f>
        <v>2020-11-30</v>
      </c>
      <c r="F496" t="str">
        <f>"Y"</f>
        <v>Y</v>
      </c>
      <c r="G496" t="str">
        <f>"Q"</f>
        <v>Q</v>
      </c>
      <c r="H496" t="str">
        <f>"40817810816991427962"</f>
        <v>40817810816991427962</v>
      </c>
      <c r="I496" t="str">
        <f>"8598"</f>
        <v>8598</v>
      </c>
      <c r="J496" t="str">
        <f>"0644"</f>
        <v>0644</v>
      </c>
      <c r="K496" t="str">
        <f>"0.00"</f>
        <v>0.00</v>
      </c>
      <c r="L496" t="str">
        <f>"628300 ОБЛ ТЮМЕНСКАЯ   Г НЕФТЕЮГАНСК   МКР 5 д. 10 кв. 41"</f>
        <v>628300 ОБЛ ТЮМЕНСКАЯ   Г НЕФТЕЮГАНСК   МКР 5 д. 10 кв. 41</v>
      </c>
      <c r="M496" t="str">
        <f t="shared" si="79"/>
        <v>2019-08-24</v>
      </c>
      <c r="N496" t="str">
        <f>"ПЕНСИОНЕР"</f>
        <v>ПЕНСИОНЕР</v>
      </c>
      <c r="O496" t="str">
        <f>"628300"</f>
        <v>628300</v>
      </c>
      <c r="P496" t="str">
        <f>"ОБЛ ТЮМЕНСКАЯ"</f>
        <v>ОБЛ ТЮМЕНСКАЯ</v>
      </c>
      <c r="Q496" t="str">
        <f>""</f>
        <v/>
      </c>
      <c r="R496" t="str">
        <f>"Г НЕФТЕЮГАНСК"</f>
        <v>Г НЕФТЕЮГАНСК</v>
      </c>
      <c r="S496" t="str">
        <f>""</f>
        <v/>
      </c>
      <c r="T496" t="str">
        <f>"МКР 6"</f>
        <v>МКР 6</v>
      </c>
      <c r="U496" s="1" t="str">
        <f>"4"</f>
        <v>4</v>
      </c>
      <c r="V496" s="1" t="str">
        <f>""</f>
        <v/>
      </c>
      <c r="W496" s="1" t="str">
        <f>""</f>
        <v/>
      </c>
      <c r="X496" s="1" t="str">
        <f>""</f>
        <v/>
      </c>
      <c r="Y496" s="1" t="str">
        <f>"165"</f>
        <v>165</v>
      </c>
      <c r="Z496" t="str">
        <f>""</f>
        <v/>
      </c>
      <c r="AA496" t="str">
        <f>"8922433559"</f>
        <v>8922433559</v>
      </c>
      <c r="AB496" t="str">
        <f>"9224335596"</f>
        <v>9224335596</v>
      </c>
      <c r="AC496" t="str">
        <f>"9224335596"</f>
        <v>9224335596</v>
      </c>
      <c r="AD496" t="str">
        <f>"9224335596"</f>
        <v>9224335596</v>
      </c>
      <c r="AE496" t="str">
        <f>""</f>
        <v/>
      </c>
    </row>
    <row r="497" spans="1:31" x14ac:dyDescent="0.45">
      <c r="A497" t="str">
        <f>"САФИНА ФАИЛЯ ДИНИСЛАМОВНА"</f>
        <v>САФИНА ФАИЛЯ ДИНИСЛАМОВНА</v>
      </c>
      <c r="B497" t="str">
        <f>"1964-11-07"</f>
        <v>1964-11-07</v>
      </c>
      <c r="C497" t="str">
        <f>"80 09 903439"</f>
        <v>80 09 903439</v>
      </c>
      <c r="D497" t="str">
        <f>"4279011675287604"</f>
        <v>4279011675287604</v>
      </c>
      <c r="E497" t="str">
        <f>"2021-05-31"</f>
        <v>2021-05-31</v>
      </c>
      <c r="F497" t="str">
        <f t="shared" ref="F497:G512" si="87">"+"</f>
        <v>+</v>
      </c>
      <c r="G497" t="str">
        <f t="shared" si="87"/>
        <v>+</v>
      </c>
      <c r="H497" t="str">
        <f>"40817810616991427955"</f>
        <v>40817810616991427955</v>
      </c>
      <c r="I497" t="str">
        <f>"8598"</f>
        <v>8598</v>
      </c>
      <c r="J497" t="str">
        <f>"0198"</f>
        <v>0198</v>
      </c>
      <c r="K497" t="str">
        <f>"140000.00"</f>
        <v>140000.00</v>
      </c>
      <c r="L497" t="str">
        <f>"450000 РЕСП БАШКОРТОСТАН   Г УФА   УЛ Х ДАВЛЕТШАНОЙ д. 24 корп. 1 кв. 12"</f>
        <v>450000 РЕСП БАШКОРТОСТАН   Г УФА   УЛ Х ДАВЛЕТШАНОЙ д. 24 корп. 1 кв. 12</v>
      </c>
      <c r="M497" t="str">
        <f t="shared" si="79"/>
        <v>2019-08-24</v>
      </c>
      <c r="N497" t="str">
        <f>"ИП САФИНА ФАИЛЯ ДИНИСЛАМОВНА"</f>
        <v>ИП САФИНА ФАИЛЯ ДИНИСЛАМОВНА</v>
      </c>
      <c r="O497" t="str">
        <f>"450000"</f>
        <v>450000</v>
      </c>
      <c r="P497" t="str">
        <f>"РЕСП БАШКОРТОСТАН"</f>
        <v>РЕСП БАШКОРТОСТАН</v>
      </c>
      <c r="Q497" t="str">
        <f>""</f>
        <v/>
      </c>
      <c r="R497" t="str">
        <f>"Г УФА"</f>
        <v>Г УФА</v>
      </c>
      <c r="S497" t="str">
        <f>""</f>
        <v/>
      </c>
      <c r="T497" t="str">
        <f>"УЛ Х ДАВЛЕТШИНОЙ"</f>
        <v>УЛ Х ДАВЛЕТШИНОЙ</v>
      </c>
      <c r="U497" s="1" t="str">
        <f>"24"</f>
        <v>24</v>
      </c>
      <c r="V497" s="1" t="str">
        <f>""</f>
        <v/>
      </c>
      <c r="W497" s="1" t="str">
        <f>"1"</f>
        <v>1</v>
      </c>
      <c r="X497" s="1" t="str">
        <f>""</f>
        <v/>
      </c>
      <c r="Y497" s="1" t="str">
        <f>"12"</f>
        <v>12</v>
      </c>
      <c r="Z497" t="str">
        <f>"9825436171"</f>
        <v>9825436171</v>
      </c>
      <c r="AA497" t="str">
        <f>"9825436171"</f>
        <v>9825436171</v>
      </c>
      <c r="AB497" t="str">
        <f>"9191583624"</f>
        <v>9191583624</v>
      </c>
      <c r="AC497" t="str">
        <f>"9825436171"</f>
        <v>9825436171</v>
      </c>
      <c r="AD497" t="str">
        <f>"9191583624"</f>
        <v>9191583624</v>
      </c>
      <c r="AE497" t="str">
        <f>"9825436171"</f>
        <v>9825436171</v>
      </c>
    </row>
    <row r="498" spans="1:31" x14ac:dyDescent="0.45">
      <c r="A498" t="str">
        <f>"ПЫЛЯВЕЦ ЮРИЙ МИХАЙЛОВИЧ"</f>
        <v>ПЫЛЯВЕЦ ЮРИЙ МИХАЙЛОВИЧ</v>
      </c>
      <c r="B498" t="str">
        <f>"1968-05-25"</f>
        <v>1968-05-25</v>
      </c>
      <c r="C498" t="str">
        <f>"65 13 641328"</f>
        <v>65 13 641328</v>
      </c>
      <c r="D498" t="str">
        <f>"4279011652938294"</f>
        <v>4279011652938294</v>
      </c>
      <c r="E498" t="str">
        <f>"2021-05-31"</f>
        <v>2021-05-31</v>
      </c>
      <c r="F498" t="str">
        <f t="shared" si="87"/>
        <v>+</v>
      </c>
      <c r="G498" t="str">
        <f t="shared" si="87"/>
        <v>+</v>
      </c>
      <c r="H498" t="str">
        <f>"40817810916991427956"</f>
        <v>40817810916991427956</v>
      </c>
      <c r="I498" t="str">
        <f>"7003"</f>
        <v>7003</v>
      </c>
      <c r="J498" t="str">
        <f>"0547"</f>
        <v>0547</v>
      </c>
      <c r="K498" t="str">
        <f>"18000.00"</f>
        <v>18000.00</v>
      </c>
      <c r="L498" t="str">
        <f>"620000 ОБЛ СВЕРДЛОВСКАЯ   Г СЕРОВ   УЛ КРАСНОТУРЬИНСКАЯ д. 5"</f>
        <v>620000 ОБЛ СВЕРДЛОВСКАЯ   Г СЕРОВ   УЛ КРАСНОТУРЬИНСКАЯ д. 5</v>
      </c>
      <c r="M498" t="str">
        <f t="shared" si="79"/>
        <v>2019-08-24</v>
      </c>
      <c r="N498" t="str">
        <f>"ООО НАШ ДОМ"</f>
        <v>ООО НАШ ДОМ</v>
      </c>
      <c r="O498" t="str">
        <f>"620000"</f>
        <v>620000</v>
      </c>
      <c r="P498" t="str">
        <f>"ОБЛ СВЕРДЛОВСКАЯ"</f>
        <v>ОБЛ СВЕРДЛОВСКАЯ</v>
      </c>
      <c r="Q498" t="str">
        <f>""</f>
        <v/>
      </c>
      <c r="R498" t="str">
        <f>"Г СЕРОВ"</f>
        <v>Г СЕРОВ</v>
      </c>
      <c r="S498" t="str">
        <f>""</f>
        <v/>
      </c>
      <c r="T498" t="str">
        <f>"УЧ-К РОЗЫ ЛЮКСЕМБУРГ"</f>
        <v>УЧ-К РОЗЫ ЛЮКСЕМБУРГ</v>
      </c>
      <c r="U498" s="1" t="str">
        <f>"24"</f>
        <v>24</v>
      </c>
      <c r="V498" s="1" t="str">
        <f>""</f>
        <v/>
      </c>
      <c r="W498" s="1" t="str">
        <f>""</f>
        <v/>
      </c>
      <c r="X498" s="1" t="str">
        <f>""</f>
        <v/>
      </c>
      <c r="Y498" s="1" t="str">
        <f>""</f>
        <v/>
      </c>
      <c r="Z498" t="str">
        <f>""</f>
        <v/>
      </c>
      <c r="AA498" t="str">
        <f>"9025837180"</f>
        <v>9025837180</v>
      </c>
      <c r="AB498" t="str">
        <f>"9025837180"</f>
        <v>9025837180</v>
      </c>
      <c r="AC498" t="str">
        <f>"9025837180"</f>
        <v>9025837180</v>
      </c>
      <c r="AD498" t="str">
        <f>"9025837180"</f>
        <v>9025837180</v>
      </c>
      <c r="AE498" t="str">
        <f>""</f>
        <v/>
      </c>
    </row>
    <row r="499" spans="1:31" x14ac:dyDescent="0.45">
      <c r="A499" t="str">
        <f>"СЕМЕНОВА ЛАРИСА ГРИГОРЬЕВНА"</f>
        <v>СЕМЕНОВА ЛАРИСА ГРИГОРЬЕВНА</v>
      </c>
      <c r="B499" t="str">
        <f>"1975-10-26"</f>
        <v>1975-10-26</v>
      </c>
      <c r="C499" t="str">
        <f>"75 98 097912"</f>
        <v>75 98 097912</v>
      </c>
      <c r="D499" t="str">
        <f>"4279011679330251"</f>
        <v>4279011679330251</v>
      </c>
      <c r="E499" t="str">
        <f>"2021-05-31"</f>
        <v>2021-05-31</v>
      </c>
      <c r="F499" t="str">
        <f t="shared" si="87"/>
        <v>+</v>
      </c>
      <c r="G499" t="str">
        <f t="shared" si="87"/>
        <v>+</v>
      </c>
      <c r="H499" t="str">
        <f>"40817810216991427957"</f>
        <v>40817810216991427957</v>
      </c>
      <c r="I499" t="str">
        <f>"8597"</f>
        <v>8597</v>
      </c>
      <c r="J499" t="str">
        <f>"0267"</f>
        <v>0267</v>
      </c>
      <c r="K499" t="str">
        <f>"27000.00"</f>
        <v>27000.00</v>
      </c>
      <c r="L499" t="str">
        <f>"454000 ОБЛ ЧЕЛЯБИНСКАЯ     Г ЧЕЛЯБИНСК УЛ СВЕРДЛОВСКИЙ ТРАКТ д. 8"</f>
        <v>454000 ОБЛ ЧЕЛЯБИНСКАЯ     Г ЧЕЛЯБИНСК УЛ СВЕРДЛОВСКИЙ ТРАКТ д. 8</v>
      </c>
      <c r="M499" t="str">
        <f t="shared" si="79"/>
        <v>2019-08-24</v>
      </c>
      <c r="N499" t="str">
        <f>"ИП ГАБИЕЦ"</f>
        <v>ИП ГАБИЕЦ</v>
      </c>
      <c r="O499" t="str">
        <f>"454000"</f>
        <v>454000</v>
      </c>
      <c r="P499" t="str">
        <f>"ОБЛ ЧЕЛЯБИНСКАЯ"</f>
        <v>ОБЛ ЧЕЛЯБИНСКАЯ</v>
      </c>
      <c r="Q499" t="str">
        <f>""</f>
        <v/>
      </c>
      <c r="R499" t="str">
        <f>""</f>
        <v/>
      </c>
      <c r="S499" t="str">
        <f>"Г ЧЕЛЯБИНСК"</f>
        <v>Г ЧЕЛЯБИНСК</v>
      </c>
      <c r="T499" t="str">
        <f>"УЛ РАБОЧЕ-КРЕСТЬЯНСКАЯ"</f>
        <v>УЛ РАБОЧЕ-КРЕСТЬЯНСКАЯ</v>
      </c>
      <c r="U499" s="1" t="str">
        <f>"90"</f>
        <v>90</v>
      </c>
      <c r="V499" s="1" t="str">
        <f>""</f>
        <v/>
      </c>
      <c r="W499" s="1" t="str">
        <f>""</f>
        <v/>
      </c>
      <c r="X499" s="1" t="str">
        <f>""</f>
        <v/>
      </c>
      <c r="Y499" s="1" t="str">
        <f>""</f>
        <v/>
      </c>
      <c r="Z499" t="str">
        <f>""</f>
        <v/>
      </c>
      <c r="AA499" t="str">
        <f>"9080534505"</f>
        <v>9080534505</v>
      </c>
      <c r="AB499" t="str">
        <f>"9043032701"</f>
        <v>9043032701</v>
      </c>
      <c r="AC499" t="str">
        <f>"9080534505"</f>
        <v>9080534505</v>
      </c>
      <c r="AD499" t="str">
        <f>"9043032701"</f>
        <v>9043032701</v>
      </c>
      <c r="AE499" t="str">
        <f>""</f>
        <v/>
      </c>
    </row>
    <row r="500" spans="1:31" x14ac:dyDescent="0.45">
      <c r="A500" t="str">
        <f>"ЛЕОНТЬЕВ ВАЛЕРИЙ ИВАНОВИЧ"</f>
        <v>ЛЕОНТЬЕВ ВАЛЕРИЙ ИВАНОВИЧ</v>
      </c>
      <c r="B500" t="str">
        <f>"1993-10-29"</f>
        <v>1993-10-29</v>
      </c>
      <c r="C500" t="str">
        <f>"80 12 700883"</f>
        <v>80 12 700883</v>
      </c>
      <c r="D500" t="str">
        <f>"4279011670396756"</f>
        <v>4279011670396756</v>
      </c>
      <c r="E500" t="str">
        <f>"2021-05-31"</f>
        <v>2021-05-31</v>
      </c>
      <c r="F500" t="str">
        <f t="shared" si="87"/>
        <v>+</v>
      </c>
      <c r="G500" t="str">
        <f t="shared" si="87"/>
        <v>+</v>
      </c>
      <c r="H500" t="str">
        <f>"40817810516991427958"</f>
        <v>40817810516991427958</v>
      </c>
      <c r="I500" t="str">
        <f>"8598"</f>
        <v>8598</v>
      </c>
      <c r="J500" t="str">
        <f>"0695"</f>
        <v>0695</v>
      </c>
      <c r="K500" t="str">
        <f>"100000.00"</f>
        <v>100000.00</v>
      </c>
      <c r="L500" t="str">
        <f>"450000 РЕСП БАШКОРТОСТАН   Г УФА   УЛ ИНТЕРНАЦИОНАЛЬНАЯ д. 15"</f>
        <v>450000 РЕСП БАШКОРТОСТАН   Г УФА   УЛ ИНТЕРНАЦИОНАЛЬНАЯ д. 15</v>
      </c>
      <c r="M500" t="str">
        <f t="shared" si="79"/>
        <v>2019-08-24</v>
      </c>
      <c r="N500" t="str">
        <f>"СТРОЙТРЕСТ 22"</f>
        <v>СТРОЙТРЕСТ 22</v>
      </c>
      <c r="O500" t="str">
        <f>"450000"</f>
        <v>450000</v>
      </c>
      <c r="P500" t="str">
        <f>"РЕСП БАШКОРТОСТАН"</f>
        <v>РЕСП БАШКОРТОСТАН</v>
      </c>
      <c r="Q500" t="str">
        <f>"Р-Н КУЮРГАЗИНСКИЙ"</f>
        <v>Р-Н КУЮРГАЗИНСКИЙ</v>
      </c>
      <c r="R500" t="str">
        <f>""</f>
        <v/>
      </c>
      <c r="S500" t="str">
        <f>"Д ПАВЛОВКА"</f>
        <v>Д ПАВЛОВКА</v>
      </c>
      <c r="T500" t="str">
        <f>"УЛ ЦЕНТРАЛЬНАЯ"</f>
        <v>УЛ ЦЕНТРАЛЬНАЯ</v>
      </c>
      <c r="U500" s="1" t="str">
        <f>"53"</f>
        <v>53</v>
      </c>
      <c r="V500" s="1" t="str">
        <f>""</f>
        <v/>
      </c>
      <c r="W500" s="1" t="str">
        <f>""</f>
        <v/>
      </c>
      <c r="X500" s="1" t="str">
        <f>""</f>
        <v/>
      </c>
      <c r="Y500" s="1" t="str">
        <f>""</f>
        <v/>
      </c>
      <c r="Z500" t="str">
        <f>"+7 (495) 7864489"</f>
        <v>+7 (495) 7864489</v>
      </c>
      <c r="AA500" t="str">
        <f>"+7 (926) 3855523"</f>
        <v>+7 (926) 3855523</v>
      </c>
      <c r="AB500" t="str">
        <f>"+7 (926) 3855523"</f>
        <v>+7 (926) 3855523</v>
      </c>
      <c r="AC500" t="str">
        <f>"9378347481"</f>
        <v>9378347481</v>
      </c>
      <c r="AD500" t="str">
        <f>"9263855523"</f>
        <v>9263855523</v>
      </c>
      <c r="AE500" t="str">
        <f>""</f>
        <v/>
      </c>
    </row>
    <row r="501" spans="1:31" x14ac:dyDescent="0.45">
      <c r="A501" t="str">
        <f>"ИСМАГИЛОВА ДИНАРА МИННИСЛАМОВНА"</f>
        <v>ИСМАГИЛОВА ДИНАРА МИННИСЛАМОВНА</v>
      </c>
      <c r="B501" t="str">
        <f>"1979-12-23"</f>
        <v>1979-12-23</v>
      </c>
      <c r="C501" t="str">
        <f>"80 05 999068"</f>
        <v>80 05 999068</v>
      </c>
      <c r="D501" t="str">
        <f>"4279011639761702"</f>
        <v>4279011639761702</v>
      </c>
      <c r="E501" t="str">
        <f>"2021-05-31"</f>
        <v>2021-05-31</v>
      </c>
      <c r="F501" t="str">
        <f t="shared" si="87"/>
        <v>+</v>
      </c>
      <c r="G501" t="str">
        <f t="shared" si="87"/>
        <v>+</v>
      </c>
      <c r="H501" t="str">
        <f>"40817810816991427959"</f>
        <v>40817810816991427959</v>
      </c>
      <c r="I501" t="str">
        <f>"8598"</f>
        <v>8598</v>
      </c>
      <c r="J501" t="str">
        <f>"0191"</f>
        <v>0191</v>
      </c>
      <c r="K501" t="str">
        <f>"40000.00"</f>
        <v>40000.00</v>
      </c>
      <c r="L501" t="str">
        <f>"450000 РЕСП БАШКОРТОСТАН   Г УФА   УЛ АЙСКАЯ д. 69"</f>
        <v>450000 РЕСП БАШКОРТОСТАН   Г УФА   УЛ АЙСКАЯ д. 69</v>
      </c>
      <c r="M501" t="str">
        <f t="shared" si="79"/>
        <v>2019-08-24</v>
      </c>
      <c r="N501" t="str">
        <f>"ООО БАТЫР"</f>
        <v>ООО БАТЫР</v>
      </c>
      <c r="O501" t="str">
        <f>"450000"</f>
        <v>450000</v>
      </c>
      <c r="P501" t="str">
        <f>"РЕСП БАШКОРТОСТАН"</f>
        <v>РЕСП БАШКОРТОСТАН</v>
      </c>
      <c r="Q501" t="str">
        <f>""</f>
        <v/>
      </c>
      <c r="R501" t="str">
        <f>"Г УФА"</f>
        <v>Г УФА</v>
      </c>
      <c r="S501" t="str">
        <f>""</f>
        <v/>
      </c>
      <c r="T501" t="str">
        <f>"УЛ 8 МАРТА"</f>
        <v>УЛ 8 МАРТА</v>
      </c>
      <c r="U501" s="1" t="str">
        <f>"10"</f>
        <v>10</v>
      </c>
      <c r="V501" s="1" t="str">
        <f>""</f>
        <v/>
      </c>
      <c r="W501" s="1" t="str">
        <f>""</f>
        <v/>
      </c>
      <c r="X501" s="1" t="str">
        <f>""</f>
        <v/>
      </c>
      <c r="Y501" s="1" t="str">
        <f>"220"</f>
        <v>220</v>
      </c>
      <c r="Z501" t="str">
        <f>""</f>
        <v/>
      </c>
      <c r="AA501" t="str">
        <f>"9603869324"</f>
        <v>9603869324</v>
      </c>
      <c r="AB501" t="str">
        <f>"9603869324"</f>
        <v>9603869324</v>
      </c>
      <c r="AC501" t="str">
        <f>"9603869324"</f>
        <v>9603869324</v>
      </c>
      <c r="AD501" t="str">
        <f>"9603869324"</f>
        <v>9603869324</v>
      </c>
      <c r="AE501" t="str">
        <f>""</f>
        <v/>
      </c>
    </row>
    <row r="502" spans="1:31" x14ac:dyDescent="0.45">
      <c r="A502" t="str">
        <f>"КИЛЬДЮШОВ ВИКТОР АЛЕКСАНДРОВИЧ"</f>
        <v>КИЛЬДЮШОВ ВИКТОР АЛЕКСАНДРОВИЧ</v>
      </c>
      <c r="B502" t="str">
        <f>"1958-07-08"</f>
        <v>1958-07-08</v>
      </c>
      <c r="C502" t="str">
        <f>"75 03 916997"</f>
        <v>75 03 916997</v>
      </c>
      <c r="D502" t="str">
        <f>"4854630416757162"</f>
        <v>4854630416757162</v>
      </c>
      <c r="E502" t="str">
        <f>"2021-04-30"</f>
        <v>2021-04-30</v>
      </c>
      <c r="F502" t="str">
        <f t="shared" si="87"/>
        <v>+</v>
      </c>
      <c r="G502" t="str">
        <f t="shared" si="87"/>
        <v>+</v>
      </c>
      <c r="H502" t="str">
        <f>"40817810816991464145"</f>
        <v>40817810816991464145</v>
      </c>
      <c r="I502" t="str">
        <f>"8597"</f>
        <v>8597</v>
      </c>
      <c r="J502" t="str">
        <f>"0326"</f>
        <v>0326</v>
      </c>
      <c r="K502" t="str">
        <f>"15000.00"</f>
        <v>15000.00</v>
      </c>
      <c r="L502" t="str">
        <f>"454000 ОБЛ ЧЕЛЯБИНСКАЯ   Г ТРЕХГОРНЫЙ   УЛ КИРОВА д. 30 кв. 12"</f>
        <v>454000 ОБЛ ЧЕЛЯБИНСКАЯ   Г ТРЕХГОРНЫЙ   УЛ КИРОВА д. 30 кв. 12</v>
      </c>
      <c r="M502" t="str">
        <f t="shared" si="79"/>
        <v>2019-08-24</v>
      </c>
      <c r="N502" t="str">
        <f>"ПЕНСИОНЕР"</f>
        <v>ПЕНСИОНЕР</v>
      </c>
      <c r="O502" t="str">
        <f>"454000"</f>
        <v>454000</v>
      </c>
      <c r="P502" t="str">
        <f>"ОБЛ ЧЕЛЯБИНСКАЯ"</f>
        <v>ОБЛ ЧЕЛЯБИНСКАЯ</v>
      </c>
      <c r="Q502" t="str">
        <f>""</f>
        <v/>
      </c>
      <c r="R502" t="str">
        <f>"Г ТРЕХГОРНЫЙ"</f>
        <v>Г ТРЕХГОРНЫЙ</v>
      </c>
      <c r="S502" t="str">
        <f>""</f>
        <v/>
      </c>
      <c r="T502" t="str">
        <f>"УЛ КИРОВА"</f>
        <v>УЛ КИРОВА</v>
      </c>
      <c r="U502" s="1" t="str">
        <f>"30"</f>
        <v>30</v>
      </c>
      <c r="V502" s="1" t="str">
        <f>""</f>
        <v/>
      </c>
      <c r="W502" s="1" t="str">
        <f>""</f>
        <v/>
      </c>
      <c r="X502" s="1" t="str">
        <f>""</f>
        <v/>
      </c>
      <c r="Y502" s="1" t="str">
        <f>"12"</f>
        <v>12</v>
      </c>
      <c r="Z502" t="str">
        <f>""</f>
        <v/>
      </c>
      <c r="AA502" t="str">
        <f>"9193555857"</f>
        <v>9193555857</v>
      </c>
      <c r="AB502" t="str">
        <f>"9193555857"</f>
        <v>9193555857</v>
      </c>
      <c r="AC502" t="str">
        <f>"9193555857"</f>
        <v>9193555857</v>
      </c>
      <c r="AD502" t="str">
        <f>"9193555857"</f>
        <v>9193555857</v>
      </c>
      <c r="AE502" t="str">
        <f>""</f>
        <v/>
      </c>
    </row>
    <row r="503" spans="1:31" x14ac:dyDescent="0.45">
      <c r="A503" t="str">
        <f>"КИМ ТАТЬЯНА ЯКОВЛЕВНА"</f>
        <v>КИМ ТАТЬЯНА ЯКОВЛЕВНА</v>
      </c>
      <c r="B503" t="str">
        <f>"1955-05-21"</f>
        <v>1955-05-21</v>
      </c>
      <c r="C503" t="str">
        <f>"65 00 396635"</f>
        <v>65 00 396635</v>
      </c>
      <c r="D503" t="str">
        <f>"4854630279125788"</f>
        <v>4854630279125788</v>
      </c>
      <c r="E503" t="str">
        <f>"2020-11-30"</f>
        <v>2020-11-30</v>
      </c>
      <c r="F503" t="str">
        <f t="shared" si="87"/>
        <v>+</v>
      </c>
      <c r="G503" t="str">
        <f t="shared" si="87"/>
        <v>+</v>
      </c>
      <c r="H503" t="str">
        <f>"40817810116991464146"</f>
        <v>40817810116991464146</v>
      </c>
      <c r="I503" t="str">
        <f>"7003"</f>
        <v>7003</v>
      </c>
      <c r="J503" t="str">
        <f>"0733"</f>
        <v>0733</v>
      </c>
      <c r="K503" t="str">
        <f>"15000.00"</f>
        <v>15000.00</v>
      </c>
      <c r="L503" t="str">
        <f>"620000 ОБЛ СВЕРДЛОВСКАЯ   Г НИЖНИЙ ТАГИЛ   УЛ ГАСТЕЛЛО д. 12 кв. 2"</f>
        <v>620000 ОБЛ СВЕРДЛОВСКАЯ   Г НИЖНИЙ ТАГИЛ   УЛ ГАСТЕЛЛО д. 12 кв. 2</v>
      </c>
      <c r="M503" t="str">
        <f t="shared" si="79"/>
        <v>2019-08-24</v>
      </c>
      <c r="N503" t="str">
        <f>"ПФ РОССИИ"</f>
        <v>ПФ РОССИИ</v>
      </c>
      <c r="O503" t="str">
        <f>"620000"</f>
        <v>620000</v>
      </c>
      <c r="P503" t="str">
        <f>"ОБЛ СВЕРДЛОВСКАЯ"</f>
        <v>ОБЛ СВЕРДЛОВСКАЯ</v>
      </c>
      <c r="Q503" t="str">
        <f>""</f>
        <v/>
      </c>
      <c r="R503" t="str">
        <f>"Г НИЖНИЙ ТАГИЛ"</f>
        <v>Г НИЖНИЙ ТАГИЛ</v>
      </c>
      <c r="S503" t="str">
        <f>""</f>
        <v/>
      </c>
      <c r="T503" t="str">
        <f>"УЛ ГАСТЕЛЛО"</f>
        <v>УЛ ГАСТЕЛЛО</v>
      </c>
      <c r="U503" s="1" t="str">
        <f>"12"</f>
        <v>12</v>
      </c>
      <c r="V503" s="1" t="str">
        <f>""</f>
        <v/>
      </c>
      <c r="W503" s="1" t="str">
        <f>""</f>
        <v/>
      </c>
      <c r="X503" s="1" t="str">
        <f>""</f>
        <v/>
      </c>
      <c r="Y503" s="1" t="str">
        <f>"2"</f>
        <v>2</v>
      </c>
      <c r="Z503" t="str">
        <f>""</f>
        <v/>
      </c>
      <c r="AA503" t="str">
        <f>"9521476761"</f>
        <v>9521476761</v>
      </c>
      <c r="AB503" t="str">
        <f>"9521476761"</f>
        <v>9521476761</v>
      </c>
      <c r="AC503" t="str">
        <f>"9521476761"</f>
        <v>9521476761</v>
      </c>
      <c r="AD503" t="str">
        <f>"9521476761"</f>
        <v>9521476761</v>
      </c>
      <c r="AE503" t="str">
        <f>""</f>
        <v/>
      </c>
    </row>
    <row r="504" spans="1:31" x14ac:dyDescent="0.45">
      <c r="A504" t="str">
        <f>"СЕРДЮКОВА НАТАЛИЯ ПЕТРОВНА"</f>
        <v>СЕРДЮКОВА НАТАЛИЯ ПЕТРОВНА</v>
      </c>
      <c r="B504" t="str">
        <f>"1952-12-27"</f>
        <v>1952-12-27</v>
      </c>
      <c r="C504" t="str">
        <f>"65 02 119136"</f>
        <v>65 02 119136</v>
      </c>
      <c r="D504" t="str">
        <f>"4854630390021858"</f>
        <v>4854630390021858</v>
      </c>
      <c r="E504" t="str">
        <f>"2020-04-30"</f>
        <v>2020-04-30</v>
      </c>
      <c r="F504" t="str">
        <f t="shared" si="87"/>
        <v>+</v>
      </c>
      <c r="G504" t="str">
        <f t="shared" si="87"/>
        <v>+</v>
      </c>
      <c r="H504" t="str">
        <f>"40817810216991424688"</f>
        <v>40817810216991424688</v>
      </c>
      <c r="I504" t="str">
        <f>"7003"</f>
        <v>7003</v>
      </c>
      <c r="J504" t="str">
        <f>"0092"</f>
        <v>0092</v>
      </c>
      <c r="K504" t="str">
        <f>"25000.00"</f>
        <v>25000.00</v>
      </c>
      <c r="L504" t="str">
        <f>"620000 ОБЛ СВЕРДЛОВСКАЯ   Г ЕКАТЕРИНБУРГ   УЛ МИНОМЕТЧИКОВ д. 62 кв. 61"</f>
        <v>620000 ОБЛ СВЕРДЛОВСКАЯ   Г ЕКАТЕРИНБУРГ   УЛ МИНОМЕТЧИКОВ д. 62 кв. 61</v>
      </c>
      <c r="M504" t="str">
        <f t="shared" si="79"/>
        <v>2019-08-24</v>
      </c>
      <c r="N504" t="str">
        <f>"ПЕНСИОНЕР"</f>
        <v>ПЕНСИОНЕР</v>
      </c>
      <c r="O504" t="str">
        <f>"620000"</f>
        <v>620000</v>
      </c>
      <c r="P504" t="str">
        <f>"ОБЛ СВЕРДЛОВСКАЯ"</f>
        <v>ОБЛ СВЕРДЛОВСКАЯ</v>
      </c>
      <c r="Q504" t="str">
        <f>""</f>
        <v/>
      </c>
      <c r="R504" t="str">
        <f>"Г ЕКАТЕРИНБУРГ"</f>
        <v>Г ЕКАТЕРИНБУРГ</v>
      </c>
      <c r="S504" t="str">
        <f>""</f>
        <v/>
      </c>
      <c r="T504" t="str">
        <f>"УЛ МИНОМЕТЧИКОВ"</f>
        <v>УЛ МИНОМЕТЧИКОВ</v>
      </c>
      <c r="U504" s="1" t="str">
        <f>"62"</f>
        <v>62</v>
      </c>
      <c r="V504" s="1" t="str">
        <f>""</f>
        <v/>
      </c>
      <c r="W504" s="1" t="str">
        <f>""</f>
        <v/>
      </c>
      <c r="X504" s="1" t="str">
        <f>""</f>
        <v/>
      </c>
      <c r="Y504" s="1" t="str">
        <f>"61"</f>
        <v>61</v>
      </c>
      <c r="Z504" t="str">
        <f>""</f>
        <v/>
      </c>
      <c r="AA504" t="str">
        <f>"9501905354"</f>
        <v>9501905354</v>
      </c>
      <c r="AB504" t="str">
        <f>"9501905354"</f>
        <v>9501905354</v>
      </c>
      <c r="AC504" t="str">
        <f>"9501905354"</f>
        <v>9501905354</v>
      </c>
      <c r="AD504" t="str">
        <f>"9501905354"</f>
        <v>9501905354</v>
      </c>
      <c r="AE504" t="str">
        <f>""</f>
        <v/>
      </c>
    </row>
    <row r="505" spans="1:31" x14ac:dyDescent="0.45">
      <c r="A505" t="str">
        <f>"МАМЕДОВА КАМАЛЯ АХМЕДАГА КЫЗЫ"</f>
        <v>МАМЕДОВА КАМАЛЯ АХМЕДАГА КЫЗЫ</v>
      </c>
      <c r="B505" t="str">
        <f>"1966-12-27"</f>
        <v>1966-12-27</v>
      </c>
      <c r="C505" t="str">
        <f>"67 12 235190"</f>
        <v>67 12 235190</v>
      </c>
      <c r="D505" t="str">
        <f>"4854630394586872"</f>
        <v>4854630394586872</v>
      </c>
      <c r="E505" t="str">
        <f>"2021-04-30"</f>
        <v>2021-04-30</v>
      </c>
      <c r="F505" t="str">
        <f t="shared" si="87"/>
        <v>+</v>
      </c>
      <c r="G505" t="str">
        <f t="shared" si="87"/>
        <v>+</v>
      </c>
      <c r="H505" t="str">
        <f>"40817810716992201601"</f>
        <v>40817810716992201601</v>
      </c>
      <c r="I505" t="str">
        <f>"5940"</f>
        <v>5940</v>
      </c>
      <c r="J505" t="str">
        <f>"0057"</f>
        <v>0057</v>
      </c>
      <c r="K505" t="str">
        <f>"195000.00"</f>
        <v>195000.00</v>
      </c>
      <c r="L505" t="str">
        <f>"628400 ОБЛ ТЮМЕНСКАЯ   Г СУРГУТ   УЛ ЛЕНИНА д. 66"</f>
        <v>628400 ОБЛ ТЮМЕНСКАЯ   Г СУРГУТ   УЛ ЛЕНИНА д. 66</v>
      </c>
      <c r="M505" t="str">
        <f t="shared" si="79"/>
        <v>2019-08-24</v>
      </c>
      <c r="N505" t="str">
        <f>"ИП КА МАМЕДОВА"</f>
        <v>ИП КА МАМЕДОВА</v>
      </c>
      <c r="O505" t="str">
        <f>"628400"</f>
        <v>628400</v>
      </c>
      <c r="P505" t="str">
        <f>"ОБЛ ТЮМЕНСКАЯ"</f>
        <v>ОБЛ ТЮМЕНСКАЯ</v>
      </c>
      <c r="Q505" t="str">
        <f>"Р-Н СУРГУТСКИЙ"</f>
        <v>Р-Н СУРГУТСКИЙ</v>
      </c>
      <c r="R505" t="str">
        <f>""</f>
        <v/>
      </c>
      <c r="S505" t="str">
        <f>"П БЕЛЫЙ ЯР"</f>
        <v>П БЕЛЫЙ ЯР</v>
      </c>
      <c r="T505" t="str">
        <f>"УЛ МАЯКОВСКОГО"</f>
        <v>УЛ МАЯКОВСКОГО</v>
      </c>
      <c r="U505" s="1" t="str">
        <f>"3"</f>
        <v>3</v>
      </c>
      <c r="V505" s="1" t="str">
        <f>""</f>
        <v/>
      </c>
      <c r="W505" s="1" t="str">
        <f>""</f>
        <v/>
      </c>
      <c r="X505" s="1" t="str">
        <f>""</f>
        <v/>
      </c>
      <c r="Y505" s="1" t="str">
        <f>"1"</f>
        <v>1</v>
      </c>
      <c r="Z505" t="str">
        <f>"3462913471"</f>
        <v>3462913471</v>
      </c>
      <c r="AA505" t="str">
        <f>"9026913471"</f>
        <v>9026913471</v>
      </c>
      <c r="AB505" t="str">
        <f>"9026913471"</f>
        <v>9026913471</v>
      </c>
      <c r="AC505" t="str">
        <f>"9519688036"</f>
        <v>9519688036</v>
      </c>
      <c r="AD505" t="str">
        <f>"9026913471"</f>
        <v>9026913471</v>
      </c>
      <c r="AE505" t="str">
        <f>""</f>
        <v/>
      </c>
    </row>
    <row r="506" spans="1:31" x14ac:dyDescent="0.45">
      <c r="A506" t="str">
        <f>"ЧЕРЕПАНОВ НИКОЛАЙ ВЛАДИМИРОВИЧ"</f>
        <v>ЧЕРЕПАНОВ НИКОЛАЙ ВЛАДИМИРОВИЧ</v>
      </c>
      <c r="B506" t="str">
        <f>"1988-05-22"</f>
        <v>1988-05-22</v>
      </c>
      <c r="C506" t="str">
        <f>"65 08 387958"</f>
        <v>65 08 387958</v>
      </c>
      <c r="D506" t="str">
        <f>"5469011602706731"</f>
        <v>5469011602706731</v>
      </c>
      <c r="E506" t="str">
        <f>"2022-04-30"</f>
        <v>2022-04-30</v>
      </c>
      <c r="F506" t="str">
        <f>"Y"</f>
        <v>Y</v>
      </c>
      <c r="G506" t="str">
        <f t="shared" si="87"/>
        <v>+</v>
      </c>
      <c r="H506" t="str">
        <f>"40817810516991464160"</f>
        <v>40817810516991464160</v>
      </c>
      <c r="I506" t="str">
        <f>"7003"</f>
        <v>7003</v>
      </c>
      <c r="J506" t="str">
        <f>"0670"</f>
        <v>0670</v>
      </c>
      <c r="K506" t="str">
        <f>"10000.00"</f>
        <v>10000.00</v>
      </c>
      <c r="L506" t="str">
        <f>"623340 ОБЛ СВЕРДЛОВСКАЯ Р-Н АРТИНСКИЙ   РП АРТИ УЛ КОРОЛЕВА д. 50"</f>
        <v>623340 ОБЛ СВЕРДЛОВСКАЯ Р-Н АРТИНСКИЙ   РП АРТИ УЛ КОРОЛЕВА д. 50</v>
      </c>
      <c r="M506" t="str">
        <f t="shared" si="79"/>
        <v>2019-08-24</v>
      </c>
      <c r="N506" t="str">
        <f>"АО УРАЛЬСКАЯ ФОЛЬГА"</f>
        <v>АО УРАЛЬСКАЯ ФОЛЬГА</v>
      </c>
      <c r="O506" t="str">
        <f>"623340"</f>
        <v>623340</v>
      </c>
      <c r="P506" t="str">
        <f>"ОБЛ СВЕРДЛОВСКАЯ"</f>
        <v>ОБЛ СВЕРДЛОВСКАЯ</v>
      </c>
      <c r="Q506" t="str">
        <f>"Р-Н АРТИНСКИЙ"</f>
        <v>Р-Н АРТИНСКИЙ</v>
      </c>
      <c r="R506" t="str">
        <f>""</f>
        <v/>
      </c>
      <c r="S506" t="str">
        <f>"РП АРТИ"</f>
        <v>РП АРТИ</v>
      </c>
      <c r="T506" t="str">
        <f>"УЛ РАБОЧЕЙ МОЛОДЕЖИ"</f>
        <v>УЛ РАБОЧЕЙ МОЛОДЕЖИ</v>
      </c>
      <c r="U506" s="1" t="str">
        <f>"170"</f>
        <v>170</v>
      </c>
      <c r="V506" s="1" t="str">
        <f>""</f>
        <v/>
      </c>
      <c r="W506" s="1" t="str">
        <f>""</f>
        <v/>
      </c>
      <c r="X506" s="1" t="str">
        <f>""</f>
        <v/>
      </c>
      <c r="Y506" s="1" t="str">
        <f>""</f>
        <v/>
      </c>
      <c r="Z506" t="str">
        <f>"9527318268"</f>
        <v>9527318268</v>
      </c>
      <c r="AA506" t="str">
        <f>"9527317268"</f>
        <v>9527317268</v>
      </c>
      <c r="AB506" t="str">
        <f>"9920028672"</f>
        <v>9920028672</v>
      </c>
      <c r="AC506" t="str">
        <f>"9527317268"</f>
        <v>9527317268</v>
      </c>
      <c r="AD506" t="str">
        <f>"9920028672"</f>
        <v>9920028672</v>
      </c>
      <c r="AE506" t="str">
        <f>"9527318268"</f>
        <v>9527318268</v>
      </c>
    </row>
    <row r="507" spans="1:31" x14ac:dyDescent="0.45">
      <c r="A507" t="str">
        <f>"МОТОРИНА РИММА НИКОЛАЕВНА"</f>
        <v>МОТОРИНА РИММА НИКОЛАЕВНА</v>
      </c>
      <c r="B507" t="str">
        <f>"1952-11-24"</f>
        <v>1952-11-24</v>
      </c>
      <c r="C507" t="str">
        <f>"75 03 545280"</f>
        <v>75 03 545280</v>
      </c>
      <c r="D507" t="str">
        <f>"4854630383220947"</f>
        <v>4854630383220947</v>
      </c>
      <c r="E507" t="str">
        <f>"2021-04-30"</f>
        <v>2021-04-30</v>
      </c>
      <c r="F507" t="str">
        <f>"+"</f>
        <v>+</v>
      </c>
      <c r="G507" t="str">
        <f t="shared" si="87"/>
        <v>+</v>
      </c>
      <c r="H507" t="str">
        <f>"40817810316991464166"</f>
        <v>40817810316991464166</v>
      </c>
      <c r="I507" t="str">
        <f>"8597"</f>
        <v>8597</v>
      </c>
      <c r="J507" t="str">
        <f>"0334"</f>
        <v>0334</v>
      </c>
      <c r="K507" t="str">
        <f>"11000.00"</f>
        <v>11000.00</v>
      </c>
      <c r="L507" t="str">
        <f>"454000 ОБЛ ЧЕЛЯБИНСКАЯ   Г МАГНИТОГОРСК   УЛ ВЯЗЕМСКОГО д. 25"</f>
        <v>454000 ОБЛ ЧЕЛЯБИНСКАЯ   Г МАГНИТОГОРСК   УЛ ВЯЗЕМСКОГО д. 25</v>
      </c>
      <c r="M507" t="str">
        <f t="shared" si="79"/>
        <v>2019-08-24</v>
      </c>
      <c r="N507" t="str">
        <f>"ПЕНСИОНЕР"</f>
        <v>ПЕНСИОНЕР</v>
      </c>
      <c r="O507" t="str">
        <f>"454000"</f>
        <v>454000</v>
      </c>
      <c r="P507" t="str">
        <f>"ОБЛ ЧЕЛЯБИНСКАЯ"</f>
        <v>ОБЛ ЧЕЛЯБИНСКАЯ</v>
      </c>
      <c r="Q507" t="str">
        <f>""</f>
        <v/>
      </c>
      <c r="R507" t="str">
        <f>"Г МАГНИТОГОРСК"</f>
        <v>Г МАГНИТОГОРСК</v>
      </c>
      <c r="S507" t="str">
        <f>""</f>
        <v/>
      </c>
      <c r="T507" t="str">
        <f>"УЛ ВЯЗЕВСКОГО"</f>
        <v>УЛ ВЯЗЕВСКОГО</v>
      </c>
      <c r="U507" s="1" t="str">
        <f>"25"</f>
        <v>25</v>
      </c>
      <c r="V507" s="1" t="str">
        <f>""</f>
        <v/>
      </c>
      <c r="W507" s="1" t="str">
        <f>""</f>
        <v/>
      </c>
      <c r="X507" s="1" t="str">
        <f>""</f>
        <v/>
      </c>
      <c r="Y507" s="1" t="str">
        <f>""</f>
        <v/>
      </c>
      <c r="Z507" t="str">
        <f>"9227159145"</f>
        <v>9227159145</v>
      </c>
      <c r="AA507" t="str">
        <f>"9227159145"</f>
        <v>9227159145</v>
      </c>
      <c r="AB507" t="str">
        <f>"9227159145"</f>
        <v>9227159145</v>
      </c>
      <c r="AC507" t="str">
        <f>"9227159145"</f>
        <v>9227159145</v>
      </c>
      <c r="AD507" t="str">
        <f>"9227159145"</f>
        <v>9227159145</v>
      </c>
      <c r="AE507" t="str">
        <f>"9227159145"</f>
        <v>9227159145</v>
      </c>
    </row>
    <row r="508" spans="1:31" x14ac:dyDescent="0.45">
      <c r="A508" t="str">
        <f>"ПУСТОЗЕРОВА ВЕРА АЛЕКСАНДРОВНА"</f>
        <v>ПУСТОЗЕРОВА ВЕРА АЛЕКСАНДРОВНА</v>
      </c>
      <c r="B508" t="str">
        <f>"1957-11-16"</f>
        <v>1957-11-16</v>
      </c>
      <c r="C508" t="str">
        <f>"71 02 738927"</f>
        <v>71 02 738927</v>
      </c>
      <c r="D508" t="str">
        <f>"5313100755489852"</f>
        <v>5313100755489852</v>
      </c>
      <c r="E508" t="str">
        <f>"2020-10-31"</f>
        <v>2020-10-31</v>
      </c>
      <c r="F508" t="str">
        <f>"+"</f>
        <v>+</v>
      </c>
      <c r="G508" t="str">
        <f t="shared" si="87"/>
        <v>+</v>
      </c>
      <c r="H508" t="str">
        <f>"40817810316992455297"</f>
        <v>40817810316992455297</v>
      </c>
      <c r="I508" t="str">
        <f>"8647"</f>
        <v>8647</v>
      </c>
      <c r="J508" t="str">
        <f>"0229"</f>
        <v>0229</v>
      </c>
      <c r="K508" t="str">
        <f>"43000.00"</f>
        <v>43000.00</v>
      </c>
      <c r="L508" t="str">
        <f>"627180 ОБЛ ТЮМЕНСКАЯ Р-Н УПОРОВСКИЙ   С УПОРОВО УЛ БУЛАТА ЯНТИМИРОВА д. 54"</f>
        <v>627180 ОБЛ ТЮМЕНСКАЯ Р-Н УПОРОВСКИЙ   С УПОРОВО УЛ БУЛАТА ЯНТИМИРОВА д. 54</v>
      </c>
      <c r="M508" t="str">
        <f t="shared" si="79"/>
        <v>2019-08-24</v>
      </c>
      <c r="N508" t="str">
        <f>"УПФР ПО УПОРОВСКОМУ Р-НУ"</f>
        <v>УПФР ПО УПОРОВСКОМУ Р-НУ</v>
      </c>
      <c r="O508" t="str">
        <f>"627172"</f>
        <v>627172</v>
      </c>
      <c r="P508" t="str">
        <f>"ОБЛ ТЮМЕНСКАЯ"</f>
        <v>ОБЛ ТЮМЕНСКАЯ</v>
      </c>
      <c r="Q508" t="str">
        <f>"Р-Н УПОРОВСКИЙ"</f>
        <v>Р-Н УПОРОВСКИЙ</v>
      </c>
      <c r="R508" t="str">
        <f>""</f>
        <v/>
      </c>
      <c r="S508" t="str">
        <f>"С СУЕРКА"</f>
        <v>С СУЕРКА</v>
      </c>
      <c r="T508" t="str">
        <f>"УЛ СОТОВА"</f>
        <v>УЛ СОТОВА</v>
      </c>
      <c r="U508" s="1" t="str">
        <f>"7"</f>
        <v>7</v>
      </c>
      <c r="V508" s="1" t="str">
        <f>""</f>
        <v/>
      </c>
      <c r="W508" s="1" t="str">
        <f>""</f>
        <v/>
      </c>
      <c r="X508" s="1" t="str">
        <f>""</f>
        <v/>
      </c>
      <c r="Y508" s="1" t="str">
        <f>"2"</f>
        <v>2</v>
      </c>
      <c r="Z508" t="str">
        <f>"3454131480"</f>
        <v>3454131480</v>
      </c>
      <c r="AA508" t="str">
        <f>"3454145570"</f>
        <v>3454145570</v>
      </c>
      <c r="AB508" t="str">
        <f>"9523429013"</f>
        <v>9523429013</v>
      </c>
      <c r="AC508" t="str">
        <f>"3454145570"</f>
        <v>3454145570</v>
      </c>
      <c r="AD508" t="str">
        <f>"9523429013"</f>
        <v>9523429013</v>
      </c>
      <c r="AE508" t="str">
        <f>"3454131480"</f>
        <v>3454131480</v>
      </c>
    </row>
    <row r="509" spans="1:31" x14ac:dyDescent="0.45">
      <c r="A509" t="str">
        <f>"ПРИПУТЕНКО ОЛЬГА БОРИСОВНА"</f>
        <v>ПРИПУТЕНКО ОЛЬГА БОРИСОВНА</v>
      </c>
      <c r="B509" t="str">
        <f>"1974-11-13"</f>
        <v>1974-11-13</v>
      </c>
      <c r="C509" t="str">
        <f>"74 15 897919"</f>
        <v>74 15 897919</v>
      </c>
      <c r="D509" t="str">
        <f>"4854630375159038"</f>
        <v>4854630375159038</v>
      </c>
      <c r="E509" t="str">
        <f>"2021-04-30"</f>
        <v>2021-04-30</v>
      </c>
      <c r="F509" t="str">
        <f>"K"</f>
        <v>K</v>
      </c>
      <c r="G509" t="str">
        <f t="shared" si="87"/>
        <v>+</v>
      </c>
      <c r="H509" t="str">
        <f>"40817810416992455744"</f>
        <v>40817810416992455744</v>
      </c>
      <c r="I509" t="str">
        <f>"8369"</f>
        <v>8369</v>
      </c>
      <c r="J509" t="str">
        <f>"0022"</f>
        <v>0022</v>
      </c>
      <c r="K509" t="str">
        <f>"290000.00"</f>
        <v>290000.00</v>
      </c>
      <c r="L509" t="str">
        <f>"629800 ОБЛ ТЮМЕНСКАЯ АО ЯНАО Г НОЯБРЬСК   УЛ СОВЕТСКАЯ д. 103"</f>
        <v>629800 ОБЛ ТЮМЕНСКАЯ АО ЯНАО Г НОЯБРЬСК   УЛ СОВЕТСКАЯ д. 103</v>
      </c>
      <c r="M509" t="str">
        <f t="shared" si="79"/>
        <v>2019-08-24</v>
      </c>
      <c r="N509" t="str">
        <f>"ООО АЛЬФА СУРГУТ"</f>
        <v>ООО АЛЬФА СУРГУТ</v>
      </c>
      <c r="O509" t="str">
        <f>"629800"</f>
        <v>629800</v>
      </c>
      <c r="P509" t="str">
        <f>"ОБЛ ТЮМЕНСКАЯ"</f>
        <v>ОБЛ ТЮМЕНСКАЯ</v>
      </c>
      <c r="Q509" t="str">
        <f>"АО ЯНАО"</f>
        <v>АО ЯНАО</v>
      </c>
      <c r="R509" t="str">
        <f>"Г НОЯБРЬСК"</f>
        <v>Г НОЯБРЬСК</v>
      </c>
      <c r="S509" t="str">
        <f>""</f>
        <v/>
      </c>
      <c r="T509" t="str">
        <f>"УЛ МАГИСТРАЛЬНАЯ"</f>
        <v>УЛ МАГИСТРАЛЬНАЯ</v>
      </c>
      <c r="U509" s="1" t="str">
        <f>"123"</f>
        <v>123</v>
      </c>
      <c r="V509" s="1" t="str">
        <f>""</f>
        <v/>
      </c>
      <c r="W509" s="1" t="str">
        <f>""</f>
        <v/>
      </c>
      <c r="X509" s="1" t="str">
        <f>""</f>
        <v/>
      </c>
      <c r="Y509" s="1" t="str">
        <f>"27"</f>
        <v>27</v>
      </c>
      <c r="Z509" t="str">
        <f>"3512675050"</f>
        <v>3512675050</v>
      </c>
      <c r="AA509" t="str">
        <f>"9129163724"</f>
        <v>9129163724</v>
      </c>
      <c r="AB509" t="str">
        <f>"9129149931"</f>
        <v>9129149931</v>
      </c>
      <c r="AC509" t="str">
        <f>"9129163724"</f>
        <v>9129163724</v>
      </c>
      <c r="AD509" t="str">
        <f>"9129149931"</f>
        <v>9129149931</v>
      </c>
      <c r="AE509" t="str">
        <f>"3512675050"</f>
        <v>3512675050</v>
      </c>
    </row>
    <row r="510" spans="1:31" x14ac:dyDescent="0.45">
      <c r="A510" t="str">
        <f>"МУХАМЕТОВА АЙГУЛЬ РУСЛАНОВНА"</f>
        <v>МУХАМЕТОВА АЙГУЛЬ РУСЛАНОВНА</v>
      </c>
      <c r="B510" t="str">
        <f>"1993-08-09"</f>
        <v>1993-08-09</v>
      </c>
      <c r="C510" t="str">
        <f>"80 13 746818"</f>
        <v>80 13 746818</v>
      </c>
      <c r="D510" t="str">
        <f>"5313100368126768"</f>
        <v>5313100368126768</v>
      </c>
      <c r="E510" t="str">
        <f>"2021-03-31"</f>
        <v>2021-03-31</v>
      </c>
      <c r="F510" t="str">
        <f t="shared" ref="F510:G520" si="88">"+"</f>
        <v>+</v>
      </c>
      <c r="G510" t="str">
        <f t="shared" si="87"/>
        <v>+</v>
      </c>
      <c r="H510" t="str">
        <f>"40817810316991424708"</f>
        <v>40817810316991424708</v>
      </c>
      <c r="I510" t="str">
        <f>"8598"</f>
        <v>8598</v>
      </c>
      <c r="J510" t="str">
        <f>"0196"</f>
        <v>0196</v>
      </c>
      <c r="K510" t="str">
        <f>"100000.00"</f>
        <v>100000.00</v>
      </c>
      <c r="L510" t="str">
        <f>"450000 РЕСП БАШКОРТОСТАН   Г СУРГУТ   УЛ ГРИГОРИЯ КУКУЕВИЦКОГО д. 15"</f>
        <v>450000 РЕСП БАШКОРТОСТАН   Г СУРГУТ   УЛ ГРИГОРИЯ КУКУЕВИЦКОГО д. 15</v>
      </c>
      <c r="M510" t="str">
        <f t="shared" si="79"/>
        <v>2019-08-24</v>
      </c>
      <c r="N510" t="str">
        <f>"МЕГАФОН"</f>
        <v>МЕГАФОН</v>
      </c>
      <c r="O510" t="str">
        <f>"450000"</f>
        <v>450000</v>
      </c>
      <c r="P510" t="str">
        <f>"РЕСП БАШКОРТОСТАН"</f>
        <v>РЕСП БАШКОРТОСТАН</v>
      </c>
      <c r="Q510" t="str">
        <f>"Р-Н КИГИНСКИЙ"</f>
        <v>Р-Н КИГИНСКИЙ</v>
      </c>
      <c r="R510" t="str">
        <f>""</f>
        <v/>
      </c>
      <c r="S510" t="str">
        <f>"Д СУЛТАНОВКА"</f>
        <v>Д СУЛТАНОВКА</v>
      </c>
      <c r="T510" t="str">
        <f>"УЛ СОЛДАТСКАЯ"</f>
        <v>УЛ СОЛДАТСКАЯ</v>
      </c>
      <c r="U510" s="1" t="str">
        <f>"11"</f>
        <v>11</v>
      </c>
      <c r="V510" s="1" t="str">
        <f>""</f>
        <v/>
      </c>
      <c r="W510" s="1" t="str">
        <f>""</f>
        <v/>
      </c>
      <c r="X510" s="1" t="str">
        <f>""</f>
        <v/>
      </c>
      <c r="Y510" s="1" t="str">
        <f>""</f>
        <v/>
      </c>
      <c r="Z510" t="str">
        <f>""</f>
        <v/>
      </c>
      <c r="AA510" t="str">
        <f>"9526980557"</f>
        <v>9526980557</v>
      </c>
      <c r="AB510" t="str">
        <f>"9526980557"</f>
        <v>9526980557</v>
      </c>
      <c r="AC510" t="str">
        <f>"9526980557"</f>
        <v>9526980557</v>
      </c>
      <c r="AD510" t="str">
        <f>"9526980557"</f>
        <v>9526980557</v>
      </c>
      <c r="AE510" t="str">
        <f>""</f>
        <v/>
      </c>
    </row>
    <row r="511" spans="1:31" x14ac:dyDescent="0.45">
      <c r="A511" t="str">
        <f>"КУЗНЕЦОВА ГУЛИЯ НАЗИПОВНА"</f>
        <v>КУЗНЕЦОВА ГУЛИЯ НАЗИПОВНА</v>
      </c>
      <c r="B511" t="str">
        <f>"1971-09-27"</f>
        <v>1971-09-27</v>
      </c>
      <c r="C511" t="str">
        <f>"67 16 580035"</f>
        <v>67 16 580035</v>
      </c>
      <c r="D511" t="str">
        <f>"4854630019170292"</f>
        <v>4854630019170292</v>
      </c>
      <c r="E511" t="str">
        <f>"2020-11-30"</f>
        <v>2020-11-30</v>
      </c>
      <c r="F511" t="str">
        <f t="shared" si="88"/>
        <v>+</v>
      </c>
      <c r="G511" t="str">
        <f t="shared" si="87"/>
        <v>+</v>
      </c>
      <c r="H511" t="str">
        <f>"40817810416992067310"</f>
        <v>40817810416992067310</v>
      </c>
      <c r="I511" t="str">
        <f>"1791"</f>
        <v>1791</v>
      </c>
      <c r="J511" t="str">
        <f>"0118"</f>
        <v>0118</v>
      </c>
      <c r="K511" t="str">
        <f>"55000.00"</f>
        <v>55000.00</v>
      </c>
      <c r="L511" t="str">
        <f>"628248 ОБЛ ТЮМЕНСКАЯ Р-Н СОВЕТСКИЙ   П АЛЯБЬЕВСКИЙ УЛ КОММУНИСТИЧЕСКАЯ д. 33"</f>
        <v>628248 ОБЛ ТЮМЕНСКАЯ Р-Н СОВЕТСКИЙ   П АЛЯБЬЕВСКИЙ УЛ КОММУНИСТИЧЕСКАЯ д. 33</v>
      </c>
      <c r="M511" t="str">
        <f t="shared" si="79"/>
        <v>2019-08-24</v>
      </c>
      <c r="N511" t="str">
        <f>"ИП БАБИНА Л.А."</f>
        <v>ИП БАБИНА Л.А.</v>
      </c>
      <c r="O511" t="str">
        <f>"628248"</f>
        <v>628248</v>
      </c>
      <c r="P511" t="str">
        <f>"ОБЛ ТЮМЕНСКАЯ"</f>
        <v>ОБЛ ТЮМЕНСКАЯ</v>
      </c>
      <c r="Q511" t="str">
        <f>"Р-Н СОВЕТСКИЙ"</f>
        <v>Р-Н СОВЕТСКИЙ</v>
      </c>
      <c r="R511" t="str">
        <f>""</f>
        <v/>
      </c>
      <c r="S511" t="str">
        <f>"П АЛЯБЬЕВСКИЙ"</f>
        <v>П АЛЯБЬЕВСКИЙ</v>
      </c>
      <c r="T511" t="str">
        <f>"УЛ НОВОСЕЛОВ"</f>
        <v>УЛ НОВОСЕЛОВ</v>
      </c>
      <c r="U511" s="1" t="str">
        <f>"4"</f>
        <v>4</v>
      </c>
      <c r="V511" s="1" t="str">
        <f>""</f>
        <v/>
      </c>
      <c r="W511" s="1" t="str">
        <f>""</f>
        <v/>
      </c>
      <c r="X511" s="1" t="str">
        <f>""</f>
        <v/>
      </c>
      <c r="Y511" s="1" t="str">
        <f>"31"</f>
        <v>31</v>
      </c>
      <c r="Z511" t="str">
        <f>"9048856159"</f>
        <v>9048856159</v>
      </c>
      <c r="AA511" t="str">
        <f>"3467543163"</f>
        <v>3467543163</v>
      </c>
      <c r="AB511" t="str">
        <f>"9821382573"</f>
        <v>9821382573</v>
      </c>
      <c r="AC511" t="str">
        <f>"3467543163"</f>
        <v>3467543163</v>
      </c>
      <c r="AD511" t="str">
        <f>"9519753615"</f>
        <v>9519753615</v>
      </c>
      <c r="AE511" t="str">
        <f>"9048856159"</f>
        <v>9048856159</v>
      </c>
    </row>
    <row r="512" spans="1:31" x14ac:dyDescent="0.45">
      <c r="A512" t="str">
        <f>"ЩЕЛЯКОВА ГАЛИНА ВАСИЛЬЕВНА"</f>
        <v>ЩЕЛЯКОВА ГАЛИНА ВАСИЛЬЕВНА</v>
      </c>
      <c r="B512" t="str">
        <f>"1963-04-01"</f>
        <v>1963-04-01</v>
      </c>
      <c r="C512" t="str">
        <f>"65 08 361567"</f>
        <v>65 08 361567</v>
      </c>
      <c r="D512" t="str">
        <f>"5313100847869582"</f>
        <v>5313100847869582</v>
      </c>
      <c r="E512" t="str">
        <f>"2021-11-30"</f>
        <v>2021-11-30</v>
      </c>
      <c r="F512" t="str">
        <f t="shared" si="88"/>
        <v>+</v>
      </c>
      <c r="G512" t="str">
        <f t="shared" si="87"/>
        <v>+</v>
      </c>
      <c r="H512" t="str">
        <f>"40817810216991464185"</f>
        <v>40817810216991464185</v>
      </c>
      <c r="I512" t="str">
        <f>"7003"</f>
        <v>7003</v>
      </c>
      <c r="J512" t="str">
        <f>"0493"</f>
        <v>0493</v>
      </c>
      <c r="K512" t="str">
        <f>"10000.00"</f>
        <v>10000.00</v>
      </c>
      <c r="L512" t="str">
        <f>"620000 ОБЛ СВЕРДЛОВСКАЯ   Г ПОЛЕВСКОЙ   УЛ МАКСИМА ГОРЬКОГО д. 5"</f>
        <v>620000 ОБЛ СВЕРДЛОВСКАЯ   Г ПОЛЕВСКОЙ   УЛ МАКСИМА ГОРЬКОГО д. 5</v>
      </c>
      <c r="M512" t="str">
        <f t="shared" si="79"/>
        <v>2019-08-24</v>
      </c>
      <c r="N512" t="str">
        <f>"ПФР"</f>
        <v>ПФР</v>
      </c>
      <c r="O512" t="str">
        <f>"620000"</f>
        <v>620000</v>
      </c>
      <c r="P512" t="str">
        <f>"ОБЛ СВЕРДЛОВСКАЯ"</f>
        <v>ОБЛ СВЕРДЛОВСКАЯ</v>
      </c>
      <c r="Q512" t="str">
        <f>""</f>
        <v/>
      </c>
      <c r="R512" t="str">
        <f>"Г ПОЛЕВСКОЙ"</f>
        <v>Г ПОЛЕВСКОЙ</v>
      </c>
      <c r="S512" t="str">
        <f>""</f>
        <v/>
      </c>
      <c r="T512" t="str">
        <f>"МКР 2"</f>
        <v>МКР 2</v>
      </c>
      <c r="U512" s="1" t="str">
        <f>"3"</f>
        <v>3</v>
      </c>
      <c r="V512" s="1" t="str">
        <f>""</f>
        <v/>
      </c>
      <c r="W512" s="1" t="str">
        <f>""</f>
        <v/>
      </c>
      <c r="X512" s="1" t="str">
        <f>""</f>
        <v/>
      </c>
      <c r="Y512" s="1" t="str">
        <f>"117"</f>
        <v>117</v>
      </c>
      <c r="Z512" t="str">
        <f>""</f>
        <v/>
      </c>
      <c r="AA512" t="str">
        <f>"9655229514"</f>
        <v>9655229514</v>
      </c>
      <c r="AB512" t="str">
        <f>"9655229514"</f>
        <v>9655229514</v>
      </c>
      <c r="AC512" t="str">
        <f>"9655229514"</f>
        <v>9655229514</v>
      </c>
      <c r="AD512" t="str">
        <f>"9655229514"</f>
        <v>9655229514</v>
      </c>
      <c r="AE512" t="str">
        <f>""</f>
        <v/>
      </c>
    </row>
    <row r="513" spans="1:31" x14ac:dyDescent="0.45">
      <c r="A513" t="str">
        <f>"ВАСИНСКАЯ МАРИНА ВЛАДИМИРОВНА"</f>
        <v>ВАСИНСКАЯ МАРИНА ВЛАДИМИРОВНА</v>
      </c>
      <c r="B513" t="str">
        <f>"1968-05-26"</f>
        <v>1968-05-26</v>
      </c>
      <c r="C513" t="str">
        <f>"65 13 569617"</f>
        <v>65 13 569617</v>
      </c>
      <c r="D513" t="str">
        <f>"5313100284222600"</f>
        <v>5313100284222600</v>
      </c>
      <c r="E513" t="str">
        <f>"2021-03-31"</f>
        <v>2021-03-31</v>
      </c>
      <c r="F513" t="str">
        <f t="shared" si="88"/>
        <v>+</v>
      </c>
      <c r="G513" t="str">
        <f t="shared" si="88"/>
        <v>+</v>
      </c>
      <c r="H513" t="str">
        <f>"40817810516991464186"</f>
        <v>40817810516991464186</v>
      </c>
      <c r="I513" t="str">
        <f>"7003"</f>
        <v>7003</v>
      </c>
      <c r="J513" t="str">
        <f>"0626"</f>
        <v>0626</v>
      </c>
      <c r="K513" t="str">
        <f>"20000.00"</f>
        <v>20000.00</v>
      </c>
      <c r="L513" t="str">
        <f>"620000 ОБЛ СВЕРДЛОВСКАЯ   Г АСБЕСТ   УЛ ЛЕНИНА д. 8"</f>
        <v>620000 ОБЛ СВЕРДЛОВСКАЯ   Г АСБЕСТ   УЛ ЛЕНИНА д. 8</v>
      </c>
      <c r="M513" t="str">
        <f t="shared" si="79"/>
        <v>2019-08-24</v>
      </c>
      <c r="N513" t="str">
        <f>"ПФР"</f>
        <v>ПФР</v>
      </c>
      <c r="O513" t="str">
        <f>"620000"</f>
        <v>620000</v>
      </c>
      <c r="P513" t="str">
        <f>"ОБЛ СВЕРДЛОВСКАЯ"</f>
        <v>ОБЛ СВЕРДЛОВСКАЯ</v>
      </c>
      <c r="Q513" t="str">
        <f>""</f>
        <v/>
      </c>
      <c r="R513" t="str">
        <f>"Г АСБЕСТ"</f>
        <v>Г АСБЕСТ</v>
      </c>
      <c r="S513" t="str">
        <f>""</f>
        <v/>
      </c>
      <c r="T513" t="str">
        <f>"УЛ ЛЕНИНГРАДСКАЯ"</f>
        <v>УЛ ЛЕНИНГРАДСКАЯ</v>
      </c>
      <c r="U513" s="1" t="str">
        <f>"21/1"</f>
        <v>21/1</v>
      </c>
      <c r="V513" s="1" t="str">
        <f>""</f>
        <v/>
      </c>
      <c r="W513" s="1" t="str">
        <f>""</f>
        <v/>
      </c>
      <c r="X513" s="1" t="str">
        <f>""</f>
        <v/>
      </c>
      <c r="Y513" s="1" t="str">
        <f>"48"</f>
        <v>48</v>
      </c>
      <c r="Z513" t="str">
        <f>""</f>
        <v/>
      </c>
      <c r="AA513" t="str">
        <f>"9826235377"</f>
        <v>9826235377</v>
      </c>
      <c r="AB513" t="str">
        <f>"9826235377"</f>
        <v>9826235377</v>
      </c>
      <c r="AC513" t="str">
        <f>"9826235377"</f>
        <v>9826235377</v>
      </c>
      <c r="AD513" t="str">
        <f>"9826235377"</f>
        <v>9826235377</v>
      </c>
      <c r="AE513" t="str">
        <f>""</f>
        <v/>
      </c>
    </row>
    <row r="514" spans="1:31" x14ac:dyDescent="0.45">
      <c r="A514" t="str">
        <f>"ШЕРЕМЕТЬЕВА ЛЮДМИЛА НИКОЛАЕВНА"</f>
        <v>ШЕРЕМЕТЬЕВА ЛЮДМИЛА НИКОЛАЕВНА</v>
      </c>
      <c r="B514" t="str">
        <f>"1983-06-13"</f>
        <v>1983-06-13</v>
      </c>
      <c r="C514" t="str">
        <f>"75 10 763879"</f>
        <v>75 10 763879</v>
      </c>
      <c r="D514" t="str">
        <f>"5313100600636624"</f>
        <v>5313100600636624</v>
      </c>
      <c r="E514" t="str">
        <f>"2021-03-31"</f>
        <v>2021-03-31</v>
      </c>
      <c r="F514" t="str">
        <f t="shared" si="88"/>
        <v>+</v>
      </c>
      <c r="G514" t="str">
        <f t="shared" si="88"/>
        <v>+</v>
      </c>
      <c r="H514" t="str">
        <f>"40817810516991464199"</f>
        <v>40817810516991464199</v>
      </c>
      <c r="I514" t="str">
        <f>"8597"</f>
        <v>8597</v>
      </c>
      <c r="J514" t="str">
        <f>"0521"</f>
        <v>0521</v>
      </c>
      <c r="K514" t="str">
        <f>"30000.00"</f>
        <v>30000.00</v>
      </c>
      <c r="L514" t="str">
        <f>"454000 ОБЛ ЧЕЛЯБИНСКАЯ   Г МИАСС   УЛ РОМАНЕНКО д. 50"</f>
        <v>454000 ОБЛ ЧЕЛЯБИНСКАЯ   Г МИАСС   УЛ РОМАНЕНКО д. 50</v>
      </c>
      <c r="M514" t="str">
        <f t="shared" ref="M514:M577" si="89">"2019-08-24"</f>
        <v>2019-08-24</v>
      </c>
      <c r="N514" t="str">
        <f>"ПОЧТА"</f>
        <v>ПОЧТА</v>
      </c>
      <c r="O514" t="str">
        <f>"454000"</f>
        <v>454000</v>
      </c>
      <c r="P514" t="str">
        <f>"ОБЛ ЧЕЛЯБИНСКАЯ"</f>
        <v>ОБЛ ЧЕЛЯБИНСКАЯ</v>
      </c>
      <c r="Q514" t="str">
        <f>""</f>
        <v/>
      </c>
      <c r="R514" t="str">
        <f>"Г МИАСС"</f>
        <v>Г МИАСС</v>
      </c>
      <c r="S514" t="str">
        <f>""</f>
        <v/>
      </c>
      <c r="T514" t="str">
        <f>"УЛ ПАРТИЗАНСКАЯ"</f>
        <v>УЛ ПАРТИЗАНСКАЯ</v>
      </c>
      <c r="U514" s="1" t="str">
        <f>"20"</f>
        <v>20</v>
      </c>
      <c r="V514" s="1" t="str">
        <f>""</f>
        <v/>
      </c>
      <c r="W514" s="1" t="str">
        <f>""</f>
        <v/>
      </c>
      <c r="X514" s="1" t="str">
        <f>""</f>
        <v/>
      </c>
      <c r="Y514" s="1" t="str">
        <f>""</f>
        <v/>
      </c>
      <c r="Z514" t="str">
        <f>""</f>
        <v/>
      </c>
      <c r="AA514" t="str">
        <f>"9514533644"</f>
        <v>9514533644</v>
      </c>
      <c r="AB514" t="str">
        <f>"9514533644"</f>
        <v>9514533644</v>
      </c>
      <c r="AC514" t="str">
        <f>"9514533644"</f>
        <v>9514533644</v>
      </c>
      <c r="AD514" t="str">
        <f>"9514533644"</f>
        <v>9514533644</v>
      </c>
      <c r="AE514" t="str">
        <f>""</f>
        <v/>
      </c>
    </row>
    <row r="515" spans="1:31" x14ac:dyDescent="0.45">
      <c r="A515" t="str">
        <f>"ТОКАРЕВ СЕРГЕЙ ЮРЬЕВИЧ"</f>
        <v>ТОКАРЕВ СЕРГЕЙ ЮРЬЕВИЧ</v>
      </c>
      <c r="B515" t="str">
        <f>"1965-08-27"</f>
        <v>1965-08-27</v>
      </c>
      <c r="C515" t="str">
        <f>"67 10 044999"</f>
        <v>67 10 044999</v>
      </c>
      <c r="D515" t="str">
        <f>"4854630427752350"</f>
        <v>4854630427752350</v>
      </c>
      <c r="E515" t="str">
        <f>"2021-04-30"</f>
        <v>2021-04-30</v>
      </c>
      <c r="F515" t="str">
        <f t="shared" si="88"/>
        <v>+</v>
      </c>
      <c r="G515" t="str">
        <f t="shared" si="88"/>
        <v>+</v>
      </c>
      <c r="H515" t="str">
        <f>"40817810316992501170"</f>
        <v>40817810316992501170</v>
      </c>
      <c r="I515" t="str">
        <f>"5940"</f>
        <v>5940</v>
      </c>
      <c r="J515" t="str">
        <f>"0127"</f>
        <v>0127</v>
      </c>
      <c r="K515" t="str">
        <f>"200000.00"</f>
        <v>200000.00</v>
      </c>
      <c r="L515" t="str">
        <f>"628600 ОБЛ ТЮМЕНСКАЯ АО ХМАО Г НИЖНЕВАРТОВСК   УЛ ДЗЕРЖИНСКОГО д. 15"</f>
        <v>628600 ОБЛ ТЮМЕНСКАЯ АО ХМАО Г НИЖНЕВАРТОВСК   УЛ ДЗЕРЖИНСКОГО д. 15</v>
      </c>
      <c r="M515" t="str">
        <f t="shared" si="89"/>
        <v>2019-08-24</v>
      </c>
      <c r="N515" t="str">
        <f>"ПФР НИЖНЕВАРТОВСК"</f>
        <v>ПФР НИЖНЕВАРТОВСК</v>
      </c>
      <c r="O515" t="str">
        <f>"628600"</f>
        <v>628600</v>
      </c>
      <c r="P515" t="str">
        <f>"ОБЛ ТЮМЕНСКАЯ"</f>
        <v>ОБЛ ТЮМЕНСКАЯ</v>
      </c>
      <c r="Q515" t="str">
        <f>"АО ХМАО"</f>
        <v>АО ХМАО</v>
      </c>
      <c r="R515" t="str">
        <f>"Г НИЖНЕВАРТОВСК"</f>
        <v>Г НИЖНЕВАРТОВСК</v>
      </c>
      <c r="S515" t="str">
        <f>""</f>
        <v/>
      </c>
      <c r="T515" t="str">
        <f>"ПРОЕЗД ЗАОЗЕРНЫЙ"</f>
        <v>ПРОЕЗД ЗАОЗЕРНЫЙ</v>
      </c>
      <c r="U515" s="1" t="str">
        <f>"4"</f>
        <v>4</v>
      </c>
      <c r="V515" s="1" t="str">
        <f>""</f>
        <v/>
      </c>
      <c r="W515" s="1" t="str">
        <f>""</f>
        <v/>
      </c>
      <c r="X515" s="1" t="str">
        <f>""</f>
        <v/>
      </c>
      <c r="Y515" s="1" t="str">
        <f>"62"</f>
        <v>62</v>
      </c>
      <c r="Z515" t="str">
        <f>""</f>
        <v/>
      </c>
      <c r="AA515" t="str">
        <f>"9226558761"</f>
        <v>9226558761</v>
      </c>
      <c r="AB515" t="str">
        <f>"9226558761"</f>
        <v>9226558761</v>
      </c>
      <c r="AC515" t="str">
        <f>"9227950491"</f>
        <v>9227950491</v>
      </c>
      <c r="AD515" t="str">
        <f>"9226558761"</f>
        <v>9226558761</v>
      </c>
      <c r="AE515" t="str">
        <f>""</f>
        <v/>
      </c>
    </row>
    <row r="516" spans="1:31" x14ac:dyDescent="0.45">
      <c r="A516" t="str">
        <f>"ГЛИНСКАЯ ЕЛЕНА ЮРЬЕВНА"</f>
        <v>ГЛИНСКАЯ ЕЛЕНА ЮРЬЕВНА</v>
      </c>
      <c r="B516" t="str">
        <f>"1972-04-19"</f>
        <v>1972-04-19</v>
      </c>
      <c r="C516" t="str">
        <f>"37 17 703154"</f>
        <v>37 17 703154</v>
      </c>
      <c r="D516" t="str">
        <f>"4854630411657482"</f>
        <v>4854630411657482</v>
      </c>
      <c r="E516" t="str">
        <f>"2021-04-30"</f>
        <v>2021-04-30</v>
      </c>
      <c r="F516" t="str">
        <f t="shared" si="88"/>
        <v>+</v>
      </c>
      <c r="G516" t="str">
        <f t="shared" si="88"/>
        <v>+</v>
      </c>
      <c r="H516" t="str">
        <f>"40817810916991427862"</f>
        <v>40817810916991427862</v>
      </c>
      <c r="I516" t="str">
        <f>"8599"</f>
        <v>8599</v>
      </c>
      <c r="J516" t="str">
        <f>"0045"</f>
        <v>0045</v>
      </c>
      <c r="K516" t="str">
        <f>"10000.00"</f>
        <v>10000.00</v>
      </c>
      <c r="L516" t="str">
        <f>"641000 ОБЛ КУРГАНСКАЯ   Г КУРГАН   УЛ КИРОВА д. 51 корп. А офис 208"</f>
        <v>641000 ОБЛ КУРГАНСКАЯ   Г КУРГАН   УЛ КИРОВА д. 51 корп. А офис 208</v>
      </c>
      <c r="M516" t="str">
        <f t="shared" si="89"/>
        <v>2019-08-24</v>
      </c>
      <c r="N516" t="str">
        <f>"КЛИНИНГОВАЯ КОМПАНИЯ ЧИСТЫЙ МИР"</f>
        <v>КЛИНИНГОВАЯ КОМПАНИЯ ЧИСТЫЙ МИР</v>
      </c>
      <c r="O516" t="str">
        <f>"641000"</f>
        <v>641000</v>
      </c>
      <c r="P516" t="str">
        <f>"ОБЛ КУРГАНСКАЯ"</f>
        <v>ОБЛ КУРГАНСКАЯ</v>
      </c>
      <c r="Q516" t="str">
        <f>""</f>
        <v/>
      </c>
      <c r="R516" t="str">
        <f>"Г КУРГАН"</f>
        <v>Г КУРГАН</v>
      </c>
      <c r="S516" t="str">
        <f>""</f>
        <v/>
      </c>
      <c r="T516" t="str">
        <f>"УЛ РАБОЧЕ-КРЕСТЬЯНСКАЯ"</f>
        <v>УЛ РАБОЧЕ-КРЕСТЬЯНСКАЯ</v>
      </c>
      <c r="U516" s="1" t="str">
        <f>"14"</f>
        <v>14</v>
      </c>
      <c r="V516" s="1" t="str">
        <f>""</f>
        <v/>
      </c>
      <c r="W516" s="1" t="str">
        <f>""</f>
        <v/>
      </c>
      <c r="X516" s="1" t="str">
        <f>""</f>
        <v/>
      </c>
      <c r="Y516" s="1" t="str">
        <f>"84"</f>
        <v>84</v>
      </c>
      <c r="Z516" t="str">
        <f>"3522240861"</f>
        <v>3522240861</v>
      </c>
      <c r="AA516" t="str">
        <f>"9068831138"</f>
        <v>9068831138</v>
      </c>
      <c r="AB516" t="str">
        <f>"9068831138"</f>
        <v>9068831138</v>
      </c>
      <c r="AC516" t="str">
        <f>"9068831138"</f>
        <v>9068831138</v>
      </c>
      <c r="AD516" t="str">
        <f>"9068831138"</f>
        <v>9068831138</v>
      </c>
      <c r="AE516" t="str">
        <f>""</f>
        <v/>
      </c>
    </row>
    <row r="517" spans="1:31" x14ac:dyDescent="0.45">
      <c r="A517" t="str">
        <f>"ШАМПАРОВА ЗИНАИДА МИХАЙЛОВНА"</f>
        <v>ШАМПАРОВА ЗИНАИДА МИХАЙЛОВНА</v>
      </c>
      <c r="B517" t="str">
        <f>"1955-10-24"</f>
        <v>1955-10-24</v>
      </c>
      <c r="C517" t="str">
        <f>"80 01 450311"</f>
        <v>80 01 450311</v>
      </c>
      <c r="D517" t="str">
        <f>"4854630359727776"</f>
        <v>4854630359727776</v>
      </c>
      <c r="E517" t="str">
        <f>"2021-04-30"</f>
        <v>2021-04-30</v>
      </c>
      <c r="F517" t="str">
        <f t="shared" si="88"/>
        <v>+</v>
      </c>
      <c r="G517" t="str">
        <f t="shared" si="88"/>
        <v>+</v>
      </c>
      <c r="H517" t="str">
        <f>"40817810216991427863"</f>
        <v>40817810216991427863</v>
      </c>
      <c r="I517" t="str">
        <f>"8598"</f>
        <v>8598</v>
      </c>
      <c r="J517" t="str">
        <f>"0223"</f>
        <v>0223</v>
      </c>
      <c r="K517" t="str">
        <f>"40000.00"</f>
        <v>40000.00</v>
      </c>
      <c r="L517" t="str">
        <f>"450000 РЕСП БАШКОРТОСТАН   Г УФА   УЛ МУКСИНОВА д. 7 корп. 1 кв. 105"</f>
        <v>450000 РЕСП БАШКОРТОСТАН   Г УФА   УЛ МУКСИНОВА д. 7 корп. 1 кв. 105</v>
      </c>
      <c r="M517" t="str">
        <f t="shared" si="89"/>
        <v>2019-08-24</v>
      </c>
      <c r="N517" t="str">
        <f>"ПЕНСИОНЕР"</f>
        <v>ПЕНСИОНЕР</v>
      </c>
      <c r="O517" t="str">
        <f>"450000"</f>
        <v>450000</v>
      </c>
      <c r="P517" t="str">
        <f>"РЕСП БАШКОРТОСТАН"</f>
        <v>РЕСП БАШКОРТОСТАН</v>
      </c>
      <c r="Q517" t="str">
        <f>""</f>
        <v/>
      </c>
      <c r="R517" t="str">
        <f>"Г УФА"</f>
        <v>Г УФА</v>
      </c>
      <c r="S517" t="str">
        <f>""</f>
        <v/>
      </c>
      <c r="T517" t="str">
        <f>"УЛ МУКСИНОВА"</f>
        <v>УЛ МУКСИНОВА</v>
      </c>
      <c r="U517" s="1" t="str">
        <f>"7"</f>
        <v>7</v>
      </c>
      <c r="V517" s="1" t="str">
        <f>""</f>
        <v/>
      </c>
      <c r="W517" s="1" t="str">
        <f>"1"</f>
        <v>1</v>
      </c>
      <c r="X517" s="1" t="str">
        <f>""</f>
        <v/>
      </c>
      <c r="Y517" s="1" t="str">
        <f>"105"</f>
        <v>105</v>
      </c>
      <c r="Z517" t="str">
        <f>""</f>
        <v/>
      </c>
      <c r="AA517" t="str">
        <f>"9373407994"</f>
        <v>9373407994</v>
      </c>
      <c r="AB517" t="str">
        <f>"9373407994"</f>
        <v>9373407994</v>
      </c>
      <c r="AC517" t="str">
        <f>"9373407994"</f>
        <v>9373407994</v>
      </c>
      <c r="AD517" t="str">
        <f>"9373407994"</f>
        <v>9373407994</v>
      </c>
      <c r="AE517" t="str">
        <f>""</f>
        <v/>
      </c>
    </row>
    <row r="518" spans="1:31" x14ac:dyDescent="0.45">
      <c r="A518" t="str">
        <f>"ШАГИЕВА ЕЛЕНА АЛЕКСЕЕВНА"</f>
        <v>ШАГИЕВА ЕЛЕНА АЛЕКСЕЕВНА</v>
      </c>
      <c r="B518" t="str">
        <f>"1964-04-20"</f>
        <v>1964-04-20</v>
      </c>
      <c r="C518" t="str">
        <f>"65 10 934681"</f>
        <v>65 10 934681</v>
      </c>
      <c r="D518" t="str">
        <f>"4276011633467390"</f>
        <v>4276011633467390</v>
      </c>
      <c r="E518" t="str">
        <f>"2021-05-31"</f>
        <v>2021-05-31</v>
      </c>
      <c r="F518" t="str">
        <f t="shared" si="88"/>
        <v>+</v>
      </c>
      <c r="G518" t="str">
        <f t="shared" si="88"/>
        <v>+</v>
      </c>
      <c r="H518" t="str">
        <f>"40817810216991427960"</f>
        <v>40817810216991427960</v>
      </c>
      <c r="I518" t="str">
        <f>"7003"</f>
        <v>7003</v>
      </c>
      <c r="J518" t="str">
        <f>"0888"</f>
        <v>0888</v>
      </c>
      <c r="K518" t="str">
        <f>"59000.00"</f>
        <v>59000.00</v>
      </c>
      <c r="L518" t="str">
        <f>"620000 ОБЛ СВЕРДЛОВСКАЯ   Г ЕКАТЕРИНБУРГ   УЛ ХРУСТАЛЬНАЯ д. 35А"</f>
        <v>620000 ОБЛ СВЕРДЛОВСКАЯ   Г ЕКАТЕРИНБУРГ   УЛ ХРУСТАЛЬНАЯ д. 35А</v>
      </c>
      <c r="M518" t="str">
        <f t="shared" si="89"/>
        <v>2019-08-24</v>
      </c>
      <c r="N518" t="str">
        <f>"БЕСТ ПРАЙС"</f>
        <v>БЕСТ ПРАЙС</v>
      </c>
      <c r="O518" t="str">
        <f>"620000"</f>
        <v>620000</v>
      </c>
      <c r="P518" t="str">
        <f>"ОБЛ СВЕРДЛОВСКАЯ"</f>
        <v>ОБЛ СВЕРДЛОВСКАЯ</v>
      </c>
      <c r="Q518" t="str">
        <f>""</f>
        <v/>
      </c>
      <c r="R518" t="str">
        <f>"Г ЕКАТЕРИНБУРГ"</f>
        <v>Г ЕКАТЕРИНБУРГ</v>
      </c>
      <c r="S518" t="str">
        <f>""</f>
        <v/>
      </c>
      <c r="T518" t="str">
        <f>"УЛ БАЙКАЛЬСКАЯ"</f>
        <v>УЛ БАЙКАЛЬСКАЯ</v>
      </c>
      <c r="U518" s="1" t="str">
        <f>"48"</f>
        <v>48</v>
      </c>
      <c r="V518" s="1" t="str">
        <f>""</f>
        <v/>
      </c>
      <c r="W518" s="1" t="str">
        <f>""</f>
        <v/>
      </c>
      <c r="X518" s="1" t="str">
        <f>""</f>
        <v/>
      </c>
      <c r="Y518" s="1" t="str">
        <f>"8"</f>
        <v>8</v>
      </c>
      <c r="Z518" t="str">
        <f>""</f>
        <v/>
      </c>
      <c r="AA518" t="str">
        <f>""</f>
        <v/>
      </c>
      <c r="AB518" t="str">
        <f>"9521315440"</f>
        <v>9521315440</v>
      </c>
      <c r="AC518" t="str">
        <f>""</f>
        <v/>
      </c>
      <c r="AD518" t="str">
        <f>"9521315440"</f>
        <v>9521315440</v>
      </c>
      <c r="AE518" t="str">
        <f>""</f>
        <v/>
      </c>
    </row>
    <row r="519" spans="1:31" x14ac:dyDescent="0.45">
      <c r="A519" t="str">
        <f>"ПАВЛОВСКАЯ АННА ГРИГОРЬЕВНА"</f>
        <v>ПАВЛОВСКАЯ АННА ГРИГОРЬЕВНА</v>
      </c>
      <c r="B519" t="str">
        <f>"1954-02-14"</f>
        <v>1954-02-14</v>
      </c>
      <c r="C519" t="str">
        <f>"65 02 111357"</f>
        <v>65 02 111357</v>
      </c>
      <c r="D519" t="str">
        <f>"4854630427434744"</f>
        <v>4854630427434744</v>
      </c>
      <c r="E519" t="str">
        <f>"2021-05-31"</f>
        <v>2021-05-31</v>
      </c>
      <c r="F519" t="str">
        <f>"J"</f>
        <v>J</v>
      </c>
      <c r="G519" t="str">
        <f t="shared" si="88"/>
        <v>+</v>
      </c>
      <c r="H519" t="str">
        <f>"40817810416991464095"</f>
        <v>40817810416991464095</v>
      </c>
      <c r="I519" t="str">
        <f>"7003"</f>
        <v>7003</v>
      </c>
      <c r="J519" t="str">
        <f>"0670"</f>
        <v>0670</v>
      </c>
      <c r="K519" t="str">
        <f>"20000.00"</f>
        <v>20000.00</v>
      </c>
      <c r="L519" t="str">
        <f>"623363 ОБЛ СВЕРДЛОВСКАЯ Р-Н АРТИНСКИЙ   Д АНДРЕЙКОВО УЛ ЭРЫКАНА д. 64 кв. 1"</f>
        <v>623363 ОБЛ СВЕРДЛОВСКАЯ Р-Н АРТИНСКИЙ   Д АНДРЕЙКОВО УЛ ЭРЫКАНА д. 64 кв. 1</v>
      </c>
      <c r="M519" t="str">
        <f t="shared" si="89"/>
        <v>2019-08-24</v>
      </c>
      <c r="N519" t="str">
        <f>"ПЕНСИОНЕР"</f>
        <v>ПЕНСИОНЕР</v>
      </c>
      <c r="O519" t="str">
        <f>"623363"</f>
        <v>623363</v>
      </c>
      <c r="P519" t="str">
        <f>"ОБЛ СВЕРДЛОВСКАЯ"</f>
        <v>ОБЛ СВЕРДЛОВСКАЯ</v>
      </c>
      <c r="Q519" t="str">
        <f>"Р-Н АРТИНСКИЙ"</f>
        <v>Р-Н АРТИНСКИЙ</v>
      </c>
      <c r="R519" t="str">
        <f>""</f>
        <v/>
      </c>
      <c r="S519" t="str">
        <f>"Д АНДРЕЙКОВО"</f>
        <v>Д АНДРЕЙКОВО</v>
      </c>
      <c r="T519" t="str">
        <f>"УЛ ЭРЫКАНА"</f>
        <v>УЛ ЭРЫКАНА</v>
      </c>
      <c r="U519" s="1" t="str">
        <f>"64"</f>
        <v>64</v>
      </c>
      <c r="V519" s="1" t="str">
        <f>""</f>
        <v/>
      </c>
      <c r="W519" s="1" t="str">
        <f>""</f>
        <v/>
      </c>
      <c r="X519" s="1" t="str">
        <f>""</f>
        <v/>
      </c>
      <c r="Y519" s="1" t="str">
        <f>"1"</f>
        <v>1</v>
      </c>
      <c r="Z519" t="str">
        <f>""</f>
        <v/>
      </c>
      <c r="AA519" t="str">
        <f>"9506579578"</f>
        <v>9506579578</v>
      </c>
      <c r="AB519" t="str">
        <f>"9506579578"</f>
        <v>9506579578</v>
      </c>
      <c r="AC519" t="str">
        <f>"9506579578"</f>
        <v>9506579578</v>
      </c>
      <c r="AD519" t="str">
        <f>"9506579578"</f>
        <v>9506579578</v>
      </c>
      <c r="AE519" t="str">
        <f>""</f>
        <v/>
      </c>
    </row>
    <row r="520" spans="1:31" x14ac:dyDescent="0.45">
      <c r="A520" t="str">
        <f>"НЕЧАЕВ НИКОЛАЙ ВИКТОРОВИЧ"</f>
        <v>НЕЧАЕВ НИКОЛАЙ ВИКТОРОВИЧ</v>
      </c>
      <c r="B520" t="str">
        <f>"1966-04-12"</f>
        <v>1966-04-12</v>
      </c>
      <c r="C520" t="str">
        <f>"75 11 927837"</f>
        <v>75 11 927837</v>
      </c>
      <c r="D520" t="str">
        <f>"4854630419647444"</f>
        <v>4854630419647444</v>
      </c>
      <c r="E520" t="str">
        <f>"2021-04-30"</f>
        <v>2021-04-30</v>
      </c>
      <c r="F520" t="str">
        <f>"Z"</f>
        <v>Z</v>
      </c>
      <c r="G520" t="str">
        <f t="shared" si="88"/>
        <v>+</v>
      </c>
      <c r="H520" t="str">
        <f>"40817810616991464112"</f>
        <v>40817810616991464112</v>
      </c>
      <c r="I520" t="str">
        <f>"8597"</f>
        <v>8597</v>
      </c>
      <c r="J520" t="str">
        <f>"0455"</f>
        <v>0455</v>
      </c>
      <c r="K520" t="str">
        <f>"46000.00"</f>
        <v>46000.00</v>
      </c>
      <c r="L520" t="str">
        <f>"454000 ОБЛ ЧЕЛЯБИНСКАЯ   Г ЮЖНОУРАЛЬСК   УЛ СОВЕТСКАЯ д. 5"</f>
        <v>454000 ОБЛ ЧЕЛЯБИНСКАЯ   Г ЮЖНОУРАЛЬСК   УЛ СОВЕТСКАЯ д. 5</v>
      </c>
      <c r="M520" t="str">
        <f t="shared" si="89"/>
        <v>2019-08-24</v>
      </c>
      <c r="N520" t="str">
        <f>"ЗАО ЗАВОД ЭСКОН"</f>
        <v>ЗАО ЗАВОД ЭСКОН</v>
      </c>
      <c r="O520" t="str">
        <f>"454000"</f>
        <v>454000</v>
      </c>
      <c r="P520" t="str">
        <f>"ОБЛ ЧЕЛЯБИНСКАЯ"</f>
        <v>ОБЛ ЧЕЛЯБИНСКАЯ</v>
      </c>
      <c r="Q520" t="str">
        <f>""</f>
        <v/>
      </c>
      <c r="R520" t="str">
        <f>"Г ЮЖНОУРАЛЬСК"</f>
        <v>Г ЮЖНОУРАЛЬСК</v>
      </c>
      <c r="S520" t="str">
        <f>""</f>
        <v/>
      </c>
      <c r="T520" t="str">
        <f>"УЛ КОСМОНАВТОВ"</f>
        <v>УЛ КОСМОНАВТОВ</v>
      </c>
      <c r="U520" s="1" t="str">
        <f>"3"</f>
        <v>3</v>
      </c>
      <c r="V520" s="1" t="str">
        <f>""</f>
        <v/>
      </c>
      <c r="W520" s="1" t="str">
        <f>""</f>
        <v/>
      </c>
      <c r="X520" s="1" t="str">
        <f>""</f>
        <v/>
      </c>
      <c r="Y520" s="1" t="str">
        <f>"90"</f>
        <v>90</v>
      </c>
      <c r="Z520" t="str">
        <f>"3513494200"</f>
        <v>3513494200</v>
      </c>
      <c r="AA520" t="str">
        <f>"9514501306"</f>
        <v>9514501306</v>
      </c>
      <c r="AB520" t="str">
        <f>"9525027116"</f>
        <v>9525027116</v>
      </c>
      <c r="AC520" t="str">
        <f>"9514501306"</f>
        <v>9514501306</v>
      </c>
      <c r="AD520" t="str">
        <f>"9525027116"</f>
        <v>9525027116</v>
      </c>
      <c r="AE520" t="str">
        <f>"3513494200"</f>
        <v>3513494200</v>
      </c>
    </row>
    <row r="521" spans="1:31" x14ac:dyDescent="0.45">
      <c r="A521" t="str">
        <f>"НАЙМУШИНА НАТАЛЬЯ СЕРГЕЕВНА"</f>
        <v>НАЙМУШИНА НАТАЛЬЯ СЕРГЕЕВНА</v>
      </c>
      <c r="B521" t="str">
        <f>"1976-02-28"</f>
        <v>1976-02-28</v>
      </c>
      <c r="C521" t="str">
        <f>"67 01 584479"</f>
        <v>67 01 584479</v>
      </c>
      <c r="D521" t="str">
        <f>"4854630381488462"</f>
        <v>4854630381488462</v>
      </c>
      <c r="E521" t="str">
        <f>"2021-04-30"</f>
        <v>2021-04-30</v>
      </c>
      <c r="F521" t="str">
        <f>"Q"</f>
        <v>Q</v>
      </c>
      <c r="G521" t="str">
        <f>"Q"</f>
        <v>Q</v>
      </c>
      <c r="H521" t="str">
        <f>"40817810267720715589"</f>
        <v>40817810267720715589</v>
      </c>
      <c r="I521" t="str">
        <f>"1791"</f>
        <v>1791</v>
      </c>
      <c r="J521" t="str">
        <f>"0100"</f>
        <v>0100</v>
      </c>
      <c r="K521" t="str">
        <f>"0.00"</f>
        <v>0.00</v>
      </c>
      <c r="L521" t="str">
        <f>"628181 ОБЛ ОБЛ ТЮМЕНСКАЯ АО ХМАО Г Г НЯГАНЬ   УЛ ЗАГОРОДНЫХ д. 26"</f>
        <v>628181 ОБЛ ОБЛ ТЮМЕНСКАЯ АО ХМАО Г Г НЯГАНЬ   УЛ ЗАГОРОДНЫХ д. 26</v>
      </c>
      <c r="M521" t="str">
        <f t="shared" si="89"/>
        <v>2019-08-24</v>
      </c>
      <c r="N521" t="str">
        <f>"СБЕРБАНК РОССИИ"</f>
        <v>СБЕРБАНК РОССИИ</v>
      </c>
      <c r="O521" t="str">
        <f>"628181"</f>
        <v>628181</v>
      </c>
      <c r="P521" t="str">
        <f>"АО ХАНТЫ-МАНСИЙСКИЙ АВТОНОМНЫЙ ОКРУГ-ЮГРА"</f>
        <v>АО ХАНТЫ-МАНСИЙСКИЙ АВТОНОМНЫЙ ОКРУГ-ЮГРА</v>
      </c>
      <c r="Q521" t="str">
        <f>"АО ХМАО"</f>
        <v>АО ХМАО</v>
      </c>
      <c r="R521" t="str">
        <f>"Г Г НЯГАНЬ"</f>
        <v>Г Г НЯГАНЬ</v>
      </c>
      <c r="S521" t="str">
        <f>""</f>
        <v/>
      </c>
      <c r="T521" t="str">
        <f>"УЛ 7"</f>
        <v>УЛ 7</v>
      </c>
      <c r="U521" s="1" t="str">
        <f>"4"</f>
        <v>4</v>
      </c>
      <c r="V521" s="1" t="str">
        <f>""</f>
        <v/>
      </c>
      <c r="W521" s="1" t="str">
        <f>""</f>
        <v/>
      </c>
      <c r="X521" s="1" t="str">
        <f>""</f>
        <v/>
      </c>
      <c r="Y521" s="1" t="str">
        <f>"166"</f>
        <v>166</v>
      </c>
      <c r="Z521" t="str">
        <f>"3467269512"</f>
        <v>3467269512</v>
      </c>
      <c r="AA521" t="str">
        <f>"3467259805"</f>
        <v>3467259805</v>
      </c>
      <c r="AB521" t="str">
        <f>"9088871845"</f>
        <v>9088871845</v>
      </c>
      <c r="AC521" t="str">
        <f>"9088870164"</f>
        <v>9088870164</v>
      </c>
      <c r="AD521" t="str">
        <f>"9088871845"</f>
        <v>9088871845</v>
      </c>
      <c r="AE521" t="str">
        <f>"3467269512"</f>
        <v>3467269512</v>
      </c>
    </row>
    <row r="522" spans="1:31" x14ac:dyDescent="0.45">
      <c r="A522" t="str">
        <f>"ДЕЕВ СЕРГЕЙ ЛЕОНИДОВИЧ"</f>
        <v>ДЕЕВ СЕРГЕЙ ЛЕОНИДОВИЧ</v>
      </c>
      <c r="B522" t="str">
        <f>"1971-08-07"</f>
        <v>1971-08-07</v>
      </c>
      <c r="C522" t="str">
        <f>"65 16 297538"</f>
        <v>65 16 297538</v>
      </c>
      <c r="D522" t="str">
        <f>"5313100122609109"</f>
        <v>5313100122609109</v>
      </c>
      <c r="E522" t="str">
        <f>"2021-03-31"</f>
        <v>2021-03-31</v>
      </c>
      <c r="F522" t="str">
        <f>"Q"</f>
        <v>Q</v>
      </c>
      <c r="G522" t="str">
        <f>"Q"</f>
        <v>Q</v>
      </c>
      <c r="H522" t="str">
        <f>"40817810416991464121"</f>
        <v>40817810416991464121</v>
      </c>
      <c r="I522" t="str">
        <f>"7003"</f>
        <v>7003</v>
      </c>
      <c r="J522" t="str">
        <f>"0511"</f>
        <v>0511</v>
      </c>
      <c r="K522" t="str">
        <f>"0.00"</f>
        <v>0.00</v>
      </c>
      <c r="L522" t="str">
        <f>"999999 Г НЕ УКАЗАН         д. 1"</f>
        <v>999999 Г НЕ УКАЗАН         д. 1</v>
      </c>
      <c r="M522" t="str">
        <f t="shared" si="89"/>
        <v>2019-08-24</v>
      </c>
      <c r="N522" t="str">
        <f>"НЕ УКАЗАНО"</f>
        <v>НЕ УКАЗАНО</v>
      </c>
      <c r="O522" t="str">
        <f>"623794"</f>
        <v>623794</v>
      </c>
      <c r="P522" t="str">
        <f>"ОБЛ СВЕРДЛОВСКАЯ"</f>
        <v>ОБЛ СВЕРДЛОВСКАЯ</v>
      </c>
      <c r="Q522" t="str">
        <f>"Р-Н АРТЕМОВСКИЙ"</f>
        <v>Р-Н АРТЕМОВСКИЙ</v>
      </c>
      <c r="R522" t="str">
        <f>""</f>
        <v/>
      </c>
      <c r="S522" t="str">
        <f>"П БУЛАНАШ"</f>
        <v>П БУЛАНАШ</v>
      </c>
      <c r="T522" t="str">
        <f>"УЛ ЧКАЛОВА"</f>
        <v>УЛ ЧКАЛОВА</v>
      </c>
      <c r="U522" s="1" t="str">
        <f>"8"</f>
        <v>8</v>
      </c>
      <c r="V522" s="1" t="str">
        <f>""</f>
        <v/>
      </c>
      <c r="W522" s="1" t="str">
        <f>""</f>
        <v/>
      </c>
      <c r="X522" s="1" t="str">
        <f>""</f>
        <v/>
      </c>
      <c r="Y522" s="1" t="str">
        <f>""</f>
        <v/>
      </c>
      <c r="Z522" t="str">
        <f>""</f>
        <v/>
      </c>
      <c r="AA522" t="str">
        <f>"3436354190"</f>
        <v>3436354190</v>
      </c>
      <c r="AB522" t="str">
        <f>"9221589131"</f>
        <v>9221589131</v>
      </c>
      <c r="AC522" t="str">
        <f>"8343635606"</f>
        <v>8343635606</v>
      </c>
      <c r="AD522" t="str">
        <f>"9221589131"</f>
        <v>9221589131</v>
      </c>
      <c r="AE522" t="str">
        <f>""</f>
        <v/>
      </c>
    </row>
    <row r="523" spans="1:31" x14ac:dyDescent="0.45">
      <c r="A523" t="str">
        <f>"ВАРФОЛАМЕЕВ ВАСИЛИЙ АНАТОЛЬЕВИЧ"</f>
        <v>ВАРФОЛАМЕЕВ ВАСИЛИЙ АНАТОЛЬЕВИЧ</v>
      </c>
      <c r="B523" t="str">
        <f>"1958-07-27"</f>
        <v>1958-07-27</v>
      </c>
      <c r="C523" t="str">
        <f>"75 03 843787"</f>
        <v>75 03 843787</v>
      </c>
      <c r="D523" t="str">
        <f>"4854630403224341"</f>
        <v>4854630403224341</v>
      </c>
      <c r="E523" t="str">
        <f>"2021-04-30"</f>
        <v>2021-04-30</v>
      </c>
      <c r="F523" t="str">
        <f>"+"</f>
        <v>+</v>
      </c>
      <c r="G523" t="str">
        <f>"+"</f>
        <v>+</v>
      </c>
      <c r="H523" t="str">
        <f>"40817810716991464122"</f>
        <v>40817810716991464122</v>
      </c>
      <c r="I523" t="str">
        <f>"8597"</f>
        <v>8597</v>
      </c>
      <c r="J523" t="str">
        <f>"0243"</f>
        <v>0243</v>
      </c>
      <c r="K523" t="str">
        <f>"48000.00"</f>
        <v>48000.00</v>
      </c>
      <c r="L523" t="str">
        <f>"456513 ОБЛ ЧЕЛЯБИНСКАЯ Р-Н СОСНОВСКИЙ   П РОЩИНО   д. 1"</f>
        <v>456513 ОБЛ ЧЕЛЯБИНСКАЯ Р-Н СОСНОВСКИЙ   П РОЩИНО   д. 1</v>
      </c>
      <c r="M523" t="str">
        <f t="shared" si="89"/>
        <v>2019-08-24</v>
      </c>
      <c r="N523" t="str">
        <f>"ООО РАВИС ПТИЦЕФАБРИКА СОСНОВСКАЯ"</f>
        <v>ООО РАВИС ПТИЦЕФАБРИКА СОСНОВСКАЯ</v>
      </c>
      <c r="O523" t="str">
        <f>"456510"</f>
        <v>456510</v>
      </c>
      <c r="P523" t="str">
        <f>"ОБЛ ЧЕЛЯБИНСКАЯ"</f>
        <v>ОБЛ ЧЕЛЯБИНСКАЯ</v>
      </c>
      <c r="Q523" t="str">
        <f>"Р-Н СОСНОВСКИЙ"</f>
        <v>Р-Н СОСНОВСКИЙ</v>
      </c>
      <c r="R523" t="str">
        <f>""</f>
        <v/>
      </c>
      <c r="S523" t="str">
        <f>"Д НОВОЕ ПОЛЕ"</f>
        <v>Д НОВОЕ ПОЛЕ</v>
      </c>
      <c r="T523" t="str">
        <f>"УЛ САДОВАЯ"</f>
        <v>УЛ САДОВАЯ</v>
      </c>
      <c r="U523" s="1" t="str">
        <f>"2"</f>
        <v>2</v>
      </c>
      <c r="V523" s="1" t="str">
        <f>""</f>
        <v/>
      </c>
      <c r="W523" s="1" t="str">
        <f>""</f>
        <v/>
      </c>
      <c r="X523" s="1" t="str">
        <f>""</f>
        <v/>
      </c>
      <c r="Y523" s="1" t="str">
        <f>""</f>
        <v/>
      </c>
      <c r="Z523" t="str">
        <f>"9123057851"</f>
        <v>9123057851</v>
      </c>
      <c r="AA523" t="str">
        <f>"9823202074"</f>
        <v>9823202074</v>
      </c>
      <c r="AB523" t="str">
        <f>"9823202074"</f>
        <v>9823202074</v>
      </c>
      <c r="AC523" t="str">
        <f>"9823202074"</f>
        <v>9823202074</v>
      </c>
      <c r="AD523" t="str">
        <f>"9823202074"</f>
        <v>9823202074</v>
      </c>
      <c r="AE523" t="str">
        <f>"9123057851"</f>
        <v>9123057851</v>
      </c>
    </row>
    <row r="524" spans="1:31" x14ac:dyDescent="0.45">
      <c r="A524" t="str">
        <f>"АБСАЛЯМОВ ИРИК МАРСОВИЧ"</f>
        <v>АБСАЛЯМОВ ИРИК МАРСОВИЧ</v>
      </c>
      <c r="B524" t="str">
        <f>"1960-01-31"</f>
        <v>1960-01-31</v>
      </c>
      <c r="C524" t="str">
        <f>"75 04 487087"</f>
        <v>75 04 487087</v>
      </c>
      <c r="D524" t="str">
        <f>"5313100182870633"</f>
        <v>5313100182870633</v>
      </c>
      <c r="E524" t="str">
        <f>"2019-11-30"</f>
        <v>2019-11-30</v>
      </c>
      <c r="F524" t="str">
        <f>"+"</f>
        <v>+</v>
      </c>
      <c r="G524" t="str">
        <f>"+"</f>
        <v>+</v>
      </c>
      <c r="H524" t="str">
        <f>"40817810016991464123"</f>
        <v>40817810016991464123</v>
      </c>
      <c r="I524" t="str">
        <f>"8597"</f>
        <v>8597</v>
      </c>
      <c r="J524" t="str">
        <f>"0346"</f>
        <v>0346</v>
      </c>
      <c r="K524" t="str">
        <f>"10000.00"</f>
        <v>10000.00</v>
      </c>
      <c r="L524" t="str">
        <f>"454006 ОБЛ ЧЕЛЯБИНСКАЯ   Г ЧЕЛЯБИНСК   УЛ РОССИЙСКАЯ д. 110 корп. К1"</f>
        <v>454006 ОБЛ ЧЕЛЯБИНСКАЯ   Г ЧЕЛЯБИНСК   УЛ РОССИЙСКАЯ д. 110 корп. К1</v>
      </c>
      <c r="M524" t="str">
        <f t="shared" si="89"/>
        <v>2019-08-24</v>
      </c>
      <c r="N524" t="str">
        <f>"ЧЕЛЯБИНСКИЙ ИНВИСТИЦИОННЫЙ ФОНД"</f>
        <v>ЧЕЛЯБИНСКИЙ ИНВИСТИЦИОННЫЙ ФОНД</v>
      </c>
      <c r="O524" t="str">
        <f>"454000"</f>
        <v>454000</v>
      </c>
      <c r="P524" t="str">
        <f>"ОБЛ ЧЕЛЯБИНСКАЯ"</f>
        <v>ОБЛ ЧЕЛЯБИНСКАЯ</v>
      </c>
      <c r="Q524" t="str">
        <f>""</f>
        <v/>
      </c>
      <c r="R524" t="str">
        <f>"Г МАГНИТОГОРСК"</f>
        <v>Г МАГНИТОГОРСК</v>
      </c>
      <c r="S524" t="str">
        <f>""</f>
        <v/>
      </c>
      <c r="T524" t="str">
        <f>"ПР-КТ ЛЕНИНА"</f>
        <v>ПР-КТ ЛЕНИНА</v>
      </c>
      <c r="U524" s="1" t="str">
        <f>"128"</f>
        <v>128</v>
      </c>
      <c r="V524" s="1" t="str">
        <f>""</f>
        <v/>
      </c>
      <c r="W524" s="1" t="str">
        <f>""</f>
        <v/>
      </c>
      <c r="X524" s="1" t="str">
        <f>""</f>
        <v/>
      </c>
      <c r="Y524" s="1" t="str">
        <f>"180"</f>
        <v>180</v>
      </c>
      <c r="Z524" t="str">
        <f>""</f>
        <v/>
      </c>
      <c r="AA524" t="str">
        <f>"3519218432"</f>
        <v>3519218432</v>
      </c>
      <c r="AB524" t="str">
        <f>"9634779022"</f>
        <v>9634779022</v>
      </c>
      <c r="AC524" t="str">
        <f>"3519218432"</f>
        <v>3519218432</v>
      </c>
      <c r="AD524" t="str">
        <f>"9634779022"</f>
        <v>9634779022</v>
      </c>
      <c r="AE524" t="str">
        <f>""</f>
        <v/>
      </c>
    </row>
    <row r="525" spans="1:31" x14ac:dyDescent="0.45">
      <c r="A525" t="str">
        <f>"СУХОРУКОВА НАТАЛЬЯ АЛЕКСАНДРОВНА"</f>
        <v>СУХОРУКОВА НАТАЛЬЯ АЛЕКСАНДРОВНА</v>
      </c>
      <c r="B525" t="str">
        <f>"1969-01-23"</f>
        <v>1969-01-23</v>
      </c>
      <c r="C525" t="str">
        <f>"75 13 364514"</f>
        <v>75 13 364514</v>
      </c>
      <c r="D525" t="str">
        <f>"4854630418525674"</f>
        <v>4854630418525674</v>
      </c>
      <c r="E525" t="str">
        <f>"2021-04-30"</f>
        <v>2021-04-30</v>
      </c>
      <c r="F525" t="str">
        <f>"Y"</f>
        <v>Y</v>
      </c>
      <c r="G525" t="str">
        <f>"Q"</f>
        <v>Q</v>
      </c>
      <c r="H525" t="str">
        <f>"40817810416991464147"</f>
        <v>40817810416991464147</v>
      </c>
      <c r="I525" t="str">
        <f>"8597"</f>
        <v>8597</v>
      </c>
      <c r="J525" t="str">
        <f>"0449"</f>
        <v>0449</v>
      </c>
      <c r="K525" t="str">
        <f>"0.00"</f>
        <v>0.00</v>
      </c>
      <c r="L525" t="str">
        <f>"454000 ОБЛ ЧЕЛЯБИНСКАЯ Р-Н ТРОИЦКИЙ   С БЕЛОКЛЮЧЕВКА УЛ ЦЕНТРАЛЬНЯ д. 1"</f>
        <v>454000 ОБЛ ЧЕЛЯБИНСКАЯ Р-Н ТРОИЦКИЙ   С БЕЛОКЛЮЧЕВКА УЛ ЦЕНТРАЛЬНЯ д. 1</v>
      </c>
      <c r="M525" t="str">
        <f t="shared" si="89"/>
        <v>2019-08-24</v>
      </c>
      <c r="N525" t="str">
        <f>"ФГУП ТРОИЦКАЯ"</f>
        <v>ФГУП ТРОИЦКАЯ</v>
      </c>
      <c r="O525" t="str">
        <f>"454000"</f>
        <v>454000</v>
      </c>
      <c r="P525" t="str">
        <f>"ОБЛ ЧЕЛЯБИНСКАЯ"</f>
        <v>ОБЛ ЧЕЛЯБИНСКАЯ</v>
      </c>
      <c r="Q525" t="str">
        <f>"Р-Н ТРОИЦКИЙ"</f>
        <v>Р-Н ТРОИЦКИЙ</v>
      </c>
      <c r="R525" t="str">
        <f>""</f>
        <v/>
      </c>
      <c r="S525" t="str">
        <f>"С БЕЛОКЛЮЧЕВКА"</f>
        <v>С БЕЛОКЛЮЧЕВКА</v>
      </c>
      <c r="T525" t="str">
        <f>"УЛ МИРА"</f>
        <v>УЛ МИРА</v>
      </c>
      <c r="U525" s="1" t="str">
        <f>"33"</f>
        <v>33</v>
      </c>
      <c r="V525" s="1" t="str">
        <f>""</f>
        <v/>
      </c>
      <c r="W525" s="1" t="str">
        <f>""</f>
        <v/>
      </c>
      <c r="X525" s="1" t="str">
        <f>""</f>
        <v/>
      </c>
      <c r="Y525" s="1" t="str">
        <f>"2"</f>
        <v>2</v>
      </c>
      <c r="Z525" t="str">
        <f>""</f>
        <v/>
      </c>
      <c r="AA525" t="str">
        <f>"9525113550"</f>
        <v>9525113550</v>
      </c>
      <c r="AB525" t="str">
        <f>"9525113550"</f>
        <v>9525113550</v>
      </c>
      <c r="AC525" t="str">
        <f>"9514793445"</f>
        <v>9514793445</v>
      </c>
      <c r="AD525" t="str">
        <f>"9525113550"</f>
        <v>9525113550</v>
      </c>
      <c r="AE525" t="str">
        <f>""</f>
        <v/>
      </c>
    </row>
    <row r="526" spans="1:31" x14ac:dyDescent="0.45">
      <c r="A526" t="str">
        <f>"ВАЛЕЕВА ЕЛЕНА ФИДАИЛОВНА"</f>
        <v>ВАЛЕЕВА ЕЛЕНА ФИДАИЛОВНА</v>
      </c>
      <c r="B526" t="str">
        <f>"1989-10-27"</f>
        <v>1989-10-27</v>
      </c>
      <c r="C526" t="str">
        <f>"67 09 960870"</f>
        <v>67 09 960870</v>
      </c>
      <c r="D526" t="str">
        <f>"4276016719374816"</f>
        <v>4276016719374816</v>
      </c>
      <c r="E526" t="str">
        <f>"2021-05-31"</f>
        <v>2021-05-31</v>
      </c>
      <c r="F526" t="str">
        <f>"+"</f>
        <v>+</v>
      </c>
      <c r="G526" t="str">
        <f>"+"</f>
        <v>+</v>
      </c>
      <c r="H526" t="str">
        <f>"40817810216992606230"</f>
        <v>40817810216992606230</v>
      </c>
      <c r="I526" t="str">
        <f>"5940"</f>
        <v>5940</v>
      </c>
      <c r="J526" t="str">
        <f>"0091"</f>
        <v>0091</v>
      </c>
      <c r="K526" t="str">
        <f>"64000.00"</f>
        <v>64000.00</v>
      </c>
      <c r="L526" t="str">
        <f>"628331 АО ХАНТЫ-МАНСИЙСКИЙ Р-Н НЕФТЕЮГАНСКИЙ   ПГТ ПОЙКОВСКИЙ УЛ ПРОМЗОНА д. 52А"</f>
        <v>628331 АО ХАНТЫ-МАНСИЙСКИЙ Р-Н НЕФТЕЮГАНСКИЙ   ПГТ ПОЙКОВСКИЙ УЛ ПРОМЗОНА д. 52А</v>
      </c>
      <c r="M526" t="str">
        <f t="shared" si="89"/>
        <v>2019-08-24</v>
      </c>
      <c r="N526" t="str">
        <f>"ИП ФАТТАЕВ ГАМИД МИРГАБИБ ОГЛЫ"</f>
        <v>ИП ФАТТАЕВ ГАМИД МИРГАБИБ ОГЛЫ</v>
      </c>
      <c r="O526" t="str">
        <f>"628331"</f>
        <v>628331</v>
      </c>
      <c r="P526" t="str">
        <f>"ОБЛ ТЮМЕНСКАЯ"</f>
        <v>ОБЛ ТЮМЕНСКАЯ</v>
      </c>
      <c r="Q526" t="str">
        <f>"Р-Н НЕФТЕЮГАНСКИЙ"</f>
        <v>Р-Н НЕФТЕЮГАНСКИЙ</v>
      </c>
      <c r="R526" t="str">
        <f>""</f>
        <v/>
      </c>
      <c r="S526" t="str">
        <f>"ПГТ ПОЙКОВСКИЙ"</f>
        <v>ПГТ ПОЙКОВСКИЙ</v>
      </c>
      <c r="T526" t="str">
        <f>"МКР 2 МИКРОРАЙОН"</f>
        <v>МКР 2 МИКРОРАЙОН</v>
      </c>
      <c r="U526" s="1" t="str">
        <f>"26"</f>
        <v>26</v>
      </c>
      <c r="V526" s="1" t="str">
        <f>""</f>
        <v/>
      </c>
      <c r="W526" s="1" t="str">
        <f>""</f>
        <v/>
      </c>
      <c r="X526" s="1" t="str">
        <f>""</f>
        <v/>
      </c>
      <c r="Y526" s="1" t="str">
        <f>"5"</f>
        <v>5</v>
      </c>
      <c r="Z526" t="str">
        <f>"9028599313"</f>
        <v>9028599313</v>
      </c>
      <c r="AA526" t="str">
        <f>"9825951089"</f>
        <v>9825951089</v>
      </c>
      <c r="AB526" t="str">
        <f>"9825951089"</f>
        <v>9825951089</v>
      </c>
      <c r="AC526" t="str">
        <f>""</f>
        <v/>
      </c>
      <c r="AD526" t="str">
        <f>"9825951089"</f>
        <v>9825951089</v>
      </c>
      <c r="AE526" t="str">
        <f>"9028599313"</f>
        <v>9028599313</v>
      </c>
    </row>
    <row r="527" spans="1:31" x14ac:dyDescent="0.45">
      <c r="A527" t="str">
        <f>"КРАВЧУК СЕРГЕЙ ВЛАДИМИРОВИЧ"</f>
        <v>КРАВЧУК СЕРГЕЙ ВЛАДИМИРОВИЧ</v>
      </c>
      <c r="B527" t="str">
        <f>"1960-03-08"</f>
        <v>1960-03-08</v>
      </c>
      <c r="C527" t="str">
        <f>"71 04 265880"</f>
        <v>71 04 265880</v>
      </c>
      <c r="D527" t="str">
        <f>"4276016719122553"</f>
        <v>4276016719122553</v>
      </c>
      <c r="E527" t="str">
        <f>"2021-05-31"</f>
        <v>2021-05-31</v>
      </c>
      <c r="F527" t="str">
        <f>"+"</f>
        <v>+</v>
      </c>
      <c r="G527" t="str">
        <f>"+"</f>
        <v>+</v>
      </c>
      <c r="H527" t="str">
        <f>"40817810516992277505"</f>
        <v>40817810516992277505</v>
      </c>
      <c r="I527" t="str">
        <f>"8647"</f>
        <v>8647</v>
      </c>
      <c r="J527" t="str">
        <f>"0155"</f>
        <v>0155</v>
      </c>
      <c r="K527" t="str">
        <f>"100000.00"</f>
        <v>100000.00</v>
      </c>
      <c r="L527" t="str">
        <f>"625000 ОБЛ ТЮМЕНСКАЯ Р-Н ТЮМЕНСКИЙ Г ТЮМЕНЬ   УЛ РЕСПУБЛИКИ д. 291"</f>
        <v>625000 ОБЛ ТЮМЕНСКАЯ Р-Н ТЮМЕНСКИЙ Г ТЮМЕНЬ   УЛ РЕСПУБЛИКИ д. 291</v>
      </c>
      <c r="M527" t="str">
        <f t="shared" si="89"/>
        <v>2019-08-24</v>
      </c>
      <c r="N527" t="str">
        <f>"ООО ?ОХРАННАЯ ОРГАНИЗАЦИЯ ?АН-"</f>
        <v>ООО ?ОХРАННАЯ ОРГАНИЗАЦИЯ ?АН-</v>
      </c>
      <c r="O527" t="str">
        <f>"625504"</f>
        <v>625504</v>
      </c>
      <c r="P527" t="str">
        <f>"ОБЛ ТЮМЕНСКАЯ"</f>
        <v>ОБЛ ТЮМЕНСКАЯ</v>
      </c>
      <c r="Q527" t="str">
        <f>"Р-Н ТЮМЕНСКАЯ"</f>
        <v>Р-Н ТЮМЕНСКАЯ</v>
      </c>
      <c r="R527" t="str">
        <f>""</f>
        <v/>
      </c>
      <c r="S527" t="str">
        <f>"П БОРОВСКИЙ"</f>
        <v>П БОРОВСКИЙ</v>
      </c>
      <c r="T527" t="str">
        <f>"УЛ МИРА"</f>
        <v>УЛ МИРА</v>
      </c>
      <c r="U527" s="1" t="str">
        <f>"18"</f>
        <v>18</v>
      </c>
      <c r="V527" s="1" t="str">
        <f>""</f>
        <v/>
      </c>
      <c r="W527" s="1" t="str">
        <f>""</f>
        <v/>
      </c>
      <c r="X527" s="1" t="str">
        <f>""</f>
        <v/>
      </c>
      <c r="Y527" s="1" t="str">
        <f>"55"</f>
        <v>55</v>
      </c>
      <c r="Z527" t="str">
        <f>"3452206176"</f>
        <v>3452206176</v>
      </c>
      <c r="AA527" t="str">
        <f>"3452724740"</f>
        <v>3452724740</v>
      </c>
      <c r="AB527" t="str">
        <f>"9199229935"</f>
        <v>9199229935</v>
      </c>
      <c r="AC527" t="str">
        <f>"3452724740"</f>
        <v>3452724740</v>
      </c>
      <c r="AD527" t="str">
        <f>"9199229935"</f>
        <v>9199229935</v>
      </c>
      <c r="AE527" t="str">
        <f>"3452206176"</f>
        <v>3452206176</v>
      </c>
    </row>
    <row r="528" spans="1:31" x14ac:dyDescent="0.45">
      <c r="A528" t="str">
        <f>"ЛЕСНИКОВ ПЁТР ЯКОВЛЕВИЧ"</f>
        <v>ЛЕСНИКОВ ПЁТР ЯКОВЛЕВИЧ</v>
      </c>
      <c r="B528" t="str">
        <f>"1960-07-09"</f>
        <v>1960-07-09</v>
      </c>
      <c r="C528" t="str">
        <f>"71 04 297941"</f>
        <v>71 04 297941</v>
      </c>
      <c r="D528" t="str">
        <f>"4854630374260191"</f>
        <v>4854630374260191</v>
      </c>
      <c r="E528" t="str">
        <f>"2021-04-30"</f>
        <v>2021-04-30</v>
      </c>
      <c r="F528" t="str">
        <f>"Q"</f>
        <v>Q</v>
      </c>
      <c r="G528" t="str">
        <f>"Q"</f>
        <v>Q</v>
      </c>
      <c r="H528" t="str">
        <f>"40817810367720715612"</f>
        <v>40817810367720715612</v>
      </c>
      <c r="I528" t="str">
        <f>"0029"</f>
        <v>0029</v>
      </c>
      <c r="J528" t="str">
        <f>"0246"</f>
        <v>0246</v>
      </c>
      <c r="K528" t="str">
        <f>"0.00"</f>
        <v>0.00</v>
      </c>
      <c r="L528" t="str">
        <f>"626380 ОБЛ ТЮМЕНСКАЯ Р-Н ИСЕТСКИЙ   С ИСЕТСКОЕ УЛ ЭЛЕВАТОРНАЯ д. 4"</f>
        <v>626380 ОБЛ ТЮМЕНСКАЯ Р-Н ИСЕТСКИЙ   С ИСЕТСКОЕ УЛ ЭЛЕВАТОРНАЯ д. 4</v>
      </c>
      <c r="M528" t="str">
        <f t="shared" si="89"/>
        <v>2019-08-24</v>
      </c>
      <c r="N528" t="str">
        <f>"АУ ФСЦ СОК ИСЕТЬ"</f>
        <v>АУ ФСЦ СОК ИСЕТЬ</v>
      </c>
      <c r="O528" t="str">
        <f>"626380"</f>
        <v>626380</v>
      </c>
      <c r="P528" t="str">
        <f>"ОБЛ ТЮМЕНСКАЯ"</f>
        <v>ОБЛ ТЮМЕНСКАЯ</v>
      </c>
      <c r="Q528" t="str">
        <f>"Р-Н ИСЕТСКИЙ"</f>
        <v>Р-Н ИСЕТСКИЙ</v>
      </c>
      <c r="R528" t="str">
        <f>""</f>
        <v/>
      </c>
      <c r="S528" t="str">
        <f>"С РАФАЙЛОВО"</f>
        <v>С РАФАЙЛОВО</v>
      </c>
      <c r="T528" t="str">
        <f>"УЛ ЛЕСНАЯ"</f>
        <v>УЛ ЛЕСНАЯ</v>
      </c>
      <c r="U528" s="1" t="str">
        <f>"17"</f>
        <v>17</v>
      </c>
      <c r="V528" s="1" t="str">
        <f>""</f>
        <v/>
      </c>
      <c r="W528" s="1" t="str">
        <f>""</f>
        <v/>
      </c>
      <c r="X528" s="1" t="str">
        <f>""</f>
        <v/>
      </c>
      <c r="Y528" s="1" t="str">
        <f>"2"</f>
        <v>2</v>
      </c>
      <c r="Z528" t="str">
        <f>"3453721841"</f>
        <v>3453721841</v>
      </c>
      <c r="AA528" t="str">
        <f>"9224844178"</f>
        <v>9224844178</v>
      </c>
      <c r="AB528" t="str">
        <f>"9829093807"</f>
        <v>9829093807</v>
      </c>
      <c r="AC528" t="str">
        <f>"9224844178"</f>
        <v>9224844178</v>
      </c>
      <c r="AD528" t="str">
        <f>"9829093807"</f>
        <v>9829093807</v>
      </c>
      <c r="AE528" t="str">
        <f>""</f>
        <v/>
      </c>
    </row>
    <row r="529" spans="1:31" x14ac:dyDescent="0.45">
      <c r="A529" t="str">
        <f>"ТЕТЕНЕВА ЕЛЕНА ВЛАДИМИРОВНА"</f>
        <v>ТЕТЕНЕВА ЕЛЕНА ВЛАДИМИРОВНА</v>
      </c>
      <c r="B529" t="str">
        <f>"1980-08-13"</f>
        <v>1980-08-13</v>
      </c>
      <c r="C529" t="str">
        <f>"37 18 753184"</f>
        <v>37 18 753184</v>
      </c>
      <c r="D529" t="str">
        <f>"4854630412425517"</f>
        <v>4854630412425517</v>
      </c>
      <c r="E529" t="str">
        <f>"2021-04-30"</f>
        <v>2021-04-30</v>
      </c>
      <c r="F529" t="str">
        <f>"+"</f>
        <v>+</v>
      </c>
      <c r="G529" t="str">
        <f>"+"</f>
        <v>+</v>
      </c>
      <c r="H529" t="str">
        <f>"40817810816991464161"</f>
        <v>40817810816991464161</v>
      </c>
      <c r="I529" t="str">
        <f>"8599"</f>
        <v>8599</v>
      </c>
      <c r="J529" t="str">
        <f>"0074"</f>
        <v>0074</v>
      </c>
      <c r="K529" t="str">
        <f>"34000.00"</f>
        <v>34000.00</v>
      </c>
      <c r="L529" t="str">
        <f>"641000 ОБЛ КУРГАНСКАЯ     Г КУРГАН УЛ К.МЯГОТИНА д. 161"</f>
        <v>641000 ОБЛ КУРГАНСКАЯ     Г КУРГАН УЛ К.МЯГОТИНА д. 161</v>
      </c>
      <c r="M529" t="str">
        <f t="shared" si="89"/>
        <v>2019-08-24</v>
      </c>
      <c r="N529" t="str">
        <f>"ДЕТСКИЙ САД 54"</f>
        <v>ДЕТСКИЙ САД 54</v>
      </c>
      <c r="O529" t="str">
        <f>"641000"</f>
        <v>641000</v>
      </c>
      <c r="P529" t="str">
        <f>"ОБЛ КУРГАНСКАЯ"</f>
        <v>ОБЛ КУРГАНСКАЯ</v>
      </c>
      <c r="Q529" t="str">
        <f>""</f>
        <v/>
      </c>
      <c r="R529" t="str">
        <f>"Г КУРГАН"</f>
        <v>Г КУРГАН</v>
      </c>
      <c r="S529" t="str">
        <f>"МКР ГЛИНКИ"</f>
        <v>МКР ГЛИНКИ</v>
      </c>
      <c r="T529" t="str">
        <f>"УЛ ТУПИКОВАЯ"</f>
        <v>УЛ ТУПИКОВАЯ</v>
      </c>
      <c r="U529" s="1" t="str">
        <f>"9"</f>
        <v>9</v>
      </c>
      <c r="V529" s="1" t="str">
        <f>""</f>
        <v/>
      </c>
      <c r="W529" s="1" t="str">
        <f>""</f>
        <v/>
      </c>
      <c r="X529" s="1" t="str">
        <f>""</f>
        <v/>
      </c>
      <c r="Y529" s="1" t="str">
        <f>""</f>
        <v/>
      </c>
      <c r="Z529" t="str">
        <f>""</f>
        <v/>
      </c>
      <c r="AA529" t="str">
        <f>"9080069101"</f>
        <v>9080069101</v>
      </c>
      <c r="AB529" t="str">
        <f>"9080069101"</f>
        <v>9080069101</v>
      </c>
      <c r="AC529" t="str">
        <f>"9080069101"</f>
        <v>9080069101</v>
      </c>
      <c r="AD529" t="str">
        <f>"9080069101"</f>
        <v>9080069101</v>
      </c>
      <c r="AE529" t="str">
        <f>""</f>
        <v/>
      </c>
    </row>
    <row r="530" spans="1:31" x14ac:dyDescent="0.45">
      <c r="A530" t="str">
        <f>"ДРУЖИНИН НИКОЛАЙ СЕРГЕЕВИЧ"</f>
        <v>ДРУЖИНИН НИКОЛАЙ СЕРГЕЕВИЧ</v>
      </c>
      <c r="B530" t="str">
        <f>"1956-04-15"</f>
        <v>1956-04-15</v>
      </c>
      <c r="C530" t="str">
        <f>"37 02 589359"</f>
        <v>37 02 589359</v>
      </c>
      <c r="D530" t="str">
        <f>"4854630355033401"</f>
        <v>4854630355033401</v>
      </c>
      <c r="E530" t="str">
        <f>"2020-04-30"</f>
        <v>2020-04-30</v>
      </c>
      <c r="F530" t="str">
        <f>"Q"</f>
        <v>Q</v>
      </c>
      <c r="G530" t="str">
        <f>"Q"</f>
        <v>Q</v>
      </c>
      <c r="H530" t="str">
        <f>"40817810116991464162"</f>
        <v>40817810116991464162</v>
      </c>
      <c r="I530" t="str">
        <f>"8599"</f>
        <v>8599</v>
      </c>
      <c r="J530" t="str">
        <f>"0292"</f>
        <v>0292</v>
      </c>
      <c r="K530" t="str">
        <f t="shared" ref="K530:K531" si="90">"0.00"</f>
        <v>0.00</v>
      </c>
      <c r="L530" t="str">
        <f>"641886 ОБЛ КУРГАНСКАЯ   Г ШАДРИНСК   ТРАКТ МАЛЬЦЕВСКИЙ д. 8 кв. 14"</f>
        <v>641886 ОБЛ КУРГАНСКАЯ   Г ШАДРИНСК   ТРАКТ МАЛЬЦЕВСКИЙ д. 8 кв. 14</v>
      </c>
      <c r="M530" t="str">
        <f t="shared" si="89"/>
        <v>2019-08-24</v>
      </c>
      <c r="N530" t="str">
        <f>"ПЕНСИОНЕР"</f>
        <v>ПЕНСИОНЕР</v>
      </c>
      <c r="O530" t="str">
        <f>"641870"</f>
        <v>641870</v>
      </c>
      <c r="P530" t="str">
        <f>"ОБЛ КУРГАНСКАЯ"</f>
        <v>ОБЛ КУРГАНСКАЯ</v>
      </c>
      <c r="Q530" t="str">
        <f>""</f>
        <v/>
      </c>
      <c r="R530" t="str">
        <f>"Г ШАДРИНСК"</f>
        <v>Г ШАДРИНСК</v>
      </c>
      <c r="S530" t="str">
        <f>""</f>
        <v/>
      </c>
      <c r="T530" t="str">
        <f>"УЛ МАЛЬЦЕВСКИЙ ТРАКТ"</f>
        <v>УЛ МАЛЬЦЕВСКИЙ ТРАКТ</v>
      </c>
      <c r="U530" s="1" t="str">
        <f>"8"</f>
        <v>8</v>
      </c>
      <c r="V530" s="1" t="str">
        <f>""</f>
        <v/>
      </c>
      <c r="W530" s="1" t="str">
        <f>""</f>
        <v/>
      </c>
      <c r="X530" s="1" t="str">
        <f>""</f>
        <v/>
      </c>
      <c r="Y530" s="1" t="str">
        <f>"14"</f>
        <v>14</v>
      </c>
      <c r="Z530" t="str">
        <f>"+7 (3522) 431338"</f>
        <v>+7 (3522) 431338</v>
      </c>
      <c r="AA530" t="str">
        <f>"+7 (919) 5661966"</f>
        <v>+7 (919) 5661966</v>
      </c>
      <c r="AB530" t="str">
        <f>"+7 (919) 5661966"</f>
        <v>+7 (919) 5661966</v>
      </c>
      <c r="AC530" t="str">
        <f>"9195661966"</f>
        <v>9195661966</v>
      </c>
      <c r="AD530" t="str">
        <f>"9195661966"</f>
        <v>9195661966</v>
      </c>
      <c r="AE530" t="str">
        <f>""</f>
        <v/>
      </c>
    </row>
    <row r="531" spans="1:31" x14ac:dyDescent="0.45">
      <c r="A531" t="str">
        <f>"ЯГАФАРОВ РАМИЛЬ АБУБАКИРОВИЧ"</f>
        <v>ЯГАФАРОВ РАМИЛЬ АБУБАКИРОВИЧ</v>
      </c>
      <c r="B531" t="str">
        <f>"1967-11-30"</f>
        <v>1967-11-30</v>
      </c>
      <c r="C531" t="str">
        <f>"80 12 636235"</f>
        <v>80 12 636235</v>
      </c>
      <c r="D531" t="str">
        <f>"4854630383967174"</f>
        <v>4854630383967174</v>
      </c>
      <c r="E531" t="str">
        <f>"2021-04-30"</f>
        <v>2021-04-30</v>
      </c>
      <c r="F531" t="str">
        <f>"Q"</f>
        <v>Q</v>
      </c>
      <c r="G531" t="str">
        <f>"Q"</f>
        <v>Q</v>
      </c>
      <c r="H531" t="str">
        <f>"40817810616991464167"</f>
        <v>40817810616991464167</v>
      </c>
      <c r="I531" t="str">
        <f>"8597"</f>
        <v>8597</v>
      </c>
      <c r="J531" t="str">
        <f>"0343"</f>
        <v>0343</v>
      </c>
      <c r="K531" t="str">
        <f t="shared" si="90"/>
        <v>0.00</v>
      </c>
      <c r="L531" t="str">
        <f>"328645 ОБЛ ТЮМЕНСКАЯ   Г НОВЫЙ УРЕНГОЙ   УЛ МОЛОДЕЖНАЯ д. 17"</f>
        <v>328645 ОБЛ ТЮМЕНСКАЯ   Г НОВЫЙ УРЕНГОЙ   УЛ МОЛОДЕЖНАЯ д. 17</v>
      </c>
      <c r="M531" t="str">
        <f t="shared" si="89"/>
        <v>2019-08-24</v>
      </c>
      <c r="N531" t="str">
        <f>"ООО ГАЗАРТСТРОЙ"</f>
        <v>ООО ГАЗАРТСТРОЙ</v>
      </c>
      <c r="O531" t="str">
        <f>"454000"</f>
        <v>454000</v>
      </c>
      <c r="P531" t="str">
        <f>"ОБЛ ЧЕЛЯБИНСКАЯ"</f>
        <v>ОБЛ ЧЕЛЯБИНСКАЯ</v>
      </c>
      <c r="Q531" t="str">
        <f>""</f>
        <v/>
      </c>
      <c r="R531" t="str">
        <f>"Г МАГНИТОГОРСК"</f>
        <v>Г МАГНИТОГОРСК</v>
      </c>
      <c r="S531" t="str">
        <f>""</f>
        <v/>
      </c>
      <c r="T531" t="str">
        <f>"УЛ ПРИВОЛЬНАЯ"</f>
        <v>УЛ ПРИВОЛЬНАЯ</v>
      </c>
      <c r="U531" s="1" t="str">
        <f>"31"</f>
        <v>31</v>
      </c>
      <c r="V531" s="1" t="str">
        <f>""</f>
        <v/>
      </c>
      <c r="W531" s="1" t="str">
        <f>""</f>
        <v/>
      </c>
      <c r="X531" s="1" t="str">
        <f>""</f>
        <v/>
      </c>
      <c r="Y531" s="1" t="str">
        <f>""</f>
        <v/>
      </c>
      <c r="Z531" t="str">
        <f>""</f>
        <v/>
      </c>
      <c r="AA531" t="str">
        <f>"9000718384"</f>
        <v>9000718384</v>
      </c>
      <c r="AB531" t="str">
        <f>"9323042424"</f>
        <v>9323042424</v>
      </c>
      <c r="AC531" t="str">
        <f>"9000718384"</f>
        <v>9000718384</v>
      </c>
      <c r="AD531" t="str">
        <f>"9000718384"</f>
        <v>9000718384</v>
      </c>
      <c r="AE531" t="str">
        <f>""</f>
        <v/>
      </c>
    </row>
    <row r="532" spans="1:31" x14ac:dyDescent="0.45">
      <c r="A532" t="str">
        <f>"МЫСКИНА СВЕТЛАНА ВЛАДИМИРОВНА"</f>
        <v>МЫСКИНА СВЕТЛАНА ВЛАДИМИРОВНА</v>
      </c>
      <c r="B532" t="str">
        <f>"1961-01-21"</f>
        <v>1961-01-21</v>
      </c>
      <c r="C532" t="str">
        <f>"71 05 347179"</f>
        <v>71 05 347179</v>
      </c>
      <c r="D532" t="str">
        <f>"4854630340106338"</f>
        <v>4854630340106338</v>
      </c>
      <c r="E532" t="str">
        <f>"2020-02-29"</f>
        <v>2020-02-29</v>
      </c>
      <c r="F532" t="str">
        <f t="shared" ref="F532:G536" si="91">"+"</f>
        <v>+</v>
      </c>
      <c r="G532" t="str">
        <f t="shared" si="91"/>
        <v>+</v>
      </c>
      <c r="H532" t="str">
        <f>"40817810116992455471"</f>
        <v>40817810116992455471</v>
      </c>
      <c r="I532" t="str">
        <f>"8647"</f>
        <v>8647</v>
      </c>
      <c r="J532" t="str">
        <f>"0112"</f>
        <v>0112</v>
      </c>
      <c r="K532" t="str">
        <f>"120000.00"</f>
        <v>120000.00</v>
      </c>
      <c r="L532" t="str">
        <f>"625000 ОБЛ ТЮМЕНСКАЯ   Г ТЮМЕНЬ   УЛ СТАВРОПОЛЬСКАЯ д. 2А кв. 44"</f>
        <v>625000 ОБЛ ТЮМЕНСКАЯ   Г ТЮМЕНЬ   УЛ СТАВРОПОЛЬСКАЯ д. 2А кв. 44</v>
      </c>
      <c r="M532" t="str">
        <f t="shared" si="89"/>
        <v>2019-08-24</v>
      </c>
      <c r="N532" t="str">
        <f>"ПЕНСИОНЕР"</f>
        <v>ПЕНСИОНЕР</v>
      </c>
      <c r="O532" t="str">
        <f>"625000"</f>
        <v>625000</v>
      </c>
      <c r="P532" t="str">
        <f>"ОБЛ ТЮМЕНСКАЯ"</f>
        <v>ОБЛ ТЮМЕНСКАЯ</v>
      </c>
      <c r="Q532" t="str">
        <f>""</f>
        <v/>
      </c>
      <c r="R532" t="str">
        <f>"Г ТЮМЕНЬ"</f>
        <v>Г ТЮМЕНЬ</v>
      </c>
      <c r="S532" t="str">
        <f>""</f>
        <v/>
      </c>
      <c r="T532" t="str">
        <f>"УЛ СТАВРОПОЛЬСКАЯ"</f>
        <v>УЛ СТАВРОПОЛЬСКАЯ</v>
      </c>
      <c r="U532" s="1" t="str">
        <f>"2А"</f>
        <v>2А</v>
      </c>
      <c r="V532" s="1" t="str">
        <f>""</f>
        <v/>
      </c>
      <c r="W532" s="1" t="str">
        <f>""</f>
        <v/>
      </c>
      <c r="X532" s="1" t="str">
        <f>""</f>
        <v/>
      </c>
      <c r="Y532" s="1" t="str">
        <f>"44"</f>
        <v>44</v>
      </c>
      <c r="Z532" t="str">
        <f>""</f>
        <v/>
      </c>
      <c r="AA532" t="str">
        <f>"9224843957"</f>
        <v>9224843957</v>
      </c>
      <c r="AB532" t="str">
        <f>"9224843957"</f>
        <v>9224843957</v>
      </c>
      <c r="AC532" t="str">
        <f>"9224843957"</f>
        <v>9224843957</v>
      </c>
      <c r="AD532" t="str">
        <f>"9224843957"</f>
        <v>9224843957</v>
      </c>
      <c r="AE532" t="str">
        <f>""</f>
        <v/>
      </c>
    </row>
    <row r="533" spans="1:31" x14ac:dyDescent="0.45">
      <c r="A533" t="str">
        <f>"ТРУШКИНА НАТАЛЬЯ ВЛАДИМИРОВНА"</f>
        <v>ТРУШКИНА НАТАЛЬЯ ВЛАДИМИРОВНА</v>
      </c>
      <c r="B533" t="str">
        <f>"1976-06-24"</f>
        <v>1976-06-24</v>
      </c>
      <c r="C533" t="str">
        <f>"67 00 251232"</f>
        <v>67 00 251232</v>
      </c>
      <c r="D533" t="str">
        <f>"4276016709809102"</f>
        <v>4276016709809102</v>
      </c>
      <c r="E533" t="str">
        <f>"2021-05-31"</f>
        <v>2021-05-31</v>
      </c>
      <c r="F533" t="str">
        <f t="shared" si="91"/>
        <v>+</v>
      </c>
      <c r="G533" t="str">
        <f t="shared" si="91"/>
        <v>+</v>
      </c>
      <c r="H533" t="str">
        <f>"40817810116992502780"</f>
        <v>40817810116992502780</v>
      </c>
      <c r="I533" t="str">
        <f>"5940"</f>
        <v>5940</v>
      </c>
      <c r="J533" t="str">
        <f>"0100"</f>
        <v>0100</v>
      </c>
      <c r="K533" t="str">
        <f>"50000.00"</f>
        <v>50000.00</v>
      </c>
      <c r="L533" t="str">
        <f>"628300 АО ХАНТЫ-МАНСИЙСКИЙ   Г НЕФТЕЮГАНСК   МКР 13 д. 0"</f>
        <v>628300 АО ХАНТЫ-МАНСИЙСКИЙ   Г НЕФТЕЮГАНСК   МКР 13 д. 0</v>
      </c>
      <c r="M533" t="str">
        <f t="shared" si="89"/>
        <v>2019-08-24</v>
      </c>
      <c r="N533" t="str">
        <f>"ДОМ ДЕТСКОГО ТВОРЧЕСТВА"</f>
        <v>ДОМ ДЕТСКОГО ТВОРЧЕСТВА</v>
      </c>
      <c r="O533" t="str">
        <f>"628300"</f>
        <v>628300</v>
      </c>
      <c r="P533" t="str">
        <f>"ОБЛ ТЮМЕНСКАЯ"</f>
        <v>ОБЛ ТЮМЕНСКАЯ</v>
      </c>
      <c r="Q533" t="str">
        <f>""</f>
        <v/>
      </c>
      <c r="R533" t="str">
        <f>"Г НЕФТЕЮГАНСК"</f>
        <v>Г НЕФТЕЮГАНСК</v>
      </c>
      <c r="S533" t="str">
        <f>""</f>
        <v/>
      </c>
      <c r="T533" t="str">
        <f>"МКР 16А"</f>
        <v>МКР 16А</v>
      </c>
      <c r="U533" s="1" t="str">
        <f>"56"</f>
        <v>56</v>
      </c>
      <c r="V533" s="1" t="str">
        <f>""</f>
        <v/>
      </c>
      <c r="W533" s="1" t="str">
        <f>""</f>
        <v/>
      </c>
      <c r="X533" s="1" t="str">
        <f>""</f>
        <v/>
      </c>
      <c r="Y533" s="1" t="str">
        <f>"10"</f>
        <v>10</v>
      </c>
      <c r="Z533" t="str">
        <f>"3463271954"</f>
        <v>3463271954</v>
      </c>
      <c r="AA533" t="str">
        <f>""</f>
        <v/>
      </c>
      <c r="AB533" t="str">
        <f>"9088849933"</f>
        <v>9088849933</v>
      </c>
      <c r="AC533" t="str">
        <f>""</f>
        <v/>
      </c>
      <c r="AD533" t="str">
        <f>"9088849933"</f>
        <v>9088849933</v>
      </c>
      <c r="AE533" t="str">
        <f>"3463271954"</f>
        <v>3463271954</v>
      </c>
    </row>
    <row r="534" spans="1:31" x14ac:dyDescent="0.45">
      <c r="A534" t="str">
        <f>"ШЕВЯХОВА ЛИЛИЯ ЛУТФУЛЛОВНА"</f>
        <v>ШЕВЯХОВА ЛИЛИЯ ЛУТФУЛЛОВНА</v>
      </c>
      <c r="B534" t="str">
        <f>"1966-05-23"</f>
        <v>1966-05-23</v>
      </c>
      <c r="C534" t="str">
        <f>"80 11 319552"</f>
        <v>80 11 319552</v>
      </c>
      <c r="D534" t="str">
        <f>"5484016701628778"</f>
        <v>5484016701628778</v>
      </c>
      <c r="E534" t="str">
        <f>"2021-05-31"</f>
        <v>2021-05-31</v>
      </c>
      <c r="F534" t="str">
        <f t="shared" si="91"/>
        <v>+</v>
      </c>
      <c r="G534" t="str">
        <f t="shared" si="91"/>
        <v>+</v>
      </c>
      <c r="H534" t="str">
        <f>"40817810816992502925"</f>
        <v>40817810816992502925</v>
      </c>
      <c r="I534" t="str">
        <f>"5940"</f>
        <v>5940</v>
      </c>
      <c r="J534" t="str">
        <f>"7770"</f>
        <v>7770</v>
      </c>
      <c r="K534" t="str">
        <f>"50000.00"</f>
        <v>50000.00</v>
      </c>
      <c r="L534" t="str">
        <f>"628400 ОБЛ ТЮМЕНСКАЯ   Г СУРГУТ   УЛ МОНТАЖНАЯ д. 10"</f>
        <v>628400 ОБЛ ТЮМЕНСКАЯ   Г СУРГУТ   УЛ МОНТАЖНАЯ д. 10</v>
      </c>
      <c r="M534" t="str">
        <f t="shared" si="89"/>
        <v>2019-08-24</v>
      </c>
      <c r="N534" t="str">
        <f>"НЕВА-ТРЕЙД"</f>
        <v>НЕВА-ТРЕЙД</v>
      </c>
      <c r="O534" t="str">
        <f>"452681"</f>
        <v>452681</v>
      </c>
      <c r="P534" t="str">
        <f>"РЕСП БАШКОРТОСТАН"</f>
        <v>РЕСП БАШКОРТОСТАН</v>
      </c>
      <c r="Q534" t="str">
        <f>""</f>
        <v/>
      </c>
      <c r="R534" t="str">
        <f>"Г НЕФТЕКАМСК"</f>
        <v>Г НЕФТЕКАМСК</v>
      </c>
      <c r="S534" t="str">
        <f>""</f>
        <v/>
      </c>
      <c r="T534" t="str">
        <f>"УЛ СОЦИАЛИСТИЧЕСКАЯ"</f>
        <v>УЛ СОЦИАЛИСТИЧЕСКАЯ</v>
      </c>
      <c r="U534" s="1" t="str">
        <f>"66"</f>
        <v>66</v>
      </c>
      <c r="V534" s="1" t="str">
        <f>""</f>
        <v/>
      </c>
      <c r="W534" s="1" t="str">
        <f>""</f>
        <v/>
      </c>
      <c r="X534" s="1" t="str">
        <f>""</f>
        <v/>
      </c>
      <c r="Y534" s="1" t="str">
        <f>"40"</f>
        <v>40</v>
      </c>
      <c r="Z534" t="str">
        <f>"3462550506"</f>
        <v>3462550506</v>
      </c>
      <c r="AA534" t="str">
        <f>"9825995279"</f>
        <v>9825995279</v>
      </c>
      <c r="AB534" t="str">
        <f>"9825995279"</f>
        <v>9825995279</v>
      </c>
      <c r="AC534" t="str">
        <f>"9825995279"</f>
        <v>9825995279</v>
      </c>
      <c r="AD534" t="str">
        <f>"9825995279"</f>
        <v>9825995279</v>
      </c>
      <c r="AE534" t="str">
        <f>"3462550506"</f>
        <v>3462550506</v>
      </c>
    </row>
    <row r="535" spans="1:31" x14ac:dyDescent="0.45">
      <c r="A535" t="str">
        <f>"ЖИЛИН ДМИТРИЙ НИКОЛАЕВИЧ"</f>
        <v>ЖИЛИН ДМИТРИЙ НИКОЛАЕВИЧ</v>
      </c>
      <c r="B535" t="str">
        <f>"1988-06-16"</f>
        <v>1988-06-16</v>
      </c>
      <c r="C535" t="str">
        <f>"37 15 629581"</f>
        <v>37 15 629581</v>
      </c>
      <c r="D535" t="str">
        <f>"4279016747908848"</f>
        <v>4279016747908848</v>
      </c>
      <c r="E535" t="str">
        <f>"2021-05-31"</f>
        <v>2021-05-31</v>
      </c>
      <c r="F535" t="str">
        <f t="shared" si="91"/>
        <v>+</v>
      </c>
      <c r="G535" t="str">
        <f t="shared" si="91"/>
        <v>+</v>
      </c>
      <c r="H535" t="str">
        <f>"40817810616992200838"</f>
        <v>40817810616992200838</v>
      </c>
      <c r="I535" t="str">
        <f>"8647"</f>
        <v>8647</v>
      </c>
      <c r="J535" t="str">
        <f>"0178"</f>
        <v>0178</v>
      </c>
      <c r="K535" t="str">
        <f>"300000.00"</f>
        <v>300000.00</v>
      </c>
      <c r="L535" t="str">
        <f>"625000 ОБЛ ТЮМЕНСКАЯ   Г ТЮМЕНЬ   УЛ МУСЫ ДЖАЛИЛЯ д. 13"</f>
        <v>625000 ОБЛ ТЮМЕНСКАЯ   Г ТЮМЕНЬ   УЛ МУСЫ ДЖАЛИЛЯ д. 13</v>
      </c>
      <c r="M535" t="str">
        <f t="shared" si="89"/>
        <v>2019-08-24</v>
      </c>
      <c r="N535" t="str">
        <f>"ООО ЛИГА"</f>
        <v>ООО ЛИГА</v>
      </c>
      <c r="O535" t="str">
        <f>"625000"</f>
        <v>625000</v>
      </c>
      <c r="P535" t="str">
        <f>"ОБЛ ТЮМЕНСКАЯ"</f>
        <v>ОБЛ ТЮМЕНСКАЯ</v>
      </c>
      <c r="Q535" t="str">
        <f>""</f>
        <v/>
      </c>
      <c r="R535" t="str">
        <f>"Г ТЮМЕНЬ"</f>
        <v>Г ТЮМЕНЬ</v>
      </c>
      <c r="S535" t="str">
        <f>""</f>
        <v/>
      </c>
      <c r="T535" t="str">
        <f>"УЛ ЕЛИЗАРОВА"</f>
        <v>УЛ ЕЛИЗАРОВА</v>
      </c>
      <c r="U535" s="1" t="str">
        <f>"25"</f>
        <v>25</v>
      </c>
      <c r="V535" s="1" t="str">
        <f>""</f>
        <v/>
      </c>
      <c r="W535" s="1" t="str">
        <f>""</f>
        <v/>
      </c>
      <c r="X535" s="1" t="str">
        <f>""</f>
        <v/>
      </c>
      <c r="Y535" s="1" t="str">
        <f>"2"</f>
        <v>2</v>
      </c>
      <c r="Z535" t="str">
        <f>""</f>
        <v/>
      </c>
      <c r="AA535" t="str">
        <f>"9199432636"</f>
        <v>9199432636</v>
      </c>
      <c r="AB535" t="str">
        <f>"9923199910"</f>
        <v>9923199910</v>
      </c>
      <c r="AC535" t="str">
        <f>"9199432636"</f>
        <v>9199432636</v>
      </c>
      <c r="AD535" t="str">
        <f>"9923199910"</f>
        <v>9923199910</v>
      </c>
      <c r="AE535" t="str">
        <f>""</f>
        <v/>
      </c>
    </row>
    <row r="536" spans="1:31" x14ac:dyDescent="0.45">
      <c r="A536" t="str">
        <f>"МАМЕДОВ ЛАЗИР МАМЕДОВИЧ"</f>
        <v>МАМЕДОВ ЛАЗИР МАМЕДОВИЧ</v>
      </c>
      <c r="B536" t="str">
        <f>"1969-06-20"</f>
        <v>1969-06-20</v>
      </c>
      <c r="C536" t="str">
        <f>"67 14 374280"</f>
        <v>67 14 374280</v>
      </c>
      <c r="D536" t="str">
        <f>"4854630041750285"</f>
        <v>4854630041750285</v>
      </c>
      <c r="E536" t="str">
        <f>"2021-05-31"</f>
        <v>2021-05-31</v>
      </c>
      <c r="F536" t="str">
        <f t="shared" si="91"/>
        <v>+</v>
      </c>
      <c r="G536" t="str">
        <f t="shared" si="91"/>
        <v>+</v>
      </c>
      <c r="H536" t="str">
        <f>"40817810216992067222"</f>
        <v>40817810216992067222</v>
      </c>
      <c r="I536" t="str">
        <f>"5940"</f>
        <v>5940</v>
      </c>
      <c r="J536" t="str">
        <f>"0126"</f>
        <v>0126</v>
      </c>
      <c r="K536" t="str">
        <f>"25000.00"</f>
        <v>25000.00</v>
      </c>
      <c r="L536" t="str">
        <f>"628661 ОБЛ ТЮМЕНСКАЯ   Г ПОКАЧИ   УЛ КОМСОМОЛЬСКАЯ д. 8"</f>
        <v>628661 ОБЛ ТЮМЕНСКАЯ   Г ПОКАЧИ   УЛ КОМСОМОЛЬСКАЯ д. 8</v>
      </c>
      <c r="M536" t="str">
        <f t="shared" si="89"/>
        <v>2019-08-24</v>
      </c>
      <c r="N536" t="str">
        <f>"ЛУКОЙЛ"</f>
        <v>ЛУКОЙЛ</v>
      </c>
      <c r="O536" t="str">
        <f>"628661"</f>
        <v>628661</v>
      </c>
      <c r="P536" t="str">
        <f>"ОБЛ ТЮМЕНСКАЯ"</f>
        <v>ОБЛ ТЮМЕНСКАЯ</v>
      </c>
      <c r="Q536" t="str">
        <f>""</f>
        <v/>
      </c>
      <c r="R536" t="str">
        <f>"Г ПОКАЧИ"</f>
        <v>Г ПОКАЧИ</v>
      </c>
      <c r="S536" t="str">
        <f>""</f>
        <v/>
      </c>
      <c r="T536" t="str">
        <f>"УЛ ТАЕЖНАЯ"</f>
        <v>УЛ ТАЕЖНАЯ</v>
      </c>
      <c r="U536" s="1" t="str">
        <f>"12"</f>
        <v>12</v>
      </c>
      <c r="V536" s="1" t="str">
        <f>""</f>
        <v/>
      </c>
      <c r="W536" s="1" t="str">
        <f>""</f>
        <v/>
      </c>
      <c r="X536" s="1" t="str">
        <f>""</f>
        <v/>
      </c>
      <c r="Y536" s="1" t="str">
        <f>"15"</f>
        <v>15</v>
      </c>
      <c r="Z536" t="str">
        <f>""</f>
        <v/>
      </c>
      <c r="AA536" t="str">
        <f>"9227627066"</f>
        <v>9227627066</v>
      </c>
      <c r="AB536" t="str">
        <f>"9227627066"</f>
        <v>9227627066</v>
      </c>
      <c r="AC536" t="str">
        <f>"9227627066"</f>
        <v>9227627066</v>
      </c>
      <c r="AD536" t="str">
        <f>"9227627066"</f>
        <v>9227627066</v>
      </c>
      <c r="AE536" t="str">
        <f>""</f>
        <v/>
      </c>
    </row>
    <row r="537" spans="1:31" x14ac:dyDescent="0.45">
      <c r="A537" t="str">
        <f>"БУРАНОВА МИНЗИЯ ГАЯЗОВНА"</f>
        <v>БУРАНОВА МИНЗИЯ ГАЯЗОВНА</v>
      </c>
      <c r="B537" t="str">
        <f>"1974-07-20"</f>
        <v>1974-07-20</v>
      </c>
      <c r="C537" t="str">
        <f>"37 03 685239"</f>
        <v>37 03 685239</v>
      </c>
      <c r="D537" t="str">
        <f>"4854630408648163"</f>
        <v>4854630408648163</v>
      </c>
      <c r="E537" t="str">
        <f>"2021-04-30"</f>
        <v>2021-04-30</v>
      </c>
      <c r="F537" t="str">
        <f>"+"</f>
        <v>+</v>
      </c>
      <c r="G537" t="str">
        <f>"8"</f>
        <v>8</v>
      </c>
      <c r="H537" t="str">
        <f>"40817810816991464187"</f>
        <v>40817810816991464187</v>
      </c>
      <c r="I537" t="str">
        <f>"8599"</f>
        <v>8599</v>
      </c>
      <c r="J537" t="str">
        <f>"0159"</f>
        <v>0159</v>
      </c>
      <c r="K537" t="str">
        <f t="shared" ref="K537:K538" si="92">"0.00"</f>
        <v>0.00</v>
      </c>
      <c r="L537" t="str">
        <f>"454000 ОБЛ ЧЕЛЯБИНСКАЯ Р-Н КАЛИНИНСКИЙ Г ЧЕЛЯБИНСК   ПР-КТ СВЕРДЛОВСКИЙ д. 51 корп. А"</f>
        <v>454000 ОБЛ ЧЕЛЯБИНСКАЯ Р-Н КАЛИНИНСКИЙ Г ЧЕЛЯБИНСК   ПР-КТ СВЕРДЛОВСКИЙ д. 51 корп. А</v>
      </c>
      <c r="M537" t="str">
        <f t="shared" si="89"/>
        <v>2019-08-24</v>
      </c>
      <c r="N537" t="str">
        <f>"ТРК МЕГАПОЛИС"</f>
        <v>ТРК МЕГАПОЛИС</v>
      </c>
      <c r="O537" t="str">
        <f>"641000"</f>
        <v>641000</v>
      </c>
      <c r="P537" t="str">
        <f>"ОБЛ КУРГАНСКАЯ"</f>
        <v>ОБЛ КУРГАНСКАЯ</v>
      </c>
      <c r="Q537" t="str">
        <f>"Р-Н ЩУЧАНСКИЙ"</f>
        <v>Р-Н ЩУЧАНСКИЙ</v>
      </c>
      <c r="R537" t="str">
        <f>""</f>
        <v/>
      </c>
      <c r="S537" t="str">
        <f>"Д АРАСЛАНОВО"</f>
        <v>Д АРАСЛАНОВО</v>
      </c>
      <c r="T537" t="str">
        <f>"УЛ ОЗЕРНАЯ"</f>
        <v>УЛ ОЗЕРНАЯ</v>
      </c>
      <c r="U537" s="1" t="str">
        <f>"4"</f>
        <v>4</v>
      </c>
      <c r="V537" s="1" t="str">
        <f>""</f>
        <v/>
      </c>
      <c r="W537" s="1" t="str">
        <f>""</f>
        <v/>
      </c>
      <c r="X537" s="1" t="str">
        <f>""</f>
        <v/>
      </c>
      <c r="Y537" s="1" t="str">
        <f>""</f>
        <v/>
      </c>
      <c r="Z537" t="str">
        <f>""</f>
        <v/>
      </c>
      <c r="AA537" t="str">
        <f>"9512696575"</f>
        <v>9512696575</v>
      </c>
      <c r="AB537" t="str">
        <f>"9512696575"</f>
        <v>9512696575</v>
      </c>
      <c r="AC537" t="str">
        <f>"9512696575"</f>
        <v>9512696575</v>
      </c>
      <c r="AD537" t="str">
        <f>"9512696575"</f>
        <v>9512696575</v>
      </c>
      <c r="AE537" t="str">
        <f>""</f>
        <v/>
      </c>
    </row>
    <row r="538" spans="1:31" x14ac:dyDescent="0.45">
      <c r="A538" t="str">
        <f>"ЛЕНГАРДТ ЖАННА ВЯЧЕСЛАВОВНА"</f>
        <v>ЛЕНГАРДТ ЖАННА ВЯЧЕСЛАВОВНА</v>
      </c>
      <c r="B538" t="str">
        <f>"1962-08-27"</f>
        <v>1962-08-27</v>
      </c>
      <c r="C538" t="str">
        <f>"32 06 388979"</f>
        <v>32 06 388979</v>
      </c>
      <c r="D538" t="str">
        <f>"4854630411706800"</f>
        <v>4854630411706800</v>
      </c>
      <c r="E538" t="str">
        <f>"2021-04-30"</f>
        <v>2021-04-30</v>
      </c>
      <c r="F538" t="str">
        <f>"K"</f>
        <v>K</v>
      </c>
      <c r="G538" t="str">
        <f>"Q"</f>
        <v>Q</v>
      </c>
      <c r="H538" t="str">
        <f>"40817810216992455847"</f>
        <v>40817810216992455847</v>
      </c>
      <c r="I538" t="str">
        <f>"8647"</f>
        <v>8647</v>
      </c>
      <c r="J538" t="str">
        <f>"0083"</f>
        <v>0083</v>
      </c>
      <c r="K538" t="str">
        <f t="shared" si="92"/>
        <v>0.00</v>
      </c>
      <c r="L538" t="str">
        <f>"625000 ОБЛ ТЮМЕНСКАЯ   Г ТЮМЕНЬ   УЛ ПЕРМЯКОВА д. 81 кв. 4"</f>
        <v>625000 ОБЛ ТЮМЕНСКАЯ   Г ТЮМЕНЬ   УЛ ПЕРМЯКОВА д. 81 кв. 4</v>
      </c>
      <c r="M538" t="str">
        <f t="shared" si="89"/>
        <v>2019-08-24</v>
      </c>
      <c r="N538" t="str">
        <f>"ПЕНСИОНЕР"</f>
        <v>ПЕНСИОНЕР</v>
      </c>
      <c r="O538" t="str">
        <f>"625000"</f>
        <v>625000</v>
      </c>
      <c r="P538" t="str">
        <f>"ОБЛ ТЮМЕНСКАЯ"</f>
        <v>ОБЛ ТЮМЕНСКАЯ</v>
      </c>
      <c r="Q538" t="str">
        <f>""</f>
        <v/>
      </c>
      <c r="R538" t="str">
        <f>"Г ТЮМЕНЬ"</f>
        <v>Г ТЮМЕНЬ</v>
      </c>
      <c r="S538" t="str">
        <f>""</f>
        <v/>
      </c>
      <c r="T538" t="str">
        <f>"УЛ ПЕРМЯКОВА"</f>
        <v>УЛ ПЕРМЯКОВА</v>
      </c>
      <c r="U538" s="1" t="str">
        <f>"81"</f>
        <v>81</v>
      </c>
      <c r="V538" s="1" t="str">
        <f>""</f>
        <v/>
      </c>
      <c r="W538" s="1" t="str">
        <f>""</f>
        <v/>
      </c>
      <c r="X538" s="1" t="str">
        <f>""</f>
        <v/>
      </c>
      <c r="Y538" s="1" t="str">
        <f>"4"</f>
        <v>4</v>
      </c>
      <c r="Z538" t="str">
        <f>"3845364583"</f>
        <v>3845364583</v>
      </c>
      <c r="AA538" t="str">
        <f>"3452359442"</f>
        <v>3452359442</v>
      </c>
      <c r="AB538" t="str">
        <f>"9224750928"</f>
        <v>9224750928</v>
      </c>
      <c r="AC538" t="str">
        <f>"3452359442"</f>
        <v>3452359442</v>
      </c>
      <c r="AD538" t="str">
        <f>"9235018206"</f>
        <v>9235018206</v>
      </c>
      <c r="AE538" t="str">
        <f>""</f>
        <v/>
      </c>
    </row>
    <row r="539" spans="1:31" x14ac:dyDescent="0.45">
      <c r="A539" t="str">
        <f>"ХАРИТОНЕНКОВА ВЕРА ТРИФОНОВНА"</f>
        <v>ХАРИТОНЕНКОВА ВЕРА ТРИФОНОВНА</v>
      </c>
      <c r="B539" t="str">
        <f>"1954-03-26"</f>
        <v>1954-03-26</v>
      </c>
      <c r="C539" t="str">
        <f>"75 03 409025"</f>
        <v>75 03 409025</v>
      </c>
      <c r="D539" t="str">
        <f>"4854630424086802"</f>
        <v>4854630424086802</v>
      </c>
      <c r="E539" t="str">
        <f>"2021-04-30"</f>
        <v>2021-04-30</v>
      </c>
      <c r="F539" t="str">
        <f t="shared" ref="F539:G541" si="93">"+"</f>
        <v>+</v>
      </c>
      <c r="G539" t="str">
        <f t="shared" si="93"/>
        <v>+</v>
      </c>
      <c r="H539" t="str">
        <f>"40817810116991464188"</f>
        <v>40817810116991464188</v>
      </c>
      <c r="I539" t="str">
        <f>"8597"</f>
        <v>8597</v>
      </c>
      <c r="J539" t="str">
        <f>"0300"</f>
        <v>0300</v>
      </c>
      <c r="K539" t="str">
        <f>"15000.00"</f>
        <v>15000.00</v>
      </c>
      <c r="L539" t="str">
        <f>"454000 ОБЛ ЧЕЛЯБИНСКАЯ   Г КОПЕЙСК   УЛ ГОЛУБЦОВА д. 22 кв. 14"</f>
        <v>454000 ОБЛ ЧЕЛЯБИНСКАЯ   Г КОПЕЙСК   УЛ ГОЛУБЦОВА д. 22 кв. 14</v>
      </c>
      <c r="M539" t="str">
        <f t="shared" si="89"/>
        <v>2019-08-24</v>
      </c>
      <c r="N539" t="str">
        <f>"ПЕНСИОНЕР"</f>
        <v>ПЕНСИОНЕР</v>
      </c>
      <c r="O539" t="str">
        <f>"454000"</f>
        <v>454000</v>
      </c>
      <c r="P539" t="str">
        <f>"ОБЛ ЧЕЛЯБИНСКАЯ"</f>
        <v>ОБЛ ЧЕЛЯБИНСКАЯ</v>
      </c>
      <c r="Q539" t="str">
        <f>""</f>
        <v/>
      </c>
      <c r="R539" t="str">
        <f>"Г КОПЕЙСК"</f>
        <v>Г КОПЕЙСК</v>
      </c>
      <c r="S539" t="str">
        <f>""</f>
        <v/>
      </c>
      <c r="T539" t="str">
        <f>"УЛ ГОЛУБЦОВА"</f>
        <v>УЛ ГОЛУБЦОВА</v>
      </c>
      <c r="U539" s="1" t="str">
        <f>"22"</f>
        <v>22</v>
      </c>
      <c r="V539" s="1" t="str">
        <f>""</f>
        <v/>
      </c>
      <c r="W539" s="1" t="str">
        <f>""</f>
        <v/>
      </c>
      <c r="X539" s="1" t="str">
        <f>""</f>
        <v/>
      </c>
      <c r="Y539" s="1" t="str">
        <f>"14"</f>
        <v>14</v>
      </c>
      <c r="Z539" t="str">
        <f>"3513960232"</f>
        <v>3513960232</v>
      </c>
      <c r="AA539" t="str">
        <f>"9124007280"</f>
        <v>9124007280</v>
      </c>
      <c r="AB539" t="str">
        <f>"9124007280"</f>
        <v>9124007280</v>
      </c>
      <c r="AC539" t="str">
        <f>"9124007280"</f>
        <v>9124007280</v>
      </c>
      <c r="AD539" t="str">
        <f>"9124007280"</f>
        <v>9124007280</v>
      </c>
      <c r="AE539" t="str">
        <f>"3513960232"</f>
        <v>3513960232</v>
      </c>
    </row>
    <row r="540" spans="1:31" x14ac:dyDescent="0.45">
      <c r="A540" t="str">
        <f>"КУШНИКОВ ДЕНИС ИГОРЕВИЧ"</f>
        <v>КУШНИКОВ ДЕНИС ИГОРЕВИЧ</v>
      </c>
      <c r="B540" t="str">
        <f>"1974-04-04"</f>
        <v>1974-04-04</v>
      </c>
      <c r="C540" t="str">
        <f>"65 19 858688"</f>
        <v>65 19 858688</v>
      </c>
      <c r="D540" t="str">
        <f>"4854630380154958"</f>
        <v>4854630380154958</v>
      </c>
      <c r="E540" t="str">
        <f>"2021-04-30"</f>
        <v>2021-04-30</v>
      </c>
      <c r="F540" t="str">
        <f t="shared" si="93"/>
        <v>+</v>
      </c>
      <c r="G540" t="str">
        <f t="shared" si="93"/>
        <v>+</v>
      </c>
      <c r="H540" t="str">
        <f>"40817810816991464200"</f>
        <v>40817810816991464200</v>
      </c>
      <c r="I540" t="str">
        <f>"7003"</f>
        <v>7003</v>
      </c>
      <c r="J540" t="str">
        <f>"0799"</f>
        <v>0799</v>
      </c>
      <c r="K540" t="str">
        <f>"21000.00"</f>
        <v>21000.00</v>
      </c>
      <c r="L540" t="str">
        <f>"620000 ОБЛ СВЕРДЛОВСКАЯ   Г БЕРЕЗОВСКИЙ   УЛ ЛЕСОЗАВОДСКОЙ д. 2"</f>
        <v>620000 ОБЛ СВЕРДЛОВСКАЯ   Г БЕРЕЗОВСКИЙ   УЛ ЛЕСОЗАВОДСКОЙ д. 2</v>
      </c>
      <c r="M540" t="str">
        <f t="shared" si="89"/>
        <v>2019-08-24</v>
      </c>
      <c r="N540" t="str">
        <f>"ФКУ УФО МО РФ ПО СВЕРДЛОВСКОЙ ОБЛАСТИ"</f>
        <v>ФКУ УФО МО РФ ПО СВЕРДЛОВСКОЙ ОБЛАСТИ</v>
      </c>
      <c r="O540" t="str">
        <f>"620000"</f>
        <v>620000</v>
      </c>
      <c r="P540" t="str">
        <f>"ОБЛ СВЕРДЛОВСКАЯ"</f>
        <v>ОБЛ СВЕРДЛОВСКАЯ</v>
      </c>
      <c r="Q540" t="str">
        <f>""</f>
        <v/>
      </c>
      <c r="R540" t="str">
        <f>"Г БЕРЕЗОВСКИЙ"</f>
        <v>Г БЕРЕЗОВСКИЙ</v>
      </c>
      <c r="S540" t="str">
        <f>""</f>
        <v/>
      </c>
      <c r="T540" t="str">
        <f>"УЛ ЦИОЛКОВСКОГО"</f>
        <v>УЛ ЦИОЛКОВСКОГО</v>
      </c>
      <c r="U540" s="1" t="str">
        <f>"13"</f>
        <v>13</v>
      </c>
      <c r="V540" s="1" t="str">
        <f>""</f>
        <v/>
      </c>
      <c r="W540" s="1" t="str">
        <f>""</f>
        <v/>
      </c>
      <c r="X540" s="1" t="str">
        <f>""</f>
        <v/>
      </c>
      <c r="Y540" s="1" t="str">
        <f>"17"</f>
        <v>17</v>
      </c>
      <c r="Z540" t="str">
        <f>"3436947733"</f>
        <v>3436947733</v>
      </c>
      <c r="AA540" t="str">
        <f>"9041733362"</f>
        <v>9041733362</v>
      </c>
      <c r="AB540" t="str">
        <f>"9041733362"</f>
        <v>9041733362</v>
      </c>
      <c r="AC540" t="str">
        <f>"9041733362"</f>
        <v>9041733362</v>
      </c>
      <c r="AD540" t="str">
        <f>"9041733362"</f>
        <v>9041733362</v>
      </c>
      <c r="AE540" t="str">
        <f>"9041733362"</f>
        <v>9041733362</v>
      </c>
    </row>
    <row r="541" spans="1:31" x14ac:dyDescent="0.45">
      <c r="A541" t="str">
        <f>"ПЕТУХОВ ИГОРЬ ЕВГЕНЬЕВИЧ"</f>
        <v>ПЕТУХОВ ИГОРЬ ЕВГЕНЬЕВИЧ</v>
      </c>
      <c r="B541" t="str">
        <f>"1963-08-09"</f>
        <v>1963-08-09</v>
      </c>
      <c r="C541" t="str">
        <f>"65 08 513352"</f>
        <v>65 08 513352</v>
      </c>
      <c r="D541" t="str">
        <f>"4854630428151750"</f>
        <v>4854630428151750</v>
      </c>
      <c r="E541" t="str">
        <f>"2021-05-31"</f>
        <v>2021-05-31</v>
      </c>
      <c r="F541" t="str">
        <f t="shared" si="93"/>
        <v>+</v>
      </c>
      <c r="G541" t="str">
        <f t="shared" si="93"/>
        <v>+</v>
      </c>
      <c r="H541" t="str">
        <f>"40817810116991464201"</f>
        <v>40817810116991464201</v>
      </c>
      <c r="I541" t="str">
        <f>"7003"</f>
        <v>7003</v>
      </c>
      <c r="J541" t="str">
        <f>"0681"</f>
        <v>0681</v>
      </c>
      <c r="K541" t="str">
        <f>"15000.00"</f>
        <v>15000.00</v>
      </c>
      <c r="L541" t="str">
        <f>"623100 ОБЛ СВЕРДЛОВСКАЯ   Г ПЕРВОУРАЛЬСК   УЛ СТРОИТЕЛЕЙ д. 16 корп. А"</f>
        <v>623100 ОБЛ СВЕРДЛОВСКАЯ   Г ПЕРВОУРАЛЬСК   УЛ СТРОИТЕЛЕЙ д. 16 корп. А</v>
      </c>
      <c r="M541" t="str">
        <f t="shared" si="89"/>
        <v>2019-08-24</v>
      </c>
      <c r="N541" t="str">
        <f>"ОПФР Г. ПЕРВОУРАЛЬСКА"</f>
        <v>ОПФР Г. ПЕРВОУРАЛЬСКА</v>
      </c>
      <c r="O541" t="str">
        <f>"623100"</f>
        <v>623100</v>
      </c>
      <c r="P541" t="str">
        <f>"ОБЛ СВЕРДЛОВСКАЯ"</f>
        <v>ОБЛ СВЕРДЛОВСКАЯ</v>
      </c>
      <c r="Q541" t="str">
        <f>""</f>
        <v/>
      </c>
      <c r="R541" t="str">
        <f>"Г ПЕРВОУРАЛЬСК"</f>
        <v>Г ПЕРВОУРАЛЬСК</v>
      </c>
      <c r="S541" t="str">
        <f>""</f>
        <v/>
      </c>
      <c r="T541" t="str">
        <f>"УЛ ДАНИЛОВА"</f>
        <v>УЛ ДАНИЛОВА</v>
      </c>
      <c r="U541" s="1" t="str">
        <f>"9"</f>
        <v>9</v>
      </c>
      <c r="V541" s="1" t="str">
        <f>""</f>
        <v/>
      </c>
      <c r="W541" s="1" t="str">
        <f>"А"</f>
        <v>А</v>
      </c>
      <c r="X541" s="1" t="str">
        <f>""</f>
        <v/>
      </c>
      <c r="Y541" s="1" t="str">
        <f>"10"</f>
        <v>10</v>
      </c>
      <c r="Z541" t="str">
        <f>"9221290449"</f>
        <v>9221290449</v>
      </c>
      <c r="AA541" t="str">
        <f>"9221290449"</f>
        <v>9221290449</v>
      </c>
      <c r="AB541" t="str">
        <f>"9221290449"</f>
        <v>9221290449</v>
      </c>
      <c r="AC541" t="str">
        <f>"9221290449"</f>
        <v>9221290449</v>
      </c>
      <c r="AD541" t="str">
        <f>"9221290449"</f>
        <v>9221290449</v>
      </c>
      <c r="AE541" t="str">
        <f>"9221290449"</f>
        <v>9221290449</v>
      </c>
    </row>
    <row r="542" spans="1:31" x14ac:dyDescent="0.45">
      <c r="A542" t="str">
        <f>"МЕНЬШИКОВ АЛЕКСАНДР ВЛАДИМИРОВИЧ"</f>
        <v>МЕНЬШИКОВ АЛЕКСАНДР ВЛАДИМИРОВИЧ</v>
      </c>
      <c r="B542" t="str">
        <f>"1966-05-18"</f>
        <v>1966-05-18</v>
      </c>
      <c r="C542" t="str">
        <f>"65 11 179464"</f>
        <v>65 11 179464</v>
      </c>
      <c r="D542" t="str">
        <f>"5313100606869146"</f>
        <v>5313100606869146</v>
      </c>
      <c r="E542" t="str">
        <f>"2020-09-30"</f>
        <v>2020-09-30</v>
      </c>
      <c r="F542" t="str">
        <f>"Q"</f>
        <v>Q</v>
      </c>
      <c r="G542" t="str">
        <f>"Q"</f>
        <v>Q</v>
      </c>
      <c r="H542" t="str">
        <f>"40817810416991464202"</f>
        <v>40817810416991464202</v>
      </c>
      <c r="I542" t="str">
        <f>"7003"</f>
        <v>7003</v>
      </c>
      <c r="J542" t="str">
        <f>"0441"</f>
        <v>0441</v>
      </c>
      <c r="K542" t="str">
        <f t="shared" ref="K542:K544" si="94">"0.00"</f>
        <v>0.00</v>
      </c>
      <c r="L542" t="str">
        <f>"620000 ОБЛ СВЕРДЛОВСКАЯ   Г БЕРЕЗОВСКИЙ   УЛ ГАГАРИНА д. 12"</f>
        <v>620000 ОБЛ СВЕРДЛОВСКАЯ   Г БЕРЕЗОВСКИЙ   УЛ ГАГАРИНА д. 12</v>
      </c>
      <c r="M542" t="str">
        <f t="shared" si="89"/>
        <v>2019-08-24</v>
      </c>
      <c r="N542" t="s">
        <v>50</v>
      </c>
      <c r="O542" t="str">
        <f>"620000"</f>
        <v>620000</v>
      </c>
      <c r="P542" t="str">
        <f>"ОБЛ СВЕРДЛОВСКАЯ"</f>
        <v>ОБЛ СВЕРДЛОВСКАЯ</v>
      </c>
      <c r="Q542" t="str">
        <f>""</f>
        <v/>
      </c>
      <c r="R542" t="str">
        <f>"Г ЕКАТЕРИНБУРГ"</f>
        <v>Г ЕКАТЕРИНБУРГ</v>
      </c>
      <c r="S542" t="str">
        <f>""</f>
        <v/>
      </c>
      <c r="T542" t="str">
        <f>"УЛ БЛЮХЕРА"</f>
        <v>УЛ БЛЮХЕРА</v>
      </c>
      <c r="U542" s="1" t="str">
        <f>"63"</f>
        <v>63</v>
      </c>
      <c r="V542" s="1" t="str">
        <f>""</f>
        <v/>
      </c>
      <c r="W542" s="1" t="str">
        <f>""</f>
        <v/>
      </c>
      <c r="X542" s="1" t="str">
        <f>""</f>
        <v/>
      </c>
      <c r="Y542" s="1" t="str">
        <f>"65"</f>
        <v>65</v>
      </c>
      <c r="Z542" t="str">
        <f>""</f>
        <v/>
      </c>
      <c r="AA542" t="str">
        <f>"9045415071"</f>
        <v>9045415071</v>
      </c>
      <c r="AB542" t="str">
        <f>"9045415071"</f>
        <v>9045415071</v>
      </c>
      <c r="AC542" t="str">
        <f>"9045415071"</f>
        <v>9045415071</v>
      </c>
      <c r="AD542" t="str">
        <f>"9045415071"</f>
        <v>9045415071</v>
      </c>
      <c r="AE542" t="str">
        <f>""</f>
        <v/>
      </c>
    </row>
    <row r="543" spans="1:31" x14ac:dyDescent="0.45">
      <c r="A543" t="str">
        <f>"КУДРЯВЦЕВА ОЛЬГА ВИТАЛЬЕВНА"</f>
        <v>КУДРЯВЦЕВА ОЛЬГА ВИТАЛЬЕВНА</v>
      </c>
      <c r="B543" t="str">
        <f>"1967-05-25"</f>
        <v>1967-05-25</v>
      </c>
      <c r="C543" t="str">
        <f>"65 12 550527"</f>
        <v>65 12 550527</v>
      </c>
      <c r="D543" t="str">
        <f>"4854630364962210"</f>
        <v>4854630364962210</v>
      </c>
      <c r="E543" t="str">
        <f>"2021-05-31"</f>
        <v>2021-05-31</v>
      </c>
      <c r="F543" t="str">
        <f>"Z"</f>
        <v>Z</v>
      </c>
      <c r="G543" t="str">
        <f>"+"</f>
        <v>+</v>
      </c>
      <c r="H543" t="str">
        <f>"40817810716991464203"</f>
        <v>40817810716991464203</v>
      </c>
      <c r="I543" t="str">
        <f>"7003"</f>
        <v>7003</v>
      </c>
      <c r="J543" t="str">
        <f>"0408"</f>
        <v>0408</v>
      </c>
      <c r="K543" t="str">
        <f t="shared" si="94"/>
        <v>0.00</v>
      </c>
      <c r="L543" t="str">
        <f>"620000 ОБЛ СВЕРДЛОВСКАЯ   Г ЕКАТЕРИНБУРГ   ПР-КТ КОСМОНАВТОВ д. 84"</f>
        <v>620000 ОБЛ СВЕРДЛОВСКАЯ   Г ЕКАТЕРИНБУРГ   ПР-КТ КОСМОНАВТОВ д. 84</v>
      </c>
      <c r="M543" t="str">
        <f t="shared" si="89"/>
        <v>2019-08-24</v>
      </c>
      <c r="N543" t="str">
        <f>"ООО ПЕРМЬ ИВЕСТ"</f>
        <v>ООО ПЕРМЬ ИВЕСТ</v>
      </c>
      <c r="O543" t="str">
        <f>"620000"</f>
        <v>620000</v>
      </c>
      <c r="P543" t="str">
        <f>"ОБЛ СВЕРДЛОВСКАЯ"</f>
        <v>ОБЛ СВЕРДЛОВСКАЯ</v>
      </c>
      <c r="Q543" t="str">
        <f>""</f>
        <v/>
      </c>
      <c r="R543" t="str">
        <f>"Г ЕКАТЕРИНБУРГ"</f>
        <v>Г ЕКАТЕРИНБУРГ</v>
      </c>
      <c r="S543" t="str">
        <f>""</f>
        <v/>
      </c>
      <c r="T543" t="str">
        <f>"ПР-КТ КОСМОНАВТОВ"</f>
        <v>ПР-КТ КОСМОНАВТОВ</v>
      </c>
      <c r="U543" s="1" t="str">
        <f>"27"</f>
        <v>27</v>
      </c>
      <c r="V543" s="1" t="str">
        <f>""</f>
        <v/>
      </c>
      <c r="W543" s="1" t="str">
        <f>""</f>
        <v/>
      </c>
      <c r="X543" s="1" t="str">
        <f>""</f>
        <v/>
      </c>
      <c r="Y543" s="1" t="str">
        <f>"27"</f>
        <v>27</v>
      </c>
      <c r="Z543" t="str">
        <f>""</f>
        <v/>
      </c>
      <c r="AA543" t="str">
        <f>"9530424407"</f>
        <v>9530424407</v>
      </c>
      <c r="AB543" t="str">
        <f>"9530424407"</f>
        <v>9530424407</v>
      </c>
      <c r="AC543" t="str">
        <f>"9530424407"</f>
        <v>9530424407</v>
      </c>
      <c r="AD543" t="str">
        <f>"9530424407"</f>
        <v>9530424407</v>
      </c>
      <c r="AE543" t="str">
        <f>""</f>
        <v/>
      </c>
    </row>
    <row r="544" spans="1:31" x14ac:dyDescent="0.45">
      <c r="A544" t="str">
        <f>"ШАРОВА ЛАРИСА ПЕТРОВНА"</f>
        <v>ШАРОВА ЛАРИСА ПЕТРОВНА</v>
      </c>
      <c r="B544" t="str">
        <f>"1961-08-23"</f>
        <v>1961-08-23</v>
      </c>
      <c r="C544" t="str">
        <f>"75 05 788148"</f>
        <v>75 05 788148</v>
      </c>
      <c r="D544" t="str">
        <f>"4854630423279655"</f>
        <v>4854630423279655</v>
      </c>
      <c r="E544" t="str">
        <f>"2021-04-30"</f>
        <v>2021-04-30</v>
      </c>
      <c r="F544" t="str">
        <f>"Q"</f>
        <v>Q</v>
      </c>
      <c r="G544" t="str">
        <f>"Q"</f>
        <v>Q</v>
      </c>
      <c r="H544" t="str">
        <f>"40817810516991427864"</f>
        <v>40817810516991427864</v>
      </c>
      <c r="I544" t="str">
        <f>"8597"</f>
        <v>8597</v>
      </c>
      <c r="J544" t="str">
        <f>"0294"</f>
        <v>0294</v>
      </c>
      <c r="K544" t="str">
        <f t="shared" si="94"/>
        <v>0.00</v>
      </c>
      <c r="L544" t="str">
        <f>"454000 ОБЛ ЧЕЛЯБИНСКАЯ   Г ЧЕЛЯБИНСК   УЛ РОССИЙСКАЯ д. 25"</f>
        <v>454000 ОБЛ ЧЕЛЯБИНСКАЯ   Г ЧЕЛЯБИНСК   УЛ РОССИЙСКАЯ д. 25</v>
      </c>
      <c r="M544" t="str">
        <f t="shared" si="89"/>
        <v>2019-08-24</v>
      </c>
      <c r="N544" t="str">
        <f>"ООО АПТЕКА АЛВИК"</f>
        <v>ООО АПТЕКА АЛВИК</v>
      </c>
      <c r="O544" t="str">
        <f>"454000"</f>
        <v>454000</v>
      </c>
      <c r="P544" t="str">
        <f>"ОБЛ ЧЕЛЯБИНСКАЯ"</f>
        <v>ОБЛ ЧЕЛЯБИНСКАЯ</v>
      </c>
      <c r="Q544" t="str">
        <f>""</f>
        <v/>
      </c>
      <c r="R544" t="str">
        <f>"Г ЧЕЛЯБИНСК"</f>
        <v>Г ЧЕЛЯБИНСК</v>
      </c>
      <c r="S544" t="str">
        <f>""</f>
        <v/>
      </c>
      <c r="T544" t="str">
        <f>"УЛ РОССИЙСКАЯ"</f>
        <v>УЛ РОССИЙСКАЯ</v>
      </c>
      <c r="U544" s="1" t="str">
        <f>"9Б"</f>
        <v>9Б</v>
      </c>
      <c r="V544" s="1" t="str">
        <f>""</f>
        <v/>
      </c>
      <c r="W544" s="1" t="str">
        <f>""</f>
        <v/>
      </c>
      <c r="X544" s="1" t="str">
        <f>""</f>
        <v/>
      </c>
      <c r="Y544" s="1" t="str">
        <f>"16"</f>
        <v>16</v>
      </c>
      <c r="Z544" t="str">
        <f>"3512323319"</f>
        <v>3512323319</v>
      </c>
      <c r="AA544" t="str">
        <f>"3511617117"</f>
        <v>3511617117</v>
      </c>
      <c r="AB544" t="str">
        <f>"9090918615"</f>
        <v>9090918615</v>
      </c>
      <c r="AC544" t="str">
        <f>"3511617117"</f>
        <v>3511617117</v>
      </c>
      <c r="AD544" t="str">
        <f>"9090918615"</f>
        <v>9090918615</v>
      </c>
      <c r="AE544" t="str">
        <f>""</f>
        <v/>
      </c>
    </row>
    <row r="545" spans="1:31" x14ac:dyDescent="0.45">
      <c r="A545" t="str">
        <f>"ЖИЛКИНА ЕКАТЕРИНА АЛЕКСАНДРОВНА"</f>
        <v>ЖИЛКИНА ЕКАТЕРИНА АЛЕКСАНДРОВНА</v>
      </c>
      <c r="B545" t="str">
        <f>"1995-09-20"</f>
        <v>1995-09-20</v>
      </c>
      <c r="C545" t="str">
        <f>"65 15 128376"</f>
        <v>65 15 128376</v>
      </c>
      <c r="D545" t="str">
        <f>"4854630382022807"</f>
        <v>4854630382022807</v>
      </c>
      <c r="E545" t="str">
        <f>"2021-04-30"</f>
        <v>2021-04-30</v>
      </c>
      <c r="F545" t="str">
        <f t="shared" ref="F545:G548" si="95">"+"</f>
        <v>+</v>
      </c>
      <c r="G545" t="str">
        <f t="shared" si="95"/>
        <v>+</v>
      </c>
      <c r="H545" t="str">
        <f>"40817810116991427963"</f>
        <v>40817810116991427963</v>
      </c>
      <c r="I545" t="str">
        <f>"7003"</f>
        <v>7003</v>
      </c>
      <c r="J545" t="str">
        <f>"0712"</f>
        <v>0712</v>
      </c>
      <c r="K545" t="str">
        <f>"50000.00"</f>
        <v>50000.00</v>
      </c>
      <c r="L545" t="str">
        <f>"620000 ОБЛ СВЕРДЛОВСКАЯ   Г ЕКАТЕРИНБУРГ   УЛ РЕПИНА д. 94"</f>
        <v>620000 ОБЛ СВЕРДЛОВСКАЯ   Г ЕКАТЕРИНБУРГ   УЛ РЕПИНА д. 94</v>
      </c>
      <c r="M545" t="str">
        <f t="shared" si="89"/>
        <v>2019-08-24</v>
      </c>
      <c r="N545" t="str">
        <f>"ООО КОНЦЕПТ ГРУП"</f>
        <v>ООО КОНЦЕПТ ГРУП</v>
      </c>
      <c r="O545" t="str">
        <f>"620000"</f>
        <v>620000</v>
      </c>
      <c r="P545" t="str">
        <f>"ОБЛ СВЕРДЛОВСКАЯ"</f>
        <v>ОБЛ СВЕРДЛОВСКАЯ</v>
      </c>
      <c r="Q545" t="str">
        <f>""</f>
        <v/>
      </c>
      <c r="R545" t="str">
        <f>"Г РЕВДА"</f>
        <v>Г РЕВДА</v>
      </c>
      <c r="S545" t="str">
        <f>""</f>
        <v/>
      </c>
      <c r="T545" t="str">
        <f>"УЛ ЖУКОВСКОГО"</f>
        <v>УЛ ЖУКОВСКОГО</v>
      </c>
      <c r="U545" s="1" t="str">
        <f>"5"</f>
        <v>5</v>
      </c>
      <c r="V545" s="1" t="str">
        <f>""</f>
        <v/>
      </c>
      <c r="W545" s="1" t="str">
        <f>""</f>
        <v/>
      </c>
      <c r="X545" s="1" t="str">
        <f>""</f>
        <v/>
      </c>
      <c r="Y545" s="1" t="str">
        <f>"16"</f>
        <v>16</v>
      </c>
      <c r="Z545" t="str">
        <f>""</f>
        <v/>
      </c>
      <c r="AA545" t="str">
        <f>"3433287586"</f>
        <v>3433287586</v>
      </c>
      <c r="AB545" t="str">
        <f>"9126214821"</f>
        <v>9126214821</v>
      </c>
      <c r="AC545" t="str">
        <f>"3433287586"</f>
        <v>3433287586</v>
      </c>
      <c r="AD545" t="str">
        <f>"9126214821"</f>
        <v>9126214821</v>
      </c>
      <c r="AE545" t="str">
        <f>""</f>
        <v/>
      </c>
    </row>
    <row r="546" spans="1:31" x14ac:dyDescent="0.45">
      <c r="A546" t="str">
        <f>"ОЛЬХОВСКАЯ ОЛЬГА ВИКТОРОВНА"</f>
        <v>ОЛЬХОВСКАЯ ОЛЬГА ВИКТОРОВНА</v>
      </c>
      <c r="B546" t="str">
        <f>"1977-04-16"</f>
        <v>1977-04-16</v>
      </c>
      <c r="C546" t="str">
        <f>"75 09 585353"</f>
        <v>75 09 585353</v>
      </c>
      <c r="D546" t="str">
        <f>"5313100122907321"</f>
        <v>5313100122907321</v>
      </c>
      <c r="E546" t="str">
        <f>"2020-10-31"</f>
        <v>2020-10-31</v>
      </c>
      <c r="F546" t="str">
        <f t="shared" si="95"/>
        <v>+</v>
      </c>
      <c r="G546" t="str">
        <f t="shared" si="95"/>
        <v>+</v>
      </c>
      <c r="H546" t="str">
        <f>"40817810716991464096"</f>
        <v>40817810716991464096</v>
      </c>
      <c r="I546" t="str">
        <f>"8597"</f>
        <v>8597</v>
      </c>
      <c r="J546" t="str">
        <f>"0486"</f>
        <v>0486</v>
      </c>
      <c r="K546" t="str">
        <f>"24000.00"</f>
        <v>24000.00</v>
      </c>
      <c r="L546" t="str">
        <f>"454000 ОБЛ ЧЕЛЯБИНСКАЯ   Г ЕМАНЖЕЛИНСК   УЛ ЧКАЛОВА д. 25"</f>
        <v>454000 ОБЛ ЧЕЛЯБИНСКАЯ   Г ЕМАНЖЕЛИНСК   УЛ ЧКАЛОВА д. 25</v>
      </c>
      <c r="M546" t="str">
        <f t="shared" si="89"/>
        <v>2019-08-24</v>
      </c>
      <c r="N546" t="str">
        <f>"УПРАВЛЕНИЕ ОБРАЗОВАНИЯ"</f>
        <v>УПРАВЛЕНИЕ ОБРАЗОВАНИЯ</v>
      </c>
      <c r="O546" t="str">
        <f>"454000"</f>
        <v>454000</v>
      </c>
      <c r="P546" t="str">
        <f>"ОБЛ ЧЕЛЯБИНСКАЯ"</f>
        <v>ОБЛ ЧЕЛЯБИНСКАЯ</v>
      </c>
      <c r="Q546" t="str">
        <f>""</f>
        <v/>
      </c>
      <c r="R546" t="str">
        <f>"Г ЕМАНЖЕЛИНСК"</f>
        <v>Г ЕМАНЖЕЛИНСК</v>
      </c>
      <c r="S546" t="str">
        <f>""</f>
        <v/>
      </c>
      <c r="T546" t="str">
        <f>"УЛ МЕДОВАЯ"</f>
        <v>УЛ МЕДОВАЯ</v>
      </c>
      <c r="U546" s="1" t="str">
        <f>"31"</f>
        <v>31</v>
      </c>
      <c r="V546" s="1" t="str">
        <f>""</f>
        <v/>
      </c>
      <c r="W546" s="1" t="str">
        <f>""</f>
        <v/>
      </c>
      <c r="X546" s="1" t="str">
        <f>""</f>
        <v/>
      </c>
      <c r="Y546" s="1" t="str">
        <f>""</f>
        <v/>
      </c>
      <c r="Z546" t="str">
        <f>"9127763345"</f>
        <v>9127763345</v>
      </c>
      <c r="AA546" t="str">
        <f>"9127763345"</f>
        <v>9127763345</v>
      </c>
      <c r="AB546" t="str">
        <f>"9127763345"</f>
        <v>9127763345</v>
      </c>
      <c r="AC546" t="str">
        <f>"9127763345"</f>
        <v>9127763345</v>
      </c>
      <c r="AD546" t="str">
        <f>"9127763345"</f>
        <v>9127763345</v>
      </c>
      <c r="AE546" t="str">
        <f>"9127763345"</f>
        <v>9127763345</v>
      </c>
    </row>
    <row r="547" spans="1:31" x14ac:dyDescent="0.45">
      <c r="A547" t="str">
        <f>"МУРЗИНА ЛЮДМИЛА АНАТОЛЬЕВНА"</f>
        <v>МУРЗИНА ЛЮДМИЛА АНАТОЛЬЕВНА</v>
      </c>
      <c r="B547" t="str">
        <f>"1970-02-01"</f>
        <v>1970-02-01</v>
      </c>
      <c r="C547" t="str">
        <f>"65 14 963210"</f>
        <v>65 14 963210</v>
      </c>
      <c r="D547" t="str">
        <f>"5313100339234253"</f>
        <v>5313100339234253</v>
      </c>
      <c r="E547" t="str">
        <f>"2021-03-31"</f>
        <v>2021-03-31</v>
      </c>
      <c r="F547" t="str">
        <f t="shared" si="95"/>
        <v>+</v>
      </c>
      <c r="G547" t="str">
        <f t="shared" si="95"/>
        <v>+</v>
      </c>
      <c r="H547" t="str">
        <f>"40817810016991464097"</f>
        <v>40817810016991464097</v>
      </c>
      <c r="I547" t="str">
        <f>"7003"</f>
        <v>7003</v>
      </c>
      <c r="J547" t="str">
        <f>"0406"</f>
        <v>0406</v>
      </c>
      <c r="K547" t="str">
        <f>"240000.00"</f>
        <v>240000.00</v>
      </c>
      <c r="L547" t="str">
        <f>"620000 ОБЛ СВЕРДЛОВСКАЯ   Г ЕКАТЕРИНБУРГ   УЛ ПОБЕДЫ д. 43"</f>
        <v>620000 ОБЛ СВЕРДЛОВСКАЯ   Г ЕКАТЕРИНБУРГ   УЛ ПОБЕДЫ д. 43</v>
      </c>
      <c r="M547" t="str">
        <f t="shared" si="89"/>
        <v>2019-08-24</v>
      </c>
      <c r="N547" t="str">
        <f>"МАО ГДБ № 15"</f>
        <v>МАО ГДБ № 15</v>
      </c>
      <c r="O547" t="str">
        <f>"620000"</f>
        <v>620000</v>
      </c>
      <c r="P547" t="str">
        <f>"ОБЛ СВЕРДЛОВСКАЯ"</f>
        <v>ОБЛ СВЕРДЛОВСКАЯ</v>
      </c>
      <c r="Q547" t="str">
        <f>""</f>
        <v/>
      </c>
      <c r="R547" t="str">
        <f>"Г ЕКАТЕРИНБУРГ"</f>
        <v>Г ЕКАТЕРИНБУРГ</v>
      </c>
      <c r="S547" t="str">
        <f>""</f>
        <v/>
      </c>
      <c r="T547" t="str">
        <f>"УЛ БАКИНСКИХ КОМИССАРОВ"</f>
        <v>УЛ БАКИНСКИХ КОМИССАРОВ</v>
      </c>
      <c r="U547" s="1" t="str">
        <f>"18"</f>
        <v>18</v>
      </c>
      <c r="V547" s="1" t="str">
        <f>""</f>
        <v/>
      </c>
      <c r="W547" s="1" t="str">
        <f>""</f>
        <v/>
      </c>
      <c r="X547" s="1" t="str">
        <f>""</f>
        <v/>
      </c>
      <c r="Y547" s="1" t="str">
        <f>"8"</f>
        <v>8</v>
      </c>
      <c r="Z547" t="str">
        <f>"3433075452"</f>
        <v>3433075452</v>
      </c>
      <c r="AA547" t="str">
        <f>"9501998556"</f>
        <v>9501998556</v>
      </c>
      <c r="AB547" t="str">
        <f>"9501998556"</f>
        <v>9501998556</v>
      </c>
      <c r="AC547" t="str">
        <f>"9501998556"</f>
        <v>9501998556</v>
      </c>
      <c r="AD547" t="str">
        <f>"9501998556"</f>
        <v>9501998556</v>
      </c>
      <c r="AE547" t="str">
        <f>""</f>
        <v/>
      </c>
    </row>
    <row r="548" spans="1:31" x14ac:dyDescent="0.45">
      <c r="A548" t="str">
        <f>"СУХАНОВ МАКСИМ ВЛАДИМИРОВИЧ"</f>
        <v>СУХАНОВ МАКСИМ ВЛАДИМИРОВИЧ</v>
      </c>
      <c r="B548" t="str">
        <f>"1988-11-11"</f>
        <v>1988-11-11</v>
      </c>
      <c r="C548" t="str">
        <f>"37 08 279848"</f>
        <v>37 08 279848</v>
      </c>
      <c r="D548" t="str">
        <f>"4854630395226171"</f>
        <v>4854630395226171</v>
      </c>
      <c r="E548" t="str">
        <f>"2021-04-30"</f>
        <v>2021-04-30</v>
      </c>
      <c r="F548" t="str">
        <f t="shared" si="95"/>
        <v>+</v>
      </c>
      <c r="G548" t="str">
        <f t="shared" si="95"/>
        <v>+</v>
      </c>
      <c r="H548" t="str">
        <f>"40817810716992454319"</f>
        <v>40817810716992454319</v>
      </c>
      <c r="I548" t="str">
        <f>"5940"</f>
        <v>5940</v>
      </c>
      <c r="J548" t="str">
        <f>"0060"</f>
        <v>0060</v>
      </c>
      <c r="K548" t="str">
        <f>"26000.00"</f>
        <v>26000.00</v>
      </c>
      <c r="L548" t="str">
        <f>"641000 ОБЛ КУРГАНСКАЯ Р-Н ШАДРИНС   С ПОГОРЕЛКА УЛ ИСЕЦКАЯ д. 61"</f>
        <v>641000 ОБЛ КУРГАНСКАЯ Р-Н ШАДРИНС   С ПОГОРЕЛКА УЛ ИСЕЦКАЯ д. 61</v>
      </c>
      <c r="M548" t="str">
        <f t="shared" si="89"/>
        <v>2019-08-24</v>
      </c>
      <c r="N548" t="str">
        <f>"ИП СУХАНОВ М.В."</f>
        <v>ИП СУХАНОВ М.В.</v>
      </c>
      <c r="O548" t="str">
        <f>"641000"</f>
        <v>641000</v>
      </c>
      <c r="P548" t="str">
        <f>"ОБЛ КУРГАНСКАЯ"</f>
        <v>ОБЛ КУРГАНСКАЯ</v>
      </c>
      <c r="Q548" t="str">
        <f>"Р-Н ШАДРИНСК"</f>
        <v>Р-Н ШАДРИНСК</v>
      </c>
      <c r="R548" t="str">
        <f>""</f>
        <v/>
      </c>
      <c r="S548" t="str">
        <f>"С ПОГОРЕЛКА"</f>
        <v>С ПОГОРЕЛКА</v>
      </c>
      <c r="T548" t="str">
        <f>"УЛ ИСЕТСКАЯ"</f>
        <v>УЛ ИСЕТСКАЯ</v>
      </c>
      <c r="U548" s="1" t="str">
        <f>"61"</f>
        <v>61</v>
      </c>
      <c r="V548" s="1" t="str">
        <f>""</f>
        <v/>
      </c>
      <c r="W548" s="1" t="str">
        <f>""</f>
        <v/>
      </c>
      <c r="X548" s="1" t="str">
        <f>""</f>
        <v/>
      </c>
      <c r="Y548" s="1" t="str">
        <f>""</f>
        <v/>
      </c>
      <c r="Z548" t="str">
        <f>""</f>
        <v/>
      </c>
      <c r="AA548" t="str">
        <f>"9129775292"</f>
        <v>9129775292</v>
      </c>
      <c r="AB548" t="str">
        <f>"9225723747"</f>
        <v>9225723747</v>
      </c>
      <c r="AC548" t="str">
        <f>"9129775292"</f>
        <v>9129775292</v>
      </c>
      <c r="AD548" t="str">
        <f>"9225723747"</f>
        <v>9225723747</v>
      </c>
      <c r="AE548" t="str">
        <f>""</f>
        <v/>
      </c>
    </row>
    <row r="549" spans="1:31" x14ac:dyDescent="0.45">
      <c r="A549" t="str">
        <f>"ПОЛЯКОВ ЛЕОНИД ДМИТРИЕВИЧ"</f>
        <v>ПОЛЯКОВ ЛЕОНИД ДМИТРИЕВИЧ</v>
      </c>
      <c r="B549" t="str">
        <f>"1952-08-01"</f>
        <v>1952-08-01</v>
      </c>
      <c r="C549" t="str">
        <f>"65 04 823596"</f>
        <v>65 04 823596</v>
      </c>
      <c r="D549" t="str">
        <f>"4854630363351811"</f>
        <v>4854630363351811</v>
      </c>
      <c r="E549" t="str">
        <f>"2021-05-31"</f>
        <v>2021-05-31</v>
      </c>
      <c r="F549" t="str">
        <f>"Z"</f>
        <v>Z</v>
      </c>
      <c r="G549" t="str">
        <f>"+"</f>
        <v>+</v>
      </c>
      <c r="H549" t="str">
        <f>"40817810916991464113"</f>
        <v>40817810916991464113</v>
      </c>
      <c r="I549" t="str">
        <f>"7003"</f>
        <v>7003</v>
      </c>
      <c r="J549" t="str">
        <f>"0391"</f>
        <v>0391</v>
      </c>
      <c r="K549" t="str">
        <f>"15000.00"</f>
        <v>15000.00</v>
      </c>
      <c r="L549" t="str">
        <f>"620000 ОБЛ СВЕРДЛОВСКАЯ   Г ЕКАТЕРИНБУРГ   УЛ РЕШЕТНИКОВА д. 14"</f>
        <v>620000 ОБЛ СВЕРДЛОВСКАЯ   Г ЕКАТЕРИНБУРГ   УЛ РЕШЕТНИКОВА д. 14</v>
      </c>
      <c r="M549" t="str">
        <f t="shared" si="89"/>
        <v>2019-08-24</v>
      </c>
      <c r="N549" t="str">
        <f>"ПРОМСВЯЗЬ"</f>
        <v>ПРОМСВЯЗЬ</v>
      </c>
      <c r="O549" t="str">
        <f>"620000"</f>
        <v>620000</v>
      </c>
      <c r="P549" t="str">
        <f>"ОБЛ СВЕРДЛОВСКАЯ"</f>
        <v>ОБЛ СВЕРДЛОВСКАЯ</v>
      </c>
      <c r="Q549" t="str">
        <f>""</f>
        <v/>
      </c>
      <c r="R549" t="str">
        <f>"Г ЕКАТЕРИНБУРГ"</f>
        <v>Г ЕКАТЕРИНБУРГ</v>
      </c>
      <c r="S549" t="str">
        <f>""</f>
        <v/>
      </c>
      <c r="T549" t="str">
        <f>"УЛ РЕШЕТНИКОВА"</f>
        <v>УЛ РЕШЕТНИКОВА</v>
      </c>
      <c r="U549" s="1" t="str">
        <f>"14"</f>
        <v>14</v>
      </c>
      <c r="V549" s="1" t="str">
        <f>""</f>
        <v/>
      </c>
      <c r="W549" s="1" t="str">
        <f>""</f>
        <v/>
      </c>
      <c r="X549" s="1" t="str">
        <f>""</f>
        <v/>
      </c>
      <c r="Y549" s="1" t="str">
        <f>"22"</f>
        <v>22</v>
      </c>
      <c r="Z549" t="str">
        <f>"9527372157"</f>
        <v>9527372157</v>
      </c>
      <c r="AA549" t="str">
        <f>"9527372157"</f>
        <v>9527372157</v>
      </c>
      <c r="AB549" t="str">
        <f>"9527372157"</f>
        <v>9527372157</v>
      </c>
      <c r="AC549" t="str">
        <f>"9527372157"</f>
        <v>9527372157</v>
      </c>
      <c r="AD549" t="str">
        <f>"9527372157"</f>
        <v>9527372157</v>
      </c>
      <c r="AE549" t="str">
        <f>"9527372157"</f>
        <v>9527372157</v>
      </c>
    </row>
    <row r="550" spans="1:31" x14ac:dyDescent="0.45">
      <c r="A550" t="str">
        <f>"ВАХНИН АНДРЕЙ АЛЕКСАНДРОВИЧ"</f>
        <v>ВАХНИН АНДРЕЙ АЛЕКСАНДРОВИЧ</v>
      </c>
      <c r="B550" t="str">
        <f>"1959-04-01"</f>
        <v>1959-04-01</v>
      </c>
      <c r="C550" t="str">
        <f>"75 04 257831"</f>
        <v>75 04 257831</v>
      </c>
      <c r="D550" t="str">
        <f>"4854630298307581"</f>
        <v>4854630298307581</v>
      </c>
      <c r="E550" t="str">
        <f>"2020-11-30"</f>
        <v>2020-11-30</v>
      </c>
      <c r="F550" t="str">
        <f>"Q"</f>
        <v>Q</v>
      </c>
      <c r="G550" t="str">
        <f>"Q"</f>
        <v>Q</v>
      </c>
      <c r="H550" t="str">
        <f>"40817810116991464133"</f>
        <v>40817810116991464133</v>
      </c>
      <c r="I550" t="str">
        <f>"8597"</f>
        <v>8597</v>
      </c>
      <c r="J550" t="str">
        <f>"0521"</f>
        <v>0521</v>
      </c>
      <c r="K550" t="str">
        <f>"0.00"</f>
        <v>0.00</v>
      </c>
      <c r="L550" t="str">
        <f>"454000 ОБЛ ЧЕЛЯБИНСКАЯ   Г МИАСС   УЛ ЖУКОВСКОГО д. 3 кв. 13"</f>
        <v>454000 ОБЛ ЧЕЛЯБИНСКАЯ   Г МИАСС   УЛ ЖУКОВСКОГО д. 3 кв. 13</v>
      </c>
      <c r="M550" t="str">
        <f t="shared" si="89"/>
        <v>2019-08-24</v>
      </c>
      <c r="N550" t="str">
        <f>"АЗАРИЯ"</f>
        <v>АЗАРИЯ</v>
      </c>
      <c r="O550" t="str">
        <f>"454000"</f>
        <v>454000</v>
      </c>
      <c r="P550" t="str">
        <f>"ОБЛ ЧЕЛЯБИНСКАЯ"</f>
        <v>ОБЛ ЧЕЛЯБИНСКАЯ</v>
      </c>
      <c r="Q550" t="str">
        <f>""</f>
        <v/>
      </c>
      <c r="R550" t="str">
        <f>"Г МИАСС"</f>
        <v>Г МИАСС</v>
      </c>
      <c r="S550" t="str">
        <f>""</f>
        <v/>
      </c>
      <c r="T550" t="str">
        <f>"УЛ ЖУКОВСКОГО"</f>
        <v>УЛ ЖУКОВСКОГО</v>
      </c>
      <c r="U550" s="1" t="str">
        <f>"3"</f>
        <v>3</v>
      </c>
      <c r="V550" s="1" t="str">
        <f>""</f>
        <v/>
      </c>
      <c r="W550" s="1" t="str">
        <f>""</f>
        <v/>
      </c>
      <c r="X550" s="1" t="str">
        <f>""</f>
        <v/>
      </c>
      <c r="Y550" s="1" t="str">
        <f>"13"</f>
        <v>13</v>
      </c>
      <c r="Z550" t="str">
        <f>"9518085573"</f>
        <v>9518085573</v>
      </c>
      <c r="AA550" t="str">
        <f>"9518085573"</f>
        <v>9518085573</v>
      </c>
      <c r="AB550" t="str">
        <f>"9518085573"</f>
        <v>9518085573</v>
      </c>
      <c r="AC550" t="str">
        <f>"9518085573"</f>
        <v>9518085573</v>
      </c>
      <c r="AD550" t="str">
        <f>"9518085573"</f>
        <v>9518085573</v>
      </c>
      <c r="AE550" t="str">
        <f>"9518085573"</f>
        <v>9518085573</v>
      </c>
    </row>
    <row r="551" spans="1:31" x14ac:dyDescent="0.45">
      <c r="A551" t="str">
        <f>"БУРЛАКОВА ЕЛЕНА ВЛАДИМИРОВНА"</f>
        <v>БУРЛАКОВА ЕЛЕНА ВЛАДИМИРОВНА</v>
      </c>
      <c r="B551" t="str">
        <f>"1990-03-29"</f>
        <v>1990-03-29</v>
      </c>
      <c r="C551" t="str">
        <f>"65 10 963896"</f>
        <v>65 10 963896</v>
      </c>
      <c r="D551" t="str">
        <f>"4854630380454812"</f>
        <v>4854630380454812</v>
      </c>
      <c r="E551" t="str">
        <f>"2021-04-30"</f>
        <v>2021-04-30</v>
      </c>
      <c r="F551" t="str">
        <f t="shared" ref="F551:G554" si="96">"+"</f>
        <v>+</v>
      </c>
      <c r="G551" t="str">
        <f t="shared" si="96"/>
        <v>+</v>
      </c>
      <c r="H551" t="str">
        <f>"40817810416991464134"</f>
        <v>40817810416991464134</v>
      </c>
      <c r="I551" t="str">
        <f>"7003"</f>
        <v>7003</v>
      </c>
      <c r="J551" t="str">
        <f>"0707"</f>
        <v>0707</v>
      </c>
      <c r="K551" t="str">
        <f>"50000.00"</f>
        <v>50000.00</v>
      </c>
      <c r="L551" t="str">
        <f>"620000 ОБЛ СВЕРДЛОВСКАЯ   Г ДЕГТЯРСК   УЛ КАЛИНИНА д. 21"</f>
        <v>620000 ОБЛ СВЕРДЛОВСКАЯ   Г ДЕГТЯРСК   УЛ КАЛИНИНА д. 21</v>
      </c>
      <c r="M551" t="str">
        <f t="shared" si="89"/>
        <v>2019-08-24</v>
      </c>
      <c r="N551" t="str">
        <f>"ИП ДРУЖИНИНА С.В"</f>
        <v>ИП ДРУЖИНИНА С.В</v>
      </c>
      <c r="O551" t="str">
        <f>"620000"</f>
        <v>620000</v>
      </c>
      <c r="P551" t="str">
        <f>"ОБЛ СВЕРДЛОВСКАЯ"</f>
        <v>ОБЛ СВЕРДЛОВСКАЯ</v>
      </c>
      <c r="Q551" t="str">
        <f>""</f>
        <v/>
      </c>
      <c r="R551" t="str">
        <f>"Г ДЕГТЯРСК"</f>
        <v>Г ДЕГТЯРСК</v>
      </c>
      <c r="S551" t="str">
        <f>""</f>
        <v/>
      </c>
      <c r="T551" t="str">
        <f>"УЛ ШУРЫ ЕКИМОВОЙ"</f>
        <v>УЛ ШУРЫ ЕКИМОВОЙ</v>
      </c>
      <c r="U551" s="1" t="str">
        <f>"64"</f>
        <v>64</v>
      </c>
      <c r="V551" s="1" t="str">
        <f>""</f>
        <v/>
      </c>
      <c r="W551" s="1" t="str">
        <f>""</f>
        <v/>
      </c>
      <c r="X551" s="1" t="str">
        <f>""</f>
        <v/>
      </c>
      <c r="Y551" s="1" t="str">
        <f>""</f>
        <v/>
      </c>
      <c r="Z551" t="str">
        <f>""</f>
        <v/>
      </c>
      <c r="AA551" t="str">
        <f>"9086363304"</f>
        <v>9086363304</v>
      </c>
      <c r="AB551" t="str">
        <f>"9086363304"</f>
        <v>9086363304</v>
      </c>
      <c r="AC551" t="str">
        <f>"9086363304"</f>
        <v>9086363304</v>
      </c>
      <c r="AD551" t="str">
        <f>"9086363304"</f>
        <v>9086363304</v>
      </c>
      <c r="AE551" t="str">
        <f>""</f>
        <v/>
      </c>
    </row>
    <row r="552" spans="1:31" x14ac:dyDescent="0.45">
      <c r="A552" t="str">
        <f>"КУЛЕШОВ ВИКТОР ПЕТРОВИЧ"</f>
        <v>КУЛЕШОВ ВИКТОР ПЕТРОВИЧ</v>
      </c>
      <c r="B552" t="str">
        <f>"1956-07-21"</f>
        <v>1956-07-21</v>
      </c>
      <c r="C552" t="str">
        <f>"71 03 981429"</f>
        <v>71 03 981429</v>
      </c>
      <c r="D552" t="str">
        <f>"5313100593647000"</f>
        <v>5313100593647000</v>
      </c>
      <c r="E552" t="str">
        <f>"2019-11-30"</f>
        <v>2019-11-30</v>
      </c>
      <c r="F552" t="str">
        <f t="shared" si="96"/>
        <v>+</v>
      </c>
      <c r="G552" t="str">
        <f t="shared" si="96"/>
        <v>+</v>
      </c>
      <c r="H552" t="str">
        <f>"40817810116992454935"</f>
        <v>40817810116992454935</v>
      </c>
      <c r="I552" t="str">
        <f>"8647"</f>
        <v>8647</v>
      </c>
      <c r="J552" t="str">
        <f>"0200"</f>
        <v>0200</v>
      </c>
      <c r="K552" t="str">
        <f>"18000.00"</f>
        <v>18000.00</v>
      </c>
      <c r="L552" t="str">
        <f>"627570 ОБЛ ТЮМЕНСКАЯ Р-Н ВИКУЛОВСКИЙ   С ВИКУЛОВО УЛ К. МАРКСА д. 28"</f>
        <v>627570 ОБЛ ТЮМЕНСКАЯ Р-Н ВИКУЛОВСКИЙ   С ВИКУЛОВО УЛ К. МАРКСА д. 28</v>
      </c>
      <c r="M552" t="str">
        <f t="shared" si="89"/>
        <v>2019-08-24</v>
      </c>
      <c r="N552" t="str">
        <f>"ПАО СБЕРБАНК РОССИИ"</f>
        <v>ПАО СБЕРБАНК РОССИИ</v>
      </c>
      <c r="O552" t="str">
        <f>"627570"</f>
        <v>627570</v>
      </c>
      <c r="P552" t="str">
        <f>"ОБЛ ТЮМЕНСКАЯ"</f>
        <v>ОБЛ ТЮМЕНСКАЯ</v>
      </c>
      <c r="Q552" t="str">
        <f>"Р-Н ВИКУЛОВСКИЙ"</f>
        <v>Р-Н ВИКУЛОВСКИЙ</v>
      </c>
      <c r="R552" t="str">
        <f>""</f>
        <v/>
      </c>
      <c r="S552" t="str">
        <f>"С САРТАМ"</f>
        <v>С САРТАМ</v>
      </c>
      <c r="T552" t="str">
        <f>"УЛ СВОБОДЫ"</f>
        <v>УЛ СВОБОДЫ</v>
      </c>
      <c r="U552" s="1" t="str">
        <f>"2"</f>
        <v>2</v>
      </c>
      <c r="V552" s="1" t="str">
        <f>""</f>
        <v/>
      </c>
      <c r="W552" s="1" t="str">
        <f>""</f>
        <v/>
      </c>
      <c r="X552" s="1" t="str">
        <f>""</f>
        <v/>
      </c>
      <c r="Y552" s="1" t="str">
        <f>""</f>
        <v/>
      </c>
      <c r="Z552" t="str">
        <f>"3462 518190"</f>
        <v>3462 518190</v>
      </c>
      <c r="AA552" t="str">
        <f>"3455733284"</f>
        <v>3455733284</v>
      </c>
      <c r="AB552" t="str">
        <f>"9504838022"</f>
        <v>9504838022</v>
      </c>
      <c r="AC552" t="str">
        <f>"3455733284"</f>
        <v>3455733284</v>
      </c>
      <c r="AD552" t="str">
        <f>"9504838022"</f>
        <v>9504838022</v>
      </c>
      <c r="AE552" t="str">
        <f>""</f>
        <v/>
      </c>
    </row>
    <row r="553" spans="1:31" x14ac:dyDescent="0.45">
      <c r="A553" t="str">
        <f>"УСАНОВА ВАЛЕНТИНА ДМИТРИЕВНА"</f>
        <v>УСАНОВА ВАЛЕНТИНА ДМИТРИЕВНА</v>
      </c>
      <c r="B553" t="str">
        <f>"1953-07-14"</f>
        <v>1953-07-14</v>
      </c>
      <c r="C553" t="str">
        <f>"65 03 878807"</f>
        <v>65 03 878807</v>
      </c>
      <c r="D553" t="str">
        <f>"4854630395910394"</f>
        <v>4854630395910394</v>
      </c>
      <c r="E553" t="str">
        <f>"2021-04-30"</f>
        <v>2021-04-30</v>
      </c>
      <c r="F553" t="str">
        <f t="shared" si="96"/>
        <v>+</v>
      </c>
      <c r="G553" t="str">
        <f t="shared" si="96"/>
        <v>+</v>
      </c>
      <c r="H553" t="str">
        <f>"40817810716991464148"</f>
        <v>40817810716991464148</v>
      </c>
      <c r="I553" t="str">
        <f>"7003"</f>
        <v>7003</v>
      </c>
      <c r="J553" t="str">
        <f>"0638"</f>
        <v>0638</v>
      </c>
      <c r="K553" t="str">
        <f>"30000.00"</f>
        <v>30000.00</v>
      </c>
      <c r="L553" t="str">
        <f>"620000 ОБЛ СВЕРДЛОВСКАЯ   Г СУХОЙ ЛОГ   ПРОЕЗД СТРОИТЕЛЕЙ д. 7"</f>
        <v>620000 ОБЛ СВЕРДЛОВСКАЯ   Г СУХОЙ ЛОГ   ПРОЕЗД СТРОИТЕЛЕЙ д. 7</v>
      </c>
      <c r="M553" t="str">
        <f t="shared" si="89"/>
        <v>2019-08-24</v>
      </c>
      <c r="N553" t="str">
        <f>"УПФР"</f>
        <v>УПФР</v>
      </c>
      <c r="O553" t="str">
        <f>"620000"</f>
        <v>620000</v>
      </c>
      <c r="P553" t="str">
        <f>"ОБЛ СВЕРДЛОВСКАЯ"</f>
        <v>ОБЛ СВЕРДЛОВСКАЯ</v>
      </c>
      <c r="Q553" t="str">
        <f>""</f>
        <v/>
      </c>
      <c r="R553" t="str">
        <f>"Г СУХОЙ ЛОГ"</f>
        <v>Г СУХОЙ ЛОГ</v>
      </c>
      <c r="S553" t="str">
        <f>""</f>
        <v/>
      </c>
      <c r="T553" t="str">
        <f>"УЛ 60 ЛЕТ СССР"</f>
        <v>УЛ 60 ЛЕТ СССР</v>
      </c>
      <c r="U553" s="1" t="str">
        <f>"9"</f>
        <v>9</v>
      </c>
      <c r="V553" s="1" t="str">
        <f>""</f>
        <v/>
      </c>
      <c r="W553" s="1" t="str">
        <f>""</f>
        <v/>
      </c>
      <c r="X553" s="1" t="str">
        <f>""</f>
        <v/>
      </c>
      <c r="Y553" s="1" t="str">
        <f>"13"</f>
        <v>13</v>
      </c>
      <c r="Z553" t="str">
        <f>""</f>
        <v/>
      </c>
      <c r="AA553" t="str">
        <f>"3437355555"</f>
        <v>3437355555</v>
      </c>
      <c r="AB553" t="str">
        <f>"9022791818"</f>
        <v>9022791818</v>
      </c>
      <c r="AC553" t="str">
        <f>"3437355555"</f>
        <v>3437355555</v>
      </c>
      <c r="AD553" t="str">
        <f>"9022791818"</f>
        <v>9022791818</v>
      </c>
      <c r="AE553" t="str">
        <f>""</f>
        <v/>
      </c>
    </row>
    <row r="554" spans="1:31" x14ac:dyDescent="0.45">
      <c r="A554" t="str">
        <f>"ПРОКОПЬЕВА ВАЛЕНТИНА АЛЕКСАНДРОВНА"</f>
        <v>ПРОКОПЬЕВА ВАЛЕНТИНА АЛЕКСАНДРОВНА</v>
      </c>
      <c r="B554" t="str">
        <f>"1955-11-10"</f>
        <v>1955-11-10</v>
      </c>
      <c r="C554" t="str">
        <f>"71 02 622471"</f>
        <v>71 02 622471</v>
      </c>
      <c r="D554" t="str">
        <f>"4854630377036663"</f>
        <v>4854630377036663</v>
      </c>
      <c r="E554" t="str">
        <f>"2021-04-30"</f>
        <v>2021-04-30</v>
      </c>
      <c r="F554" t="str">
        <f t="shared" si="96"/>
        <v>+</v>
      </c>
      <c r="G554" t="str">
        <f t="shared" si="96"/>
        <v>+</v>
      </c>
      <c r="H554" t="str">
        <f>"40817810916992502524"</f>
        <v>40817810916992502524</v>
      </c>
      <c r="I554" t="str">
        <f>"8647"</f>
        <v>8647</v>
      </c>
      <c r="J554" t="str">
        <f>"0102"</f>
        <v>0102</v>
      </c>
      <c r="K554" t="str">
        <f>"22000.00"</f>
        <v>22000.00</v>
      </c>
      <c r="L554" t="str">
        <f>"625000 ОБЛ ТЮМЕНСКАЯ   Г ТЮМЕНЬ   УЛ МОСКОВСКИЙ ТРАКТ д. 169 кв. 31"</f>
        <v>625000 ОБЛ ТЮМЕНСКАЯ   Г ТЮМЕНЬ   УЛ МОСКОВСКИЙ ТРАКТ д. 169 кв. 31</v>
      </c>
      <c r="M554" t="str">
        <f t="shared" si="89"/>
        <v>2019-08-24</v>
      </c>
      <c r="N554" t="str">
        <f>"ПЕНСИОНЕР"</f>
        <v>ПЕНСИОНЕР</v>
      </c>
      <c r="O554" t="str">
        <f>"625000"</f>
        <v>625000</v>
      </c>
      <c r="P554" t="str">
        <f>"ОБЛ ТЮМЕНСКАЯ"</f>
        <v>ОБЛ ТЮМЕНСКАЯ</v>
      </c>
      <c r="Q554" t="str">
        <f>""</f>
        <v/>
      </c>
      <c r="R554" t="str">
        <f>"Г ТЮМЕНЬ"</f>
        <v>Г ТЮМЕНЬ</v>
      </c>
      <c r="S554" t="str">
        <f>""</f>
        <v/>
      </c>
      <c r="T554" t="str">
        <f>"УЛ МОСКОВСКИЙ ТРАКТ"</f>
        <v>УЛ МОСКОВСКИЙ ТРАКТ</v>
      </c>
      <c r="U554" s="1" t="str">
        <f>"169"</f>
        <v>169</v>
      </c>
      <c r="V554" s="1" t="str">
        <f>""</f>
        <v/>
      </c>
      <c r="W554" s="1" t="str">
        <f>""</f>
        <v/>
      </c>
      <c r="X554" s="1" t="str">
        <f>""</f>
        <v/>
      </c>
      <c r="Y554" s="1" t="str">
        <f>"31"</f>
        <v>31</v>
      </c>
      <c r="Z554" t="str">
        <f>""</f>
        <v/>
      </c>
      <c r="AA554" t="str">
        <f>"9995476307"</f>
        <v>9995476307</v>
      </c>
      <c r="AB554" t="str">
        <f>"9526760752"</f>
        <v>9526760752</v>
      </c>
      <c r="AC554" t="str">
        <f>"9995476307"</f>
        <v>9995476307</v>
      </c>
      <c r="AD554" t="str">
        <f>"9526760752"</f>
        <v>9526760752</v>
      </c>
      <c r="AE554" t="str">
        <f>""</f>
        <v/>
      </c>
    </row>
    <row r="555" spans="1:31" x14ac:dyDescent="0.45">
      <c r="A555" t="str">
        <f>"ОДОЕВА АННА АЛЕКСАНДРОВНА"</f>
        <v>ОДОЕВА АННА АЛЕКСАНДРОВНА</v>
      </c>
      <c r="B555" t="str">
        <f>"1983-05-11"</f>
        <v>1983-05-11</v>
      </c>
      <c r="C555" t="str">
        <f>"80 07 367245"</f>
        <v>80 07 367245</v>
      </c>
      <c r="D555" t="str">
        <f>"4276011629652286"</f>
        <v>4276011629652286</v>
      </c>
      <c r="E555" t="str">
        <f>"2021-05-31"</f>
        <v>2021-05-31</v>
      </c>
      <c r="F555" t="str">
        <f>"Y"</f>
        <v>Y</v>
      </c>
      <c r="G555" t="str">
        <f>"Q"</f>
        <v>Q</v>
      </c>
      <c r="H555" t="str">
        <f>"40817810716991429866"</f>
        <v>40817810716991429866</v>
      </c>
      <c r="I555" t="str">
        <f>"8598"</f>
        <v>8598</v>
      </c>
      <c r="J555" t="str">
        <f>"0321"</f>
        <v>0321</v>
      </c>
      <c r="K555" t="str">
        <f>"0.00"</f>
        <v>0.00</v>
      </c>
      <c r="L555" t="str">
        <f>"453701 РЕСП БАШКОРТОСТАН   Г УЧАЛЫ   УЛ ПЕР. СТРОИТЕЛЬНЫЙ д. 4"</f>
        <v>453701 РЕСП БАШКОРТОСТАН   Г УЧАЛЫ   УЛ ПЕР. СТРОИТЕЛЬНЫЙ д. 4</v>
      </c>
      <c r="M555" t="str">
        <f t="shared" si="89"/>
        <v>2019-08-24</v>
      </c>
      <c r="N555" t="str">
        <f>"МАО ДМШ№1"</f>
        <v>МАО ДМШ№1</v>
      </c>
      <c r="O555" t="str">
        <f>"453700"</f>
        <v>453700</v>
      </c>
      <c r="P555" t="str">
        <f>"РЕСП БАШКОРТОСТАН"</f>
        <v>РЕСП БАШКОРТОСТАН</v>
      </c>
      <c r="Q555" t="str">
        <f>"Р-Н УЧАЛИНСКИЙ"</f>
        <v>Р-Н УЧАЛИНСКИЙ</v>
      </c>
      <c r="R555" t="str">
        <f>"Г УЧАЛЫ"</f>
        <v>Г УЧАЛЫ</v>
      </c>
      <c r="S555" t="str">
        <f>""</f>
        <v/>
      </c>
      <c r="T555" t="str">
        <f>"УЛ ЛЕН. КОМСОМОЛА"</f>
        <v>УЛ ЛЕН. КОМСОМОЛА</v>
      </c>
      <c r="U555" s="1" t="str">
        <f>"9"</f>
        <v>9</v>
      </c>
      <c r="V555" s="1" t="str">
        <f>""</f>
        <v/>
      </c>
      <c r="W555" s="1" t="str">
        <f>""</f>
        <v/>
      </c>
      <c r="X555" s="1" t="str">
        <f>""</f>
        <v/>
      </c>
      <c r="Y555" s="1" t="str">
        <f>""</f>
        <v/>
      </c>
      <c r="Z555" t="str">
        <f>""</f>
        <v/>
      </c>
      <c r="AA555" t="str">
        <f>""</f>
        <v/>
      </c>
      <c r="AB555" t="str">
        <f>"9659306633"</f>
        <v>9659306633</v>
      </c>
      <c r="AC555" t="str">
        <f>""</f>
        <v/>
      </c>
      <c r="AD555" t="str">
        <f>"9659306633"</f>
        <v>9659306633</v>
      </c>
      <c r="AE555" t="str">
        <f>""</f>
        <v/>
      </c>
    </row>
    <row r="556" spans="1:31" x14ac:dyDescent="0.45">
      <c r="A556" t="str">
        <f>"СОКОЛОВ ЮРИЙ ВИТАЛЬЕВИЧ"</f>
        <v>СОКОЛОВ ЮРИЙ ВИТАЛЬЕВИЧ</v>
      </c>
      <c r="B556" t="str">
        <f>"1968-04-02"</f>
        <v>1968-04-02</v>
      </c>
      <c r="C556" t="str">
        <f>"71 12 994516"</f>
        <v>71 12 994516</v>
      </c>
      <c r="D556" t="str">
        <f>"4279016708404753"</f>
        <v>4279016708404753</v>
      </c>
      <c r="E556" t="str">
        <f>"2021-05-31"</f>
        <v>2021-05-31</v>
      </c>
      <c r="F556" t="str">
        <f>"+"</f>
        <v>+</v>
      </c>
      <c r="G556" t="str">
        <f>"+"</f>
        <v>+</v>
      </c>
      <c r="H556" t="str">
        <f>"40817810316992200882"</f>
        <v>40817810316992200882</v>
      </c>
      <c r="I556" t="str">
        <f>"8647"</f>
        <v>8647</v>
      </c>
      <c r="J556" t="str">
        <f>"0087"</f>
        <v>0087</v>
      </c>
      <c r="K556" t="str">
        <f>"175000.00"</f>
        <v>175000.00</v>
      </c>
      <c r="L556" t="str">
        <f>"625000 ОБЛ ТЮМЕНСКАЯ   Г ТЮМЕНЬ   УЛ РЕСПУБЛИКИ д. 200"</f>
        <v>625000 ОБЛ ТЮМЕНСКАЯ   Г ТЮМЕНЬ   УЛ РЕСПУБЛИКИ д. 200</v>
      </c>
      <c r="M556" t="str">
        <f t="shared" si="89"/>
        <v>2019-08-24</v>
      </c>
      <c r="N556" t="str">
        <f>"67104115"</f>
        <v>67104115</v>
      </c>
      <c r="O556" t="str">
        <f>"625000"</f>
        <v>625000</v>
      </c>
      <c r="P556" t="str">
        <f>"ОБЛ ТЮМЕНСКАЯ"</f>
        <v>ОБЛ ТЮМЕНСКАЯ</v>
      </c>
      <c r="Q556" t="str">
        <f>""</f>
        <v/>
      </c>
      <c r="R556" t="str">
        <f>"Г ТЮМЕНЬ"</f>
        <v>Г ТЮМЕНЬ</v>
      </c>
      <c r="S556" t="str">
        <f>""</f>
        <v/>
      </c>
      <c r="T556" t="str">
        <f>"УЛ ВЕРЕСКОВАЯ"</f>
        <v>УЛ ВЕРЕСКОВАЯ</v>
      </c>
      <c r="U556" s="1" t="str">
        <f>"9"</f>
        <v>9</v>
      </c>
      <c r="V556" s="1" t="str">
        <f>""</f>
        <v/>
      </c>
      <c r="W556" s="1" t="str">
        <f>""</f>
        <v/>
      </c>
      <c r="X556" s="1" t="str">
        <f>""</f>
        <v/>
      </c>
      <c r="Y556" s="1" t="str">
        <f>"24"</f>
        <v>24</v>
      </c>
      <c r="Z556" t="str">
        <f>""</f>
        <v/>
      </c>
      <c r="AA556" t="str">
        <f>"3452272289"</f>
        <v>3452272289</v>
      </c>
      <c r="AB556" t="str">
        <f>"9630689634"</f>
        <v>9630689634</v>
      </c>
      <c r="AC556" t="str">
        <f>"9698005045"</f>
        <v>9698005045</v>
      </c>
      <c r="AD556" t="str">
        <f>"9630689634"</f>
        <v>9630689634</v>
      </c>
      <c r="AE556" t="str">
        <f>""</f>
        <v/>
      </c>
    </row>
    <row r="557" spans="1:31" x14ac:dyDescent="0.45">
      <c r="A557" t="str">
        <f>"МАКУХА ВИКТОР АЛЕКСЕЕВИЧ"</f>
        <v>МАКУХА ВИКТОР АЛЕКСЕЕВИЧ</v>
      </c>
      <c r="B557" t="str">
        <f>"1959-12-10"</f>
        <v>1959-12-10</v>
      </c>
      <c r="C557" t="str">
        <f>"67 04 415207"</f>
        <v>67 04 415207</v>
      </c>
      <c r="D557" t="str">
        <f>"4279016725141156"</f>
        <v>4279016725141156</v>
      </c>
      <c r="E557" t="str">
        <f>"2021-05-31"</f>
        <v>2021-05-31</v>
      </c>
      <c r="F557" t="str">
        <f>"+"</f>
        <v>+</v>
      </c>
      <c r="G557" t="str">
        <f>"+"</f>
        <v>+</v>
      </c>
      <c r="H557" t="str">
        <f>"40817810716992503053"</f>
        <v>40817810716992503053</v>
      </c>
      <c r="I557" t="str">
        <f>"5940"</f>
        <v>5940</v>
      </c>
      <c r="J557" t="str">
        <f>"0091"</f>
        <v>0091</v>
      </c>
      <c r="K557" t="str">
        <f>"130000.00"</f>
        <v>130000.00</v>
      </c>
      <c r="L557" t="str">
        <f>"628331 ОБЛ ТЮМЕНСКАЯ Р-Н НЕФТЕЮГАНСКИЙ   ПГТ ПОЙКОВСКИЙ МКР 2 д. 15А кв. 16"</f>
        <v>628331 ОБЛ ТЮМЕНСКАЯ Р-Н НЕФТЕЮГАНСКИЙ   ПГТ ПОЙКОВСКИЙ МКР 2 д. 15А кв. 16</v>
      </c>
      <c r="M557" t="str">
        <f t="shared" si="89"/>
        <v>2019-08-24</v>
      </c>
      <c r="N557" t="str">
        <f>"ПЕНСИОНЕР"</f>
        <v>ПЕНСИОНЕР</v>
      </c>
      <c r="O557" t="str">
        <f>"628331"</f>
        <v>628331</v>
      </c>
      <c r="P557" t="str">
        <f>"ОБЛ ТЮМЕНСКАЯ"</f>
        <v>ОБЛ ТЮМЕНСКАЯ</v>
      </c>
      <c r="Q557" t="str">
        <f>"Р-Н НЕФТЕЮГАНСКИЙ"</f>
        <v>Р-Н НЕФТЕЮГАНСКИЙ</v>
      </c>
      <c r="R557" t="str">
        <f>""</f>
        <v/>
      </c>
      <c r="S557" t="str">
        <f>"ПГТ ПОЙКОВСКИЙ"</f>
        <v>ПГТ ПОЙКОВСКИЙ</v>
      </c>
      <c r="T557" t="str">
        <f>"МКР 2"</f>
        <v>МКР 2</v>
      </c>
      <c r="U557" s="1" t="str">
        <f>"15А"</f>
        <v>15А</v>
      </c>
      <c r="V557" s="1" t="str">
        <f>""</f>
        <v/>
      </c>
      <c r="W557" s="1" t="str">
        <f>""</f>
        <v/>
      </c>
      <c r="X557" s="1" t="str">
        <f>""</f>
        <v/>
      </c>
      <c r="Y557" s="1" t="str">
        <f>"16"</f>
        <v>16</v>
      </c>
      <c r="Z557" t="str">
        <f>"3463213267"</f>
        <v>3463213267</v>
      </c>
      <c r="AA557" t="str">
        <f>"9821930519"</f>
        <v>9821930519</v>
      </c>
      <c r="AB557" t="str">
        <f>"9825963303"</f>
        <v>9825963303</v>
      </c>
      <c r="AC557" t="str">
        <f>"9821930519"</f>
        <v>9821930519</v>
      </c>
      <c r="AD557" t="str">
        <f>"9825963303"</f>
        <v>9825963303</v>
      </c>
      <c r="AE557" t="str">
        <f>""</f>
        <v/>
      </c>
    </row>
    <row r="558" spans="1:31" x14ac:dyDescent="0.45">
      <c r="A558" t="str">
        <f>"НУРГАЛЕЕВ ЭДУАРД АДАНИСОВИЧ"</f>
        <v>НУРГАЛЕЕВ ЭДУАРД АДАНИСОВИЧ</v>
      </c>
      <c r="B558" t="str">
        <f>"1974-08-03"</f>
        <v>1974-08-03</v>
      </c>
      <c r="C558" t="str">
        <f>"75 00 736048"</f>
        <v>75 00 736048</v>
      </c>
      <c r="D558" t="str">
        <f>"5313100467459284"</f>
        <v>5313100467459284</v>
      </c>
      <c r="E558" t="str">
        <f>"2021-03-31"</f>
        <v>2021-03-31</v>
      </c>
      <c r="F558" t="str">
        <f>"Q"</f>
        <v>Q</v>
      </c>
      <c r="G558" t="str">
        <f>"Q"</f>
        <v>Q</v>
      </c>
      <c r="H558" t="str">
        <f>"40817810916991464168"</f>
        <v>40817810916991464168</v>
      </c>
      <c r="I558" t="str">
        <f>"8597"</f>
        <v>8597</v>
      </c>
      <c r="J558" t="str">
        <f>"0493"</f>
        <v>0493</v>
      </c>
      <c r="K558" t="str">
        <f>"0.00"</f>
        <v>0.00</v>
      </c>
      <c r="L558" t="str">
        <f>"454000 ОБЛ ЧЕЛЯБИНСКАЯ   Г ЗЛАТОУСТ   УЛ ШИШКИНА д. 1"</f>
        <v>454000 ОБЛ ЧЕЛЯБИНСКАЯ   Г ЗЛАТОУСТ   УЛ ШИШКИНА д. 1</v>
      </c>
      <c r="M558" t="str">
        <f t="shared" si="89"/>
        <v>2019-08-24</v>
      </c>
      <c r="N558" t="str">
        <f>"НАЦ ПАРК ТАГАНАЙ"</f>
        <v>НАЦ ПАРК ТАГАНАЙ</v>
      </c>
      <c r="O558" t="str">
        <f>"454000"</f>
        <v>454000</v>
      </c>
      <c r="P558" t="str">
        <f>"ОБЛ ЧЕЛЯБИНСКАЯ"</f>
        <v>ОБЛ ЧЕЛЯБИНСКАЯ</v>
      </c>
      <c r="Q558" t="str">
        <f>""</f>
        <v/>
      </c>
      <c r="R558" t="str">
        <f>"Г ЗЛАТОУСТ"</f>
        <v>Г ЗЛАТОУСТ</v>
      </c>
      <c r="S558" t="str">
        <f>""</f>
        <v/>
      </c>
      <c r="T558" t="str">
        <f>"УЛ Н-ВОКЗАЛЬНАЯ 4-Я"</f>
        <v>УЛ Н-ВОКЗАЛЬНАЯ 4-Я</v>
      </c>
      <c r="U558" s="1" t="str">
        <f>"6"</f>
        <v>6</v>
      </c>
      <c r="V558" s="1" t="str">
        <f>""</f>
        <v/>
      </c>
      <c r="W558" s="1" t="str">
        <f>""</f>
        <v/>
      </c>
      <c r="X558" s="1" t="str">
        <f>""</f>
        <v/>
      </c>
      <c r="Y558" s="1" t="str">
        <f>"33"</f>
        <v>33</v>
      </c>
      <c r="Z558" t="str">
        <f>"9514568171"</f>
        <v>9514568171</v>
      </c>
      <c r="AA558" t="str">
        <f>"9127759096"</f>
        <v>9127759096</v>
      </c>
      <c r="AB558" t="str">
        <f>"9127759096"</f>
        <v>9127759096</v>
      </c>
      <c r="AC558" t="str">
        <f>"9127759096"</f>
        <v>9127759096</v>
      </c>
      <c r="AD558" t="str">
        <f>"9127759096"</f>
        <v>9127759096</v>
      </c>
      <c r="AE558" t="str">
        <f>"9514568171"</f>
        <v>9514568171</v>
      </c>
    </row>
    <row r="559" spans="1:31" x14ac:dyDescent="0.45">
      <c r="A559" t="str">
        <f>"БУТОРИН ИГОРЬ ОЛЕГОВИЧ"</f>
        <v>БУТОРИН ИГОРЬ ОЛЕГОВИЧ</v>
      </c>
      <c r="B559" t="str">
        <f>"1968-04-21"</f>
        <v>1968-04-21</v>
      </c>
      <c r="C559" t="str">
        <f>"71 12 997619"</f>
        <v>71 12 997619</v>
      </c>
      <c r="D559" t="str">
        <f>"5469016705585734"</f>
        <v>5469016705585734</v>
      </c>
      <c r="E559" t="str">
        <f>"2021-05-31"</f>
        <v>2021-05-31</v>
      </c>
      <c r="F559" t="str">
        <f>"Q"</f>
        <v>Q</v>
      </c>
      <c r="G559" t="str">
        <f>"Q"</f>
        <v>Q</v>
      </c>
      <c r="H559" t="str">
        <f>"40817810916992503167"</f>
        <v>40817810916992503167</v>
      </c>
      <c r="I559" t="str">
        <f>"8647"</f>
        <v>8647</v>
      </c>
      <c r="J559" t="str">
        <f>"0113"</f>
        <v>0113</v>
      </c>
      <c r="K559" t="str">
        <f>"0.00"</f>
        <v>0.00</v>
      </c>
      <c r="L559" t="str">
        <f>"625000 ОБЛ ТЮМЕНСКАЯ   Г ТЮМЕНЬ   УЛ РЕСПУБЛИКИ д. 52"</f>
        <v>625000 ОБЛ ТЮМЕНСКАЯ   Г ТЮМЕНЬ   УЛ РЕСПУБЛИКИ д. 52</v>
      </c>
      <c r="M559" t="str">
        <f t="shared" si="89"/>
        <v>2019-08-24</v>
      </c>
      <c r="N559" t="str">
        <f>"УПРАВЛЕНИЕ ДЕЛАМИ ТЮМЕНСКОЙ ОБЛАСТНОЙ ДУМЫ"</f>
        <v>УПРАВЛЕНИЕ ДЕЛАМИ ТЮМЕНСКОЙ ОБЛАСТНОЙ ДУМЫ</v>
      </c>
      <c r="O559" t="str">
        <f>"625000"</f>
        <v>625000</v>
      </c>
      <c r="P559" t="str">
        <f>"ОБЛ ТЮМЕНСКАЯ"</f>
        <v>ОБЛ ТЮМЕНСКАЯ</v>
      </c>
      <c r="Q559" t="str">
        <f>""</f>
        <v/>
      </c>
      <c r="R559" t="str">
        <f>"Г ТЮМЕНЬ"</f>
        <v>Г ТЮМЕНЬ</v>
      </c>
      <c r="S559" t="str">
        <f>""</f>
        <v/>
      </c>
      <c r="T559" t="str">
        <f>"УЛ ШИРОТНАЯ"</f>
        <v>УЛ ШИРОТНАЯ</v>
      </c>
      <c r="U559" s="1" t="str">
        <f>"129"</f>
        <v>129</v>
      </c>
      <c r="V559" s="1" t="str">
        <f>""</f>
        <v/>
      </c>
      <c r="W559" s="1" t="str">
        <f>"1"</f>
        <v>1</v>
      </c>
      <c r="X559" s="1" t="str">
        <f>""</f>
        <v/>
      </c>
      <c r="Y559" s="1" t="str">
        <f>"9"</f>
        <v>9</v>
      </c>
      <c r="Z559" t="str">
        <f>"3452466871"</f>
        <v>3452466871</v>
      </c>
      <c r="AA559" t="str">
        <f>"3452375226"</f>
        <v>3452375226</v>
      </c>
      <c r="AB559" t="str">
        <f>"9048880887"</f>
        <v>9048880887</v>
      </c>
      <c r="AC559" t="str">
        <f>"3452375226"</f>
        <v>3452375226</v>
      </c>
      <c r="AD559" t="str">
        <f>"9048880887"</f>
        <v>9048880887</v>
      </c>
      <c r="AE559" t="str">
        <f>"3452466871"</f>
        <v>3452466871</v>
      </c>
    </row>
    <row r="560" spans="1:31" x14ac:dyDescent="0.45">
      <c r="A560" t="str">
        <f>"СЕНАТОРОВ ЕВГЕНИЙ СЕРГЕЕВИЧ"</f>
        <v>СЕНАТОРОВ ЕВГЕНИЙ СЕРГЕЕВИЧ</v>
      </c>
      <c r="B560" t="str">
        <f>"1957-09-03"</f>
        <v>1957-09-03</v>
      </c>
      <c r="C560" t="str">
        <f>"65 07 272289"</f>
        <v>65 07 272289</v>
      </c>
      <c r="D560" t="str">
        <f>"4854630073226345"</f>
        <v>4854630073226345</v>
      </c>
      <c r="E560" t="str">
        <f>"2021-05-31"</f>
        <v>2021-05-31</v>
      </c>
      <c r="F560" t="str">
        <f>"+"</f>
        <v>+</v>
      </c>
      <c r="G560" t="str">
        <f>"+"</f>
        <v>+</v>
      </c>
      <c r="H560" t="str">
        <f>"40817810116992455824"</f>
        <v>40817810116992455824</v>
      </c>
      <c r="I560" t="str">
        <f>"5940"</f>
        <v>5940</v>
      </c>
      <c r="J560" t="str">
        <f>"0108"</f>
        <v>0108</v>
      </c>
      <c r="K560" t="str">
        <f>"100000.00"</f>
        <v>100000.00</v>
      </c>
      <c r="L560" t="str">
        <f>"628400 ОБЛ ТЮМЕНСКАЯ   Г СУРГУТ   УЛ МЕХАНИЗАТОРОВ д. 29"</f>
        <v>628400 ОБЛ ТЮМЕНСКАЯ   Г СУРГУТ   УЛ МЕХАНИЗАТОРОВ д. 29</v>
      </c>
      <c r="M560" t="str">
        <f t="shared" si="89"/>
        <v>2019-08-24</v>
      </c>
      <c r="N560" t="str">
        <f>"ПЕНСИОНЕР"</f>
        <v>ПЕНСИОНЕР</v>
      </c>
      <c r="O560" t="str">
        <f>"628400"</f>
        <v>628400</v>
      </c>
      <c r="P560" t="str">
        <f>"ОБЛ ТЮМЕНСКАЯ"</f>
        <v>ОБЛ ТЮМЕНСКАЯ</v>
      </c>
      <c r="Q560" t="str">
        <f>""</f>
        <v/>
      </c>
      <c r="R560" t="str">
        <f>"Г СУРГУТ"</f>
        <v>Г СУРГУТ</v>
      </c>
      <c r="S560" t="str">
        <f>""</f>
        <v/>
      </c>
      <c r="T560" t="str">
        <f>"УЛ МЕХАНИЗАТОРОВ"</f>
        <v>УЛ МЕХАНИЗАТОРОВ</v>
      </c>
      <c r="U560" s="1" t="str">
        <f>"29"</f>
        <v>29</v>
      </c>
      <c r="V560" s="1" t="str">
        <f>""</f>
        <v/>
      </c>
      <c r="W560" s="1" t="str">
        <f>""</f>
        <v/>
      </c>
      <c r="X560" s="1" t="str">
        <f>""</f>
        <v/>
      </c>
      <c r="Y560" s="1" t="str">
        <f>""</f>
        <v/>
      </c>
      <c r="Z560" t="str">
        <f>""</f>
        <v/>
      </c>
      <c r="AA560" t="str">
        <f>"9505285765"</f>
        <v>9505285765</v>
      </c>
      <c r="AB560" t="str">
        <f>"9122992894"</f>
        <v>9122992894</v>
      </c>
      <c r="AC560" t="str">
        <f>"9505285765"</f>
        <v>9505285765</v>
      </c>
      <c r="AD560" t="str">
        <f>"9122992894"</f>
        <v>9122992894</v>
      </c>
      <c r="AE560" t="str">
        <f>""</f>
        <v/>
      </c>
    </row>
    <row r="561" spans="1:31" x14ac:dyDescent="0.45">
      <c r="A561" t="str">
        <f>"ИШМУРАТОВА АЛИНА ТИМУРОВНА"</f>
        <v>ИШМУРАТОВА АЛИНА ТИМУРОВНА</v>
      </c>
      <c r="B561" t="str">
        <f>"1992-12-14"</f>
        <v>1992-12-14</v>
      </c>
      <c r="C561" t="str">
        <f>"80 18 791823"</f>
        <v>80 18 791823</v>
      </c>
      <c r="D561" t="str">
        <f>"4854630376269885"</f>
        <v>4854630376269885</v>
      </c>
      <c r="E561" t="str">
        <f>"2020-11-30"</f>
        <v>2020-11-30</v>
      </c>
      <c r="F561" t="str">
        <f>"Q"</f>
        <v>Q</v>
      </c>
      <c r="G561" t="str">
        <f>"Q"</f>
        <v>Q</v>
      </c>
      <c r="H561" t="str">
        <f>"40817810216991427847"</f>
        <v>40817810216991427847</v>
      </c>
      <c r="I561" t="str">
        <f>"8598"</f>
        <v>8598</v>
      </c>
      <c r="J561" t="str">
        <f>"0159"</f>
        <v>0159</v>
      </c>
      <c r="K561" t="str">
        <f>"0.00"</f>
        <v>0.00</v>
      </c>
      <c r="L561" t="str">
        <f>"450000 РЕСП БАШКОРТОСТАН   Г УФА   УЛ ВОКЗАЛЬНАЯ д. 20А"</f>
        <v>450000 РЕСП БАШКОРТОСТАН   Г УФА   УЛ ВОКЗАЛЬНАЯ д. 20А</v>
      </c>
      <c r="M561" t="str">
        <f t="shared" si="89"/>
        <v>2019-08-24</v>
      </c>
      <c r="N561" t="str">
        <f>"ОАО РЖД"</f>
        <v>ОАО РЖД</v>
      </c>
      <c r="O561" t="str">
        <f>"450000"</f>
        <v>450000</v>
      </c>
      <c r="P561" t="str">
        <f>"РЕСП БАШКОРТОСТАН"</f>
        <v>РЕСП БАШКОРТОСТАН</v>
      </c>
      <c r="Q561" t="str">
        <f>""</f>
        <v/>
      </c>
      <c r="R561" t="str">
        <f>"Г УФА"</f>
        <v>Г УФА</v>
      </c>
      <c r="S561" t="str">
        <f>""</f>
        <v/>
      </c>
      <c r="T561" t="str">
        <f>"УЛ РОССИЙСКАЯ"</f>
        <v>УЛ РОССИЙСКАЯ</v>
      </c>
      <c r="U561" s="1" t="str">
        <f>"33"</f>
        <v>33</v>
      </c>
      <c r="V561" s="1" t="str">
        <f>""</f>
        <v/>
      </c>
      <c r="W561" s="1" t="str">
        <f>"3"</f>
        <v>3</v>
      </c>
      <c r="X561" s="1" t="str">
        <f>""</f>
        <v/>
      </c>
      <c r="Y561" s="1" t="str">
        <f>"14"</f>
        <v>14</v>
      </c>
      <c r="Z561" t="str">
        <f>"9872595681"</f>
        <v>9872595681</v>
      </c>
      <c r="AA561" t="str">
        <f>"9872595681"</f>
        <v>9872595681</v>
      </c>
      <c r="AB561" t="str">
        <f>"9872595681"</f>
        <v>9872595681</v>
      </c>
      <c r="AC561" t="str">
        <f>"9872595681"</f>
        <v>9872595681</v>
      </c>
      <c r="AD561" t="str">
        <f>"9872595681"</f>
        <v>9872595681</v>
      </c>
      <c r="AE561" t="str">
        <f>"9872595681"</f>
        <v>9872595681</v>
      </c>
    </row>
    <row r="562" spans="1:31" x14ac:dyDescent="0.45">
      <c r="A562" t="str">
        <f>"ГОРШКОВА ЛИЛИЯ РАДИКОВНА"</f>
        <v>ГОРШКОВА ЛИЛИЯ РАДИКОВНА</v>
      </c>
      <c r="B562" t="str">
        <f>"1983-05-29"</f>
        <v>1983-05-29</v>
      </c>
      <c r="C562" t="str">
        <f>"80 05 215608"</f>
        <v>80 05 215608</v>
      </c>
      <c r="D562" t="str">
        <f>"4854630228448166"</f>
        <v>4854630228448166</v>
      </c>
      <c r="E562" t="str">
        <f>"2021-05-31"</f>
        <v>2021-05-31</v>
      </c>
      <c r="F562" t="str">
        <f t="shared" ref="F562:G564" si="97">"+"</f>
        <v>+</v>
      </c>
      <c r="G562" t="str">
        <f t="shared" si="97"/>
        <v>+</v>
      </c>
      <c r="H562" t="str">
        <f>"40817810516991427848"</f>
        <v>40817810516991427848</v>
      </c>
      <c r="I562" t="str">
        <f>"8598"</f>
        <v>8598</v>
      </c>
      <c r="J562" t="str">
        <f>"0655"</f>
        <v>0655</v>
      </c>
      <c r="K562" t="str">
        <f>"35000.00"</f>
        <v>35000.00</v>
      </c>
      <c r="L562" t="str">
        <f>"452750 РЕСП БАШКОРТОСТАН   Г ТУЙМАЗЫ   УЛ ГОРЬКОГО д. 37 корп. А"</f>
        <v>452750 РЕСП БАШКОРТОСТАН   Г ТУЙМАЗЫ   УЛ ГОРЬКОГО д. 37 корп. А</v>
      </c>
      <c r="M562" t="str">
        <f t="shared" si="89"/>
        <v>2019-08-24</v>
      </c>
      <c r="N562" t="str">
        <f>"МЕТЕОСТАНЦИЯ"</f>
        <v>МЕТЕОСТАНЦИЯ</v>
      </c>
      <c r="O562" t="str">
        <f>"452750"</f>
        <v>452750</v>
      </c>
      <c r="P562" t="str">
        <f>"РЕСП БАШКОРТОСТАН"</f>
        <v>РЕСП БАШКОРТОСТАН</v>
      </c>
      <c r="Q562" t="str">
        <f>""</f>
        <v/>
      </c>
      <c r="R562" t="str">
        <f>"Г ТУЙМАЗЫ"</f>
        <v>Г ТУЙМАЗЫ</v>
      </c>
      <c r="S562" t="str">
        <f>""</f>
        <v/>
      </c>
      <c r="T562" t="str">
        <f>"УЛ МИЧУРИНА"</f>
        <v>УЛ МИЧУРИНА</v>
      </c>
      <c r="U562" s="1" t="str">
        <f>"19Б"</f>
        <v>19Б</v>
      </c>
      <c r="V562" s="1" t="str">
        <f>""</f>
        <v/>
      </c>
      <c r="W562" s="1" t="str">
        <f>""</f>
        <v/>
      </c>
      <c r="X562" s="1" t="str">
        <f>""</f>
        <v/>
      </c>
      <c r="Y562" s="1" t="str">
        <f>"2"</f>
        <v>2</v>
      </c>
      <c r="Z562" t="str">
        <f>""</f>
        <v/>
      </c>
      <c r="AA562" t="str">
        <f>"3478200000"</f>
        <v>3478200000</v>
      </c>
      <c r="AB562" t="str">
        <f>"9196126702"</f>
        <v>9196126702</v>
      </c>
      <c r="AC562" t="str">
        <f>"3478200000"</f>
        <v>3478200000</v>
      </c>
      <c r="AD562" t="str">
        <f>"9196126702"</f>
        <v>9196126702</v>
      </c>
      <c r="AE562" t="str">
        <f>""</f>
        <v/>
      </c>
    </row>
    <row r="563" spans="1:31" x14ac:dyDescent="0.45">
      <c r="A563" t="str">
        <f>"ХАРИТОНОВА ИРИНА ИГОРЕВНА"</f>
        <v>ХАРИТОНОВА ИРИНА ИГОРЕВНА</v>
      </c>
      <c r="B563" t="str">
        <f>"1961-04-04"</f>
        <v>1961-04-04</v>
      </c>
      <c r="C563" t="str">
        <f>"65 07 170558"</f>
        <v>65 07 170558</v>
      </c>
      <c r="D563" t="str">
        <f>"4854630416959511"</f>
        <v>4854630416959511</v>
      </c>
      <c r="E563" t="str">
        <f>"2021-05-31"</f>
        <v>2021-05-31</v>
      </c>
      <c r="F563" t="str">
        <f t="shared" si="97"/>
        <v>+</v>
      </c>
      <c r="G563" t="str">
        <f t="shared" si="97"/>
        <v>+</v>
      </c>
      <c r="H563" t="str">
        <f>"40817810716991464180"</f>
        <v>40817810716991464180</v>
      </c>
      <c r="I563" t="str">
        <f>"7003"</f>
        <v>7003</v>
      </c>
      <c r="J563" t="str">
        <f>"0419"</f>
        <v>0419</v>
      </c>
      <c r="K563" t="str">
        <f>"18000.00"</f>
        <v>18000.00</v>
      </c>
      <c r="L563" t="str">
        <f>"620137 ОБЛ СВЕРДЛОВСКАЯ   Г ЕКАТЕРИНБУРГ   УЛ МЕНДЕЛЕЕВА д. 11 кв. 69"</f>
        <v>620137 ОБЛ СВЕРДЛОВСКАЯ   Г ЕКАТЕРИНБУРГ   УЛ МЕНДЕЛЕЕВА д. 11 кв. 69</v>
      </c>
      <c r="M563" t="str">
        <f t="shared" si="89"/>
        <v>2019-08-24</v>
      </c>
      <c r="N563" t="str">
        <f>"ПЕНСИОНЕР"</f>
        <v>ПЕНСИОНЕР</v>
      </c>
      <c r="O563" t="str">
        <f>"620137"</f>
        <v>620137</v>
      </c>
      <c r="P563" t="str">
        <f>"ОБЛ СВЕРДЛОВСКАЯ"</f>
        <v>ОБЛ СВЕРДЛОВСКАЯ</v>
      </c>
      <c r="Q563" t="str">
        <f>""</f>
        <v/>
      </c>
      <c r="R563" t="str">
        <f>"Г ЕКАТЕРИНБУРГ"</f>
        <v>Г ЕКАТЕРИНБУРГ</v>
      </c>
      <c r="S563" t="str">
        <f>""</f>
        <v/>
      </c>
      <c r="T563" t="str">
        <f>"УЛ МЕНДЕЛЕЕВА"</f>
        <v>УЛ МЕНДЕЛЕЕВА</v>
      </c>
      <c r="U563" s="1" t="str">
        <f>"11"</f>
        <v>11</v>
      </c>
      <c r="V563" s="1" t="str">
        <f>""</f>
        <v/>
      </c>
      <c r="W563" s="1" t="str">
        <f>""</f>
        <v/>
      </c>
      <c r="X563" s="1" t="str">
        <f>""</f>
        <v/>
      </c>
      <c r="Y563" s="1" t="str">
        <f>"69"</f>
        <v>69</v>
      </c>
      <c r="Z563" t="str">
        <f>"9122049649"</f>
        <v>9122049649</v>
      </c>
      <c r="AA563" t="str">
        <f>"3433410287"</f>
        <v>3433410287</v>
      </c>
      <c r="AB563" t="str">
        <f>"9122049649"</f>
        <v>9122049649</v>
      </c>
      <c r="AC563" t="str">
        <f>"9122049649"</f>
        <v>9122049649</v>
      </c>
      <c r="AD563" t="str">
        <f>"9122049649"</f>
        <v>9122049649</v>
      </c>
      <c r="AE563" t="str">
        <f>"9122049649"</f>
        <v>9122049649</v>
      </c>
    </row>
    <row r="564" spans="1:31" x14ac:dyDescent="0.45">
      <c r="A564" t="str">
        <f>"БАЙМУРЗИНА ТАТЬЯНА ЛЕОНИДОВНА"</f>
        <v>БАЙМУРЗИНА ТАТЬЯНА ЛЕОНИДОВНА</v>
      </c>
      <c r="B564" t="str">
        <f>"1958-11-12"</f>
        <v>1958-11-12</v>
      </c>
      <c r="C564" t="str">
        <f>"65 05 346421"</f>
        <v>65 05 346421</v>
      </c>
      <c r="D564" t="str">
        <f>"4854630379803334"</f>
        <v>4854630379803334</v>
      </c>
      <c r="E564" t="str">
        <f>"2021-04-30"</f>
        <v>2021-04-30</v>
      </c>
      <c r="F564" t="str">
        <f t="shared" si="97"/>
        <v>+</v>
      </c>
      <c r="G564" t="str">
        <f t="shared" si="97"/>
        <v>+</v>
      </c>
      <c r="H564" t="str">
        <f>"40817810116991427853"</f>
        <v>40817810116991427853</v>
      </c>
      <c r="I564" t="str">
        <f>"7003"</f>
        <v>7003</v>
      </c>
      <c r="J564" t="str">
        <f>"0796"</f>
        <v>0796</v>
      </c>
      <c r="K564" t="str">
        <f>"25000.00"</f>
        <v>25000.00</v>
      </c>
      <c r="L564" t="str">
        <f>"620000 ОБЛ СВЕРДЛОВСКАЯ   Г ЕКАТЕРИНБУРГ   УЛ БЛЮХЕРА д. 3"</f>
        <v>620000 ОБЛ СВЕРДЛОВСКАЯ   Г ЕКАТЕРИНБУРГ   УЛ БЛЮХЕРА д. 3</v>
      </c>
      <c r="M564" t="str">
        <f t="shared" si="89"/>
        <v>2019-08-24</v>
      </c>
      <c r="N564" t="str">
        <f>"ООО ГИФАС"</f>
        <v>ООО ГИФАС</v>
      </c>
      <c r="O564" t="str">
        <f>"620000"</f>
        <v>620000</v>
      </c>
      <c r="P564" t="str">
        <f>"ОБЛ СВЕРДЛОВСКАЯ"</f>
        <v>ОБЛ СВЕРДЛОВСКАЯ</v>
      </c>
      <c r="Q564" t="str">
        <f>""</f>
        <v/>
      </c>
      <c r="R564" t="str">
        <f>"Г БЕРЕЗОВСКИЙ"</f>
        <v>Г БЕРЕЗОВСКИЙ</v>
      </c>
      <c r="S564" t="str">
        <f>""</f>
        <v/>
      </c>
      <c r="T564" t="str">
        <f>"УЛ СМИРНОВА"</f>
        <v>УЛ СМИРНОВА</v>
      </c>
      <c r="U564" s="1" t="str">
        <f>"16"</f>
        <v>16</v>
      </c>
      <c r="V564" s="1" t="str">
        <f>""</f>
        <v/>
      </c>
      <c r="W564" s="1" t="str">
        <f>""</f>
        <v/>
      </c>
      <c r="X564" s="1" t="str">
        <f>""</f>
        <v/>
      </c>
      <c r="Y564" s="1" t="str">
        <f>"60"</f>
        <v>60</v>
      </c>
      <c r="Z564" t="str">
        <f>""</f>
        <v/>
      </c>
      <c r="AA564" t="str">
        <f>"+7 (34369) 30674"</f>
        <v>+7 (34369) 30674</v>
      </c>
      <c r="AB564" t="str">
        <f>"+7 (912) 2837855"</f>
        <v>+7 (912) 2837855</v>
      </c>
      <c r="AC564" t="str">
        <f>"9122837855"</f>
        <v>9122837855</v>
      </c>
      <c r="AD564" t="str">
        <f>"9122837855"</f>
        <v>9122837855</v>
      </c>
      <c r="AE564" t="str">
        <f>""</f>
        <v/>
      </c>
    </row>
    <row r="565" spans="1:31" x14ac:dyDescent="0.45">
      <c r="A565" t="str">
        <f>"КИЧИГИНА СВЕТЛАНА АНАТОЛЬЕВНА"</f>
        <v>КИЧИГИНА СВЕТЛАНА АНАТОЛЬЕВНА</v>
      </c>
      <c r="B565" t="str">
        <f>"1960-12-07"</f>
        <v>1960-12-07</v>
      </c>
      <c r="C565" t="str">
        <f>"65 05 679910"</f>
        <v>65 05 679910</v>
      </c>
      <c r="D565" t="str">
        <f>"4854630415717720"</f>
        <v>4854630415717720</v>
      </c>
      <c r="E565" t="str">
        <f>"2021-05-31"</f>
        <v>2021-05-31</v>
      </c>
      <c r="F565" t="str">
        <f>"Y"</f>
        <v>Y</v>
      </c>
      <c r="G565" t="str">
        <f>"Q"</f>
        <v>Q</v>
      </c>
      <c r="H565" t="str">
        <f>"40817810416991464189"</f>
        <v>40817810416991464189</v>
      </c>
      <c r="I565" t="str">
        <f>"7003"</f>
        <v>7003</v>
      </c>
      <c r="J565" t="str">
        <f>"0383"</f>
        <v>0383</v>
      </c>
      <c r="K565" t="str">
        <f>"0.00"</f>
        <v>0.00</v>
      </c>
      <c r="L565" t="str">
        <f>"620000 ОБЛ СВЕРДЛОВСКАЯ   Г ЕКАТЕРИНБУРГ   УЛ АК. БАРДИНА д. 42 кв. 3"</f>
        <v>620000 ОБЛ СВЕРДЛОВСКАЯ   Г ЕКАТЕРИНБУРГ   УЛ АК. БАРДИНА д. 42 кв. 3</v>
      </c>
      <c r="M565" t="str">
        <f t="shared" si="89"/>
        <v>2019-08-24</v>
      </c>
      <c r="N565" t="str">
        <f>"ПЕНСИОНЕР"</f>
        <v>ПЕНСИОНЕР</v>
      </c>
      <c r="O565" t="str">
        <f>"620000"</f>
        <v>620000</v>
      </c>
      <c r="P565" t="str">
        <f>"ОБЛ СВЕРДЛОВСКАЯ"</f>
        <v>ОБЛ СВЕРДЛОВСКАЯ</v>
      </c>
      <c r="Q565" t="str">
        <f>""</f>
        <v/>
      </c>
      <c r="R565" t="str">
        <f>"Г ЕКАТЕРИНБУРГ"</f>
        <v>Г ЕКАТЕРИНБУРГ</v>
      </c>
      <c r="S565" t="str">
        <f>""</f>
        <v/>
      </c>
      <c r="T565" t="str">
        <f>"УЛ АК. БАРДИНА"</f>
        <v>УЛ АК. БАРДИНА</v>
      </c>
      <c r="U565" s="1" t="str">
        <f>"42"</f>
        <v>42</v>
      </c>
      <c r="V565" s="1" t="str">
        <f>""</f>
        <v/>
      </c>
      <c r="W565" s="1" t="str">
        <f>""</f>
        <v/>
      </c>
      <c r="X565" s="1" t="str">
        <f>""</f>
        <v/>
      </c>
      <c r="Y565" s="1" t="str">
        <f>"3"</f>
        <v>3</v>
      </c>
      <c r="Z565" t="str">
        <f>""</f>
        <v/>
      </c>
      <c r="AA565" t="str">
        <f>"+7 (904) 9861302"</f>
        <v>+7 (904) 9861302</v>
      </c>
      <c r="AB565" t="str">
        <f>"+7 (904) 9861302"</f>
        <v>+7 (904) 9861302</v>
      </c>
      <c r="AC565" t="str">
        <f>"9827530320"</f>
        <v>9827530320</v>
      </c>
      <c r="AD565" t="str">
        <f>"9827530320"</f>
        <v>9827530320</v>
      </c>
      <c r="AE565" t="str">
        <f>""</f>
        <v/>
      </c>
    </row>
    <row r="566" spans="1:31" x14ac:dyDescent="0.45">
      <c r="A566" t="str">
        <f>"ШУМИЛОВА АЛЕКСАНДРА ВИКТОРОВНА"</f>
        <v>ШУМИЛОВА АЛЕКСАНДРА ВИКТОРОВНА</v>
      </c>
      <c r="B566" t="str">
        <f>"1990-12-05"</f>
        <v>1990-12-05</v>
      </c>
      <c r="C566" t="str">
        <f>"71 10 818695"</f>
        <v>71 10 818695</v>
      </c>
      <c r="D566" t="str">
        <f>"4854630399867459"</f>
        <v>4854630399867459</v>
      </c>
      <c r="E566" t="str">
        <f>"2021-04-30"</f>
        <v>2021-04-30</v>
      </c>
      <c r="F566" t="str">
        <f>"+"</f>
        <v>+</v>
      </c>
      <c r="G566" t="str">
        <f>"+"</f>
        <v>+</v>
      </c>
      <c r="H566" t="str">
        <f>"40817810816992067428"</f>
        <v>40817810816992067428</v>
      </c>
      <c r="I566" t="str">
        <f>"8647"</f>
        <v>8647</v>
      </c>
      <c r="J566" t="str">
        <f>"0183"</f>
        <v>0183</v>
      </c>
      <c r="K566" t="str">
        <f>"55000.00"</f>
        <v>55000.00</v>
      </c>
      <c r="L566" t="str">
        <f>"625000 ОБЛ ТЮМЕНСКАЯ   Г ТЮМЕНЬ   УЛ ГНАРОВСКАЯ д. 7"</f>
        <v>625000 ОБЛ ТЮМЕНСКАЯ   Г ТЮМЕНЬ   УЛ ГНАРОВСКАЯ д. 7</v>
      </c>
      <c r="M566" t="str">
        <f t="shared" si="89"/>
        <v>2019-08-24</v>
      </c>
      <c r="N566" t="str">
        <f>"КЛИНИНКА ДАРЬИ СУХОВОЙ"</f>
        <v>КЛИНИНКА ДАРЬИ СУХОВОЙ</v>
      </c>
      <c r="O566" t="str">
        <f>"625000"</f>
        <v>625000</v>
      </c>
      <c r="P566" t="str">
        <f>"ОБЛ ТЮМЕНСКАЯ"</f>
        <v>ОБЛ ТЮМЕНСКАЯ</v>
      </c>
      <c r="Q566" t="str">
        <f>"Р-Н ТЮМЕНСКИЙ"</f>
        <v>Р-Н ТЮМЕНСКИЙ</v>
      </c>
      <c r="R566" t="str">
        <f>""</f>
        <v/>
      </c>
      <c r="S566" t="str">
        <f>"Д НАРИМАНОВО"</f>
        <v>Д НАРИМАНОВО</v>
      </c>
      <c r="T566" t="str">
        <f>"УЛ СОВХОЗНАЯ"</f>
        <v>УЛ СОВХОЗНАЯ</v>
      </c>
      <c r="U566" s="1" t="str">
        <f>"9"</f>
        <v>9</v>
      </c>
      <c r="V566" s="1" t="str">
        <f>""</f>
        <v/>
      </c>
      <c r="W566" s="1" t="str">
        <f>""</f>
        <v/>
      </c>
      <c r="X566" s="1" t="str">
        <f>""</f>
        <v/>
      </c>
      <c r="Y566" s="1" t="str">
        <f>""</f>
        <v/>
      </c>
      <c r="Z566" t="str">
        <f>""</f>
        <v/>
      </c>
      <c r="AA566" t="str">
        <f>"9829645912"</f>
        <v>9829645912</v>
      </c>
      <c r="AB566" t="str">
        <f>"9028500231"</f>
        <v>9028500231</v>
      </c>
      <c r="AC566" t="str">
        <f>"9829645912"</f>
        <v>9829645912</v>
      </c>
      <c r="AD566" t="str">
        <f>"9028500231"</f>
        <v>9028500231</v>
      </c>
      <c r="AE566" t="str">
        <f>""</f>
        <v/>
      </c>
    </row>
    <row r="567" spans="1:31" x14ac:dyDescent="0.45">
      <c r="A567" t="str">
        <f>"КОСЕНКО ВИКТОР ВАЛЕНТИНОВИЧ"</f>
        <v>КОСЕНКО ВИКТОР ВАЛЕНТИНОВИЧ</v>
      </c>
      <c r="B567" t="str">
        <f>"1971-11-09"</f>
        <v>1971-11-09</v>
      </c>
      <c r="C567" t="str">
        <f>"65 16 348973"</f>
        <v>65 16 348973</v>
      </c>
      <c r="D567" t="str">
        <f>"4854630428170818"</f>
        <v>4854630428170818</v>
      </c>
      <c r="E567" t="str">
        <f>"2021-05-31"</f>
        <v>2021-05-31</v>
      </c>
      <c r="F567" t="str">
        <f>"+"</f>
        <v>+</v>
      </c>
      <c r="G567" t="str">
        <f>"+"</f>
        <v>+</v>
      </c>
      <c r="H567" t="str">
        <f>"40817810816991464190"</f>
        <v>40817810816991464190</v>
      </c>
      <c r="I567" t="str">
        <f>"7003"</f>
        <v>7003</v>
      </c>
      <c r="J567" t="str">
        <f>"0681"</f>
        <v>0681</v>
      </c>
      <c r="K567" t="str">
        <f>"100000.00"</f>
        <v>100000.00</v>
      </c>
      <c r="L567" t="str">
        <f>"623100 ОБЛ СВЕРДЛОВСКАЯ   Г ПЕРВОУРАЛЬСК   УЛ КИРОВА д. 35"</f>
        <v>623100 ОБЛ СВЕРДЛОВСКАЯ   Г ПЕРВОУРАЛЬСК   УЛ КИРОВА д. 35</v>
      </c>
      <c r="M567" t="str">
        <f t="shared" si="89"/>
        <v>2019-08-24</v>
      </c>
      <c r="N567" t="str">
        <f>"ПЕНСИОНЕР"</f>
        <v>ПЕНСИОНЕР</v>
      </c>
      <c r="O567" t="str">
        <f>"623100"</f>
        <v>623100</v>
      </c>
      <c r="P567" t="str">
        <f>"ОБЛ СВЕРДЛОВСКАЯ"</f>
        <v>ОБЛ СВЕРДЛОВСКАЯ</v>
      </c>
      <c r="Q567" t="str">
        <f>""</f>
        <v/>
      </c>
      <c r="R567" t="str">
        <f>"Г ПЕРВОУРАЛЬСК"</f>
        <v>Г ПЕРВОУРАЛЬСК</v>
      </c>
      <c r="S567" t="str">
        <f>""</f>
        <v/>
      </c>
      <c r="T567" t="str">
        <f>"УЛ КИРОВА"</f>
        <v>УЛ КИРОВА</v>
      </c>
      <c r="U567" s="1" t="str">
        <f>"35"</f>
        <v>35</v>
      </c>
      <c r="V567" s="1" t="str">
        <f>""</f>
        <v/>
      </c>
      <c r="W567" s="1" t="str">
        <f>""</f>
        <v/>
      </c>
      <c r="X567" s="1" t="str">
        <f>""</f>
        <v/>
      </c>
      <c r="Y567" s="1" t="str">
        <f>""</f>
        <v/>
      </c>
      <c r="Z567" t="str">
        <f>"3439270502"</f>
        <v>3439270502</v>
      </c>
      <c r="AA567" t="str">
        <f>"3439232544"</f>
        <v>3439232544</v>
      </c>
      <c r="AB567" t="str">
        <f>"9226065477"</f>
        <v>9226065477</v>
      </c>
      <c r="AC567" t="str">
        <f>"9226065177"</f>
        <v>9226065177</v>
      </c>
      <c r="AD567" t="str">
        <f>"9226065477"</f>
        <v>9226065477</v>
      </c>
      <c r="AE567" t="str">
        <f>""</f>
        <v/>
      </c>
    </row>
    <row r="568" spans="1:31" x14ac:dyDescent="0.45">
      <c r="A568" t="str">
        <f>"САДЫКОВА СОФЬЯ ФАТЫХОВНА"</f>
        <v>САДЫКОВА СОФЬЯ ФАТЫХОВНА</v>
      </c>
      <c r="B568" t="str">
        <f>"1970-07-17"</f>
        <v>1970-07-17</v>
      </c>
      <c r="C568" t="str">
        <f>"71 15 160240"</f>
        <v>71 15 160240</v>
      </c>
      <c r="D568" t="str">
        <f>"4854630103218577"</f>
        <v>4854630103218577</v>
      </c>
      <c r="E568" t="str">
        <f>"2021-05-31"</f>
        <v>2021-05-31</v>
      </c>
      <c r="F568" t="str">
        <f>"Q"</f>
        <v>Q</v>
      </c>
      <c r="G568" t="str">
        <f>"Q"</f>
        <v>Q</v>
      </c>
      <c r="H568" t="str">
        <f>"40817810967720715643"</f>
        <v>40817810967720715643</v>
      </c>
      <c r="I568" t="str">
        <f>"0029"</f>
        <v>0029</v>
      </c>
      <c r="J568" t="str">
        <f>"0089"</f>
        <v>0089</v>
      </c>
      <c r="K568" t="str">
        <f>"0.00"</f>
        <v>0.00</v>
      </c>
      <c r="L568" t="str">
        <f>"625000 ОБЛ ТЮМЕНСКАЯ   Г ТЮМЕНЬ   УЛ НИКОЛАЯ ЧАПЛИНА д. 126/6"</f>
        <v>625000 ОБЛ ТЮМЕНСКАЯ   Г ТЮМЕНЬ   УЛ НИКОЛАЯ ЧАПЛИНА д. 126/6</v>
      </c>
      <c r="M568" t="str">
        <f t="shared" si="89"/>
        <v>2019-08-24</v>
      </c>
      <c r="N568" t="str">
        <f>"ООО ЛАУР"</f>
        <v>ООО ЛАУР</v>
      </c>
      <c r="O568" t="str">
        <f>"625000"</f>
        <v>625000</v>
      </c>
      <c r="P568" t="str">
        <f>"ОБЛ ТЮМЕНСКАЯ"</f>
        <v>ОБЛ ТЮМЕНСКАЯ</v>
      </c>
      <c r="Q568" t="str">
        <f>""</f>
        <v/>
      </c>
      <c r="R568" t="str">
        <f>"Г ТЮМЕНЬ"</f>
        <v>Г ТЮМЕНЬ</v>
      </c>
      <c r="S568" t="str">
        <f>""</f>
        <v/>
      </c>
      <c r="T568" t="str">
        <f>"УЛ НИКОЛАЯ ЧАПЛИНА"</f>
        <v>УЛ НИКОЛАЯ ЧАПЛИНА</v>
      </c>
      <c r="U568" s="1" t="str">
        <f>"126"</f>
        <v>126</v>
      </c>
      <c r="V568" s="1" t="str">
        <f>""</f>
        <v/>
      </c>
      <c r="W568" s="1" t="str">
        <f>""</f>
        <v/>
      </c>
      <c r="X568" s="1" t="str">
        <f>""</f>
        <v/>
      </c>
      <c r="Y568" s="1" t="str">
        <f>"300"</f>
        <v>300</v>
      </c>
      <c r="Z568" t="str">
        <f>"3452680980"</f>
        <v>3452680980</v>
      </c>
      <c r="AA568" t="str">
        <f>"9088738355"</f>
        <v>9088738355</v>
      </c>
      <c r="AB568" t="str">
        <f>"9088738355"</f>
        <v>9088738355</v>
      </c>
      <c r="AC568" t="str">
        <f>"9829343993"</f>
        <v>9829343993</v>
      </c>
      <c r="AD568" t="str">
        <f>"9088738355"</f>
        <v>9088738355</v>
      </c>
      <c r="AE568" t="str">
        <f>"3452313315"</f>
        <v>3452313315</v>
      </c>
    </row>
    <row r="569" spans="1:31" x14ac:dyDescent="0.45">
      <c r="A569" t="str">
        <f>"ШУГАЕВ МАКСИМ ЮРЬЕВИЧ"</f>
        <v>ШУГАЕВ МАКСИМ ЮРЬЕВИЧ</v>
      </c>
      <c r="B569" t="str">
        <f>"1989-10-31"</f>
        <v>1989-10-31</v>
      </c>
      <c r="C569" t="str">
        <f>"65 09 832789"</f>
        <v>65 09 832789</v>
      </c>
      <c r="D569" t="str">
        <f>"5313100313757824"</f>
        <v>5313100313757824</v>
      </c>
      <c r="E569" t="str">
        <f>"2020-11-30"</f>
        <v>2020-11-30</v>
      </c>
      <c r="F569" t="str">
        <f t="shared" ref="F569:G571" si="98">"+"</f>
        <v>+</v>
      </c>
      <c r="G569" t="str">
        <f t="shared" si="98"/>
        <v>+</v>
      </c>
      <c r="H569" t="str">
        <f>"40817810816991427865"</f>
        <v>40817810816991427865</v>
      </c>
      <c r="I569" t="str">
        <f>"7003"</f>
        <v>7003</v>
      </c>
      <c r="J569" t="str">
        <f>"0616"</f>
        <v>0616</v>
      </c>
      <c r="K569" t="str">
        <f>"63000.00"</f>
        <v>63000.00</v>
      </c>
      <c r="L569" t="str">
        <f>"623650 ОБЛ СВЕРДЛОВСКАЯ   Г КАМЫШЛОВ   УЛ КРАСНЫХ ОРЛОВ д. 15"</f>
        <v>623650 ОБЛ СВЕРДЛОВСКАЯ   Г КАМЫШЛОВ   УЛ КРАСНЫХ ОРЛОВ д. 15</v>
      </c>
      <c r="M569" t="str">
        <f t="shared" si="89"/>
        <v>2019-08-24</v>
      </c>
      <c r="N569" t="str">
        <f>"КАМЫШЛОВСКАЯ ДИСТАНЦИЯ ПУТИ ОАО РЖД"</f>
        <v>КАМЫШЛОВСКАЯ ДИСТАНЦИЯ ПУТИ ОАО РЖД</v>
      </c>
      <c r="O569" t="str">
        <f>"623650"</f>
        <v>623650</v>
      </c>
      <c r="P569" t="str">
        <f>"ОБЛ СВЕРДЛОВСКАЯ"</f>
        <v>ОБЛ СВЕРДЛОВСКАЯ</v>
      </c>
      <c r="Q569" t="str">
        <f>""</f>
        <v/>
      </c>
      <c r="R569" t="str">
        <f>""</f>
        <v/>
      </c>
      <c r="S569" t="str">
        <f>"РП ТУГУЛЫМ"</f>
        <v>РП ТУГУЛЫМ</v>
      </c>
      <c r="T569" t="str">
        <f>"УЛ ПИОНЕРСКАЯ"</f>
        <v>УЛ ПИОНЕРСКАЯ</v>
      </c>
      <c r="U569" s="1" t="str">
        <f>"56"</f>
        <v>56</v>
      </c>
      <c r="V569" s="1" t="str">
        <f>""</f>
        <v/>
      </c>
      <c r="W569" s="1" t="str">
        <f>""</f>
        <v/>
      </c>
      <c r="X569" s="1" t="str">
        <f>""</f>
        <v/>
      </c>
      <c r="Y569" s="1" t="str">
        <f>"1"</f>
        <v>1</v>
      </c>
      <c r="Z569" t="str">
        <f>""</f>
        <v/>
      </c>
      <c r="AA569" t="str">
        <f>"9326108187"</f>
        <v>9326108187</v>
      </c>
      <c r="AB569" t="str">
        <f>"9326108187"</f>
        <v>9326108187</v>
      </c>
      <c r="AC569" t="str">
        <f>"9326108187"</f>
        <v>9326108187</v>
      </c>
      <c r="AD569" t="str">
        <f>"9326108187"</f>
        <v>9326108187</v>
      </c>
      <c r="AE569" t="str">
        <f>""</f>
        <v/>
      </c>
    </row>
    <row r="570" spans="1:31" x14ac:dyDescent="0.45">
      <c r="A570" t="str">
        <f>"ЧЕРЕПАНОВА АНАСТАСИЯ ЛЬВОВНА"</f>
        <v>ЧЕРЕПАНОВА АНАСТАСИЯ ЛЬВОВНА</v>
      </c>
      <c r="B570" t="str">
        <f>"1994-12-20"</f>
        <v>1994-12-20</v>
      </c>
      <c r="C570" t="str">
        <f>"65 18 740022"</f>
        <v>65 18 740022</v>
      </c>
      <c r="D570" t="str">
        <f>"4854630234887522"</f>
        <v>4854630234887522</v>
      </c>
      <c r="E570" t="str">
        <f>"2021-04-30"</f>
        <v>2021-04-30</v>
      </c>
      <c r="F570" t="str">
        <f t="shared" si="98"/>
        <v>+</v>
      </c>
      <c r="G570" t="str">
        <f t="shared" si="98"/>
        <v>+</v>
      </c>
      <c r="H570" t="str">
        <f>"40817810116991427866"</f>
        <v>40817810116991427866</v>
      </c>
      <c r="I570" t="str">
        <f>"7003"</f>
        <v>7003</v>
      </c>
      <c r="J570" t="str">
        <f>"0897"</f>
        <v>0897</v>
      </c>
      <c r="K570" t="str">
        <f>"50000.00"</f>
        <v>50000.00</v>
      </c>
      <c r="L570" t="str">
        <f>"620000 ОБЛ СВЕРДЛОВСКАЯ   Г НИЖНИЙ ТАГИЛ   УЛ ЛЕБЯЖИНСКАЯ д. 30 кв. 50"</f>
        <v>620000 ОБЛ СВЕРДЛОВСКАЯ   Г НИЖНИЙ ТАГИЛ   УЛ ЛЕБЯЖИНСКАЯ д. 30 кв. 50</v>
      </c>
      <c r="M570" t="str">
        <f t="shared" si="89"/>
        <v>2019-08-24</v>
      </c>
      <c r="N570" t="str">
        <f>"38262727"</f>
        <v>38262727</v>
      </c>
      <c r="O570" t="str">
        <f>"620000"</f>
        <v>620000</v>
      </c>
      <c r="P570" t="str">
        <f>"ОБЛ СВЕРДЛОВСКАЯ"</f>
        <v>ОБЛ СВЕРДЛОВСКАЯ</v>
      </c>
      <c r="Q570" t="str">
        <f>""</f>
        <v/>
      </c>
      <c r="R570" t="str">
        <f>"Г НИЖНИЙ ТАГИЛ"</f>
        <v>Г НИЖНИЙ ТАГИЛ</v>
      </c>
      <c r="S570" t="str">
        <f>""</f>
        <v/>
      </c>
      <c r="T570" t="str">
        <f>"УЛ ЛЕБЯЖИНСКАЯ"</f>
        <v>УЛ ЛЕБЯЖИНСКАЯ</v>
      </c>
      <c r="U570" s="1" t="str">
        <f>"30"</f>
        <v>30</v>
      </c>
      <c r="V570" s="1" t="str">
        <f>""</f>
        <v/>
      </c>
      <c r="W570" s="1" t="str">
        <f>""</f>
        <v/>
      </c>
      <c r="X570" s="1" t="str">
        <f>""</f>
        <v/>
      </c>
      <c r="Y570" s="1" t="str">
        <f>"50"</f>
        <v>50</v>
      </c>
      <c r="Z570" t="str">
        <f>""</f>
        <v/>
      </c>
      <c r="AA570" t="str">
        <f>"0000000000"</f>
        <v>0000000000</v>
      </c>
      <c r="AB570" t="str">
        <f>"9501939287"</f>
        <v>9501939287</v>
      </c>
      <c r="AC570" t="str">
        <f>"0000000000"</f>
        <v>0000000000</v>
      </c>
      <c r="AD570" t="str">
        <f>"9501939287"</f>
        <v>9501939287</v>
      </c>
      <c r="AE570" t="str">
        <f>""</f>
        <v/>
      </c>
    </row>
    <row r="571" spans="1:31" x14ac:dyDescent="0.45">
      <c r="A571" t="str">
        <f>"НЕМЦЕВ ЮРИЙ ВИТАЛЬЕВИЧ"</f>
        <v>НЕМЦЕВ ЮРИЙ ВИТАЛЬЕВИЧ</v>
      </c>
      <c r="B571" t="str">
        <f>"1975-08-29"</f>
        <v>1975-08-29</v>
      </c>
      <c r="C571" t="str">
        <f>"75 02 987258"</f>
        <v>75 02 987258</v>
      </c>
      <c r="D571" t="str">
        <f>"4854630387066809"</f>
        <v>4854630387066809</v>
      </c>
      <c r="E571" t="str">
        <f>"2021-04-30"</f>
        <v>2021-04-30</v>
      </c>
      <c r="F571" t="str">
        <f t="shared" si="98"/>
        <v>+</v>
      </c>
      <c r="G571" t="str">
        <f t="shared" si="98"/>
        <v>+</v>
      </c>
      <c r="H571" t="str">
        <f>"40817810416991427867"</f>
        <v>40817810416991427867</v>
      </c>
      <c r="I571" t="str">
        <f>"8597"</f>
        <v>8597</v>
      </c>
      <c r="J571" t="str">
        <f>"0392"</f>
        <v>0392</v>
      </c>
      <c r="K571" t="str">
        <f>"20000.00"</f>
        <v>20000.00</v>
      </c>
      <c r="L571" t="str">
        <f>"454000 ОБЛ ЧЕЛЯБИНСКАЯ   Г КАРТАЛЫ   УЛ - д. -"</f>
        <v>454000 ОБЛ ЧЕЛЯБИНСКАЯ   Г КАРТАЛЫ   УЛ - д. -</v>
      </c>
      <c r="M571" t="str">
        <f t="shared" si="89"/>
        <v>2019-08-24</v>
      </c>
      <c r="N571" t="str">
        <f>"ПЧ 14"</f>
        <v>ПЧ 14</v>
      </c>
      <c r="O571" t="str">
        <f>"454000"</f>
        <v>454000</v>
      </c>
      <c r="P571" t="str">
        <f>"ОБЛ ЧЕЛЯБИНСКАЯ"</f>
        <v>ОБЛ ЧЕЛЯБИНСКАЯ</v>
      </c>
      <c r="Q571" t="str">
        <f>"Р-Н БРЕДИНСКИЙ"</f>
        <v>Р-Н БРЕДИНСКИЙ</v>
      </c>
      <c r="R571" t="str">
        <f>""</f>
        <v/>
      </c>
      <c r="S571" t="str">
        <f>"П БРЕДЫ"</f>
        <v>П БРЕДЫ</v>
      </c>
      <c r="T571" t="str">
        <f>"УЛ МИРА"</f>
        <v>УЛ МИРА</v>
      </c>
      <c r="U571" s="1" t="str">
        <f>"13"</f>
        <v>13</v>
      </c>
      <c r="V571" s="1" t="str">
        <f>""</f>
        <v/>
      </c>
      <c r="W571" s="1" t="str">
        <f>""</f>
        <v/>
      </c>
      <c r="X571" s="1" t="str">
        <f>""</f>
        <v/>
      </c>
      <c r="Y571" s="1" t="str">
        <f>"1"</f>
        <v>1</v>
      </c>
      <c r="Z571" t="str">
        <f>"3513372229"</f>
        <v>3513372229</v>
      </c>
      <c r="AA571" t="str">
        <f>"9512503946"</f>
        <v>9512503946</v>
      </c>
      <c r="AB571" t="str">
        <f>"9512503946"</f>
        <v>9512503946</v>
      </c>
      <c r="AC571" t="str">
        <f>"9512503946"</f>
        <v>9512503946</v>
      </c>
      <c r="AD571" t="str">
        <f>"9512503946"</f>
        <v>9512503946</v>
      </c>
      <c r="AE571" t="str">
        <f>"3513372229"</f>
        <v>3513372229</v>
      </c>
    </row>
    <row r="572" spans="1:31" x14ac:dyDescent="0.45">
      <c r="A572" t="str">
        <f>"СУЛТАНОВА ТАМАРА ХУСАИНОВНА"</f>
        <v>СУЛТАНОВА ТАМАРА ХУСАИНОВНА</v>
      </c>
      <c r="B572" t="str">
        <f>"1964-06-10"</f>
        <v>1964-06-10</v>
      </c>
      <c r="C572" t="str">
        <f>"80 09 810166"</f>
        <v>80 09 810166</v>
      </c>
      <c r="D572" t="str">
        <f>"4854630368221621"</f>
        <v>4854630368221621</v>
      </c>
      <c r="E572" t="str">
        <f>"2020-11-30"</f>
        <v>2020-11-30</v>
      </c>
      <c r="F572" t="str">
        <f>"Q"</f>
        <v>Q</v>
      </c>
      <c r="G572" t="str">
        <f>"Q"</f>
        <v>Q</v>
      </c>
      <c r="H572" t="str">
        <f>"40817810416991427964"</f>
        <v>40817810416991427964</v>
      </c>
      <c r="I572" t="str">
        <f>"8598"</f>
        <v>8598</v>
      </c>
      <c r="J572" t="str">
        <f>"0775"</f>
        <v>0775</v>
      </c>
      <c r="K572" t="str">
        <f>"0.00"</f>
        <v>0.00</v>
      </c>
      <c r="L572" t="str">
        <f>"450000 РЕСП БАШКОРТОСТАН Р-Н ФЕДОРОВСКИЙ   С ФЕДОРОВКА УЛ КОММУНИСТИЧЕСКАЯ д. 59"</f>
        <v>450000 РЕСП БАШКОРТОСТАН Р-Н ФЕДОРОВСКИЙ   С ФЕДОРОВКА УЛ КОММУНИСТИЧЕСКАЯ д. 59</v>
      </c>
      <c r="M572" t="str">
        <f t="shared" si="89"/>
        <v>2019-08-24</v>
      </c>
      <c r="N572" t="str">
        <f>"МАДО Д/С КОЛОКОЛЬЧИК"</f>
        <v>МАДО Д/С КОЛОКОЛЬЧИК</v>
      </c>
      <c r="O572" t="str">
        <f>"450000"</f>
        <v>450000</v>
      </c>
      <c r="P572" t="str">
        <f>"РЕСП БАШКОРТОСТАН"</f>
        <v>РЕСП БАШКОРТОСТАН</v>
      </c>
      <c r="Q572" t="str">
        <f>"Р-Н ФЕДОРОВСКИЙ"</f>
        <v>Р-Н ФЕДОРОВСКИЙ</v>
      </c>
      <c r="R572" t="str">
        <f>""</f>
        <v/>
      </c>
      <c r="S572" t="str">
        <f>"С ФЕДОРОВКА"</f>
        <v>С ФЕДОРОВКА</v>
      </c>
      <c r="T572" t="str">
        <f>"УЛ МОЛОДЕЖНАЯ"</f>
        <v>УЛ МОЛОДЕЖНАЯ</v>
      </c>
      <c r="U572" s="1" t="str">
        <f>"13"</f>
        <v>13</v>
      </c>
      <c r="V572" s="1" t="str">
        <f>""</f>
        <v/>
      </c>
      <c r="W572" s="1" t="str">
        <f>""</f>
        <v/>
      </c>
      <c r="X572" s="1" t="str">
        <f>""</f>
        <v/>
      </c>
      <c r="Y572" s="1" t="str">
        <f>""</f>
        <v/>
      </c>
      <c r="Z572" t="str">
        <f>""</f>
        <v/>
      </c>
      <c r="AA572" t="str">
        <f>"9279580447"</f>
        <v>9279580447</v>
      </c>
      <c r="AB572" t="str">
        <f>"9279580447"</f>
        <v>9279580447</v>
      </c>
      <c r="AC572" t="str">
        <f>"9279580447"</f>
        <v>9279580447</v>
      </c>
      <c r="AD572" t="str">
        <f>"9279580447"</f>
        <v>9279580447</v>
      </c>
      <c r="AE572" t="str">
        <f>""</f>
        <v/>
      </c>
    </row>
    <row r="573" spans="1:31" x14ac:dyDescent="0.45">
      <c r="A573" t="str">
        <f>"СУЛТАНОВА ЛИНАРИЯ ФАГИМОВНА"</f>
        <v>СУЛТАНОВА ЛИНАРИЯ ФАГИМОВНА</v>
      </c>
      <c r="B573" t="str">
        <f>"1984-01-13"</f>
        <v>1984-01-13</v>
      </c>
      <c r="C573" t="str">
        <f>"80 05 294592"</f>
        <v>80 05 294592</v>
      </c>
      <c r="D573" t="str">
        <f>"5313100738549715"</f>
        <v>5313100738549715</v>
      </c>
      <c r="E573" t="str">
        <f>"2020-10-31"</f>
        <v>2020-10-31</v>
      </c>
      <c r="F573" t="str">
        <f t="shared" ref="F573:G575" si="99">"+"</f>
        <v>+</v>
      </c>
      <c r="G573" t="str">
        <f t="shared" si="99"/>
        <v>+</v>
      </c>
      <c r="H573" t="str">
        <f>"40817810716991427965"</f>
        <v>40817810716991427965</v>
      </c>
      <c r="I573" t="str">
        <f>"8598"</f>
        <v>8598</v>
      </c>
      <c r="J573" t="str">
        <f>"0597"</f>
        <v>0597</v>
      </c>
      <c r="K573" t="str">
        <f>"30000.00"</f>
        <v>30000.00</v>
      </c>
      <c r="L573" t="str">
        <f>"450000 ОБЛ ТЮМЕНСКАЯ   Г СУРГУТ   УЛ ЛЕРМОНТОВА д. 9"</f>
        <v>450000 ОБЛ ТЮМЕНСКАЯ   Г СУРГУТ   УЛ ЛЕРМОНТОВА д. 9</v>
      </c>
      <c r="M573" t="str">
        <f t="shared" si="89"/>
        <v>2019-08-24</v>
      </c>
      <c r="N573" t="str">
        <f>"РОС"</f>
        <v>РОС</v>
      </c>
      <c r="O573" t="str">
        <f>"450000"</f>
        <v>450000</v>
      </c>
      <c r="P573" t="str">
        <f>"РЕСП БАШКОРТОСТАН"</f>
        <v>РЕСП БАШКОРТОСТАН</v>
      </c>
      <c r="Q573" t="str">
        <f>"Р-Н БАЛТАЧЕВСКИЙ"</f>
        <v>Р-Н БАЛТАЧЕВСКИЙ</v>
      </c>
      <c r="R573" t="str">
        <f>""</f>
        <v/>
      </c>
      <c r="S573" t="str">
        <f>"Д ЧУКАЛЫ"</f>
        <v>Д ЧУКАЛЫ</v>
      </c>
      <c r="T573" t="str">
        <f>"УЛ ЧУЛПАН"</f>
        <v>УЛ ЧУЛПАН</v>
      </c>
      <c r="U573" s="1" t="str">
        <f>"3"</f>
        <v>3</v>
      </c>
      <c r="V573" s="1" t="str">
        <f>""</f>
        <v/>
      </c>
      <c r="W573" s="1" t="str">
        <f>""</f>
        <v/>
      </c>
      <c r="X573" s="1" t="str">
        <f>""</f>
        <v/>
      </c>
      <c r="Y573" s="1" t="str">
        <f>""</f>
        <v/>
      </c>
      <c r="Z573" t="str">
        <f>""</f>
        <v/>
      </c>
      <c r="AA573" t="str">
        <f>"9632389053"</f>
        <v>9632389053</v>
      </c>
      <c r="AB573" t="str">
        <f>"9632389053"</f>
        <v>9632389053</v>
      </c>
      <c r="AC573" t="str">
        <f>"9632389053"</f>
        <v>9632389053</v>
      </c>
      <c r="AD573" t="str">
        <f>"9632389053"</f>
        <v>9632389053</v>
      </c>
      <c r="AE573" t="str">
        <f>""</f>
        <v/>
      </c>
    </row>
    <row r="574" spans="1:31" x14ac:dyDescent="0.45">
      <c r="A574" t="str">
        <f>"СЛОБЦОВ АНАТОЛИЙ ОЛЕГОВИЧ"</f>
        <v>СЛОБЦОВ АНАТОЛИЙ ОЛЕГОВИЧ</v>
      </c>
      <c r="B574" t="str">
        <f>"1981-06-26"</f>
        <v>1981-06-26</v>
      </c>
      <c r="C574" t="str">
        <f>"65 01 901101"</f>
        <v>65 01 901101</v>
      </c>
      <c r="D574" t="str">
        <f>"4854630361625315"</f>
        <v>4854630361625315</v>
      </c>
      <c r="E574" t="str">
        <f>"2021-05-31"</f>
        <v>2021-05-31</v>
      </c>
      <c r="F574" t="str">
        <f t="shared" si="99"/>
        <v>+</v>
      </c>
      <c r="G574" t="str">
        <f t="shared" si="99"/>
        <v>+</v>
      </c>
      <c r="H574" t="str">
        <f>"40817810316991464098"</f>
        <v>40817810316991464098</v>
      </c>
      <c r="I574" t="str">
        <f>"7003"</f>
        <v>7003</v>
      </c>
      <c r="J574" t="str">
        <f>"0806"</f>
        <v>0806</v>
      </c>
      <c r="K574" t="str">
        <f>"70000.00"</f>
        <v>70000.00</v>
      </c>
      <c r="L574" t="str">
        <f>"624760 ОБЛ СВЕРДЛОВСКАЯ   Г ВЕРХНЯЯ САЛДА   УЛ ПАРКОВАЯ д. 1"</f>
        <v>624760 ОБЛ СВЕРДЛОВСКАЯ   Г ВЕРХНЯЯ САЛДА   УЛ ПАРКОВАЯ д. 1</v>
      </c>
      <c r="M574" t="str">
        <f t="shared" si="89"/>
        <v>2019-08-24</v>
      </c>
      <c r="N574" t="str">
        <f>"ЕКРЦ"</f>
        <v>ЕКРЦ</v>
      </c>
      <c r="O574" t="str">
        <f>"620000"</f>
        <v>620000</v>
      </c>
      <c r="P574" t="str">
        <f>"ОБЛ СВЕРДЛОВСКАЯ"</f>
        <v>ОБЛ СВЕРДЛОВСКАЯ</v>
      </c>
      <c r="Q574" t="str">
        <f>""</f>
        <v/>
      </c>
      <c r="R574" t="str">
        <f>"ВОЛОСТЬ НИЖНЯЯ САЛДА"</f>
        <v>ВОЛОСТЬ НИЖНЯЯ САЛДА</v>
      </c>
      <c r="S574" t="str">
        <f>""</f>
        <v/>
      </c>
      <c r="T574" t="str">
        <f>"УЛ ПОДБЕЛЬСКОГО"</f>
        <v>УЛ ПОДБЕЛЬСКОГО</v>
      </c>
      <c r="U574" s="1" t="str">
        <f>"20"</f>
        <v>20</v>
      </c>
      <c r="V574" s="1" t="str">
        <f>""</f>
        <v/>
      </c>
      <c r="W574" s="1" t="str">
        <f>""</f>
        <v/>
      </c>
      <c r="X574" s="1" t="str">
        <f>""</f>
        <v/>
      </c>
      <c r="Y574" s="1" t="str">
        <f>""</f>
        <v/>
      </c>
      <c r="Z574" t="str">
        <f>"9049853367"</f>
        <v>9049853367</v>
      </c>
      <c r="AA574" t="str">
        <f>"9321129685"</f>
        <v>9321129685</v>
      </c>
      <c r="AB574" t="str">
        <f>"9321129685"</f>
        <v>9321129685</v>
      </c>
      <c r="AC574" t="str">
        <f>"9321129685"</f>
        <v>9321129685</v>
      </c>
      <c r="AD574" t="str">
        <f>"9321129685"</f>
        <v>9321129685</v>
      </c>
      <c r="AE574" t="str">
        <f>"9049853367"</f>
        <v>9049853367</v>
      </c>
    </row>
    <row r="575" spans="1:31" x14ac:dyDescent="0.45">
      <c r="A575" t="str">
        <f>"ЧЕПИЛЕВСКАЯ ЛАРИСА ВИКТОРОВНА"</f>
        <v>ЧЕПИЛЕВСКАЯ ЛАРИСА ВИКТОРОВНА</v>
      </c>
      <c r="B575" t="str">
        <f>"1952-09-11"</f>
        <v>1952-09-11</v>
      </c>
      <c r="C575" t="str">
        <f>"75 04 007556"</f>
        <v>75 04 007556</v>
      </c>
      <c r="D575" t="str">
        <f>"4854630222247317"</f>
        <v>4854630222247317</v>
      </c>
      <c r="E575" t="str">
        <f>"2021-04-30"</f>
        <v>2021-04-30</v>
      </c>
      <c r="F575" t="str">
        <f t="shared" si="99"/>
        <v>+</v>
      </c>
      <c r="G575" t="str">
        <f t="shared" si="99"/>
        <v>+</v>
      </c>
      <c r="H575" t="str">
        <f>"40817810616991464099"</f>
        <v>40817810616991464099</v>
      </c>
      <c r="I575" t="str">
        <f>"8597"</f>
        <v>8597</v>
      </c>
      <c r="J575" t="str">
        <f>"0530"</f>
        <v>0530</v>
      </c>
      <c r="K575" t="str">
        <f>"10000.00"</f>
        <v>10000.00</v>
      </c>
      <c r="L575" t="str">
        <f>"456300 ОБЛ ЧЕЛЯБИНСКАЯ   Г МИАСС   УЛ НЕФТЯННИКОВ д. 6 кв. 7"</f>
        <v>456300 ОБЛ ЧЕЛЯБИНСКАЯ   Г МИАСС   УЛ НЕФТЯННИКОВ д. 6 кв. 7</v>
      </c>
      <c r="M575" t="str">
        <f t="shared" si="89"/>
        <v>2019-08-24</v>
      </c>
      <c r="N575" t="str">
        <f>"СВЯЗЬТРАНСНЕФТЬ"</f>
        <v>СВЯЗЬТРАНСНЕФТЬ</v>
      </c>
      <c r="O575" t="str">
        <f>"456300"</f>
        <v>456300</v>
      </c>
      <c r="P575" t="str">
        <f>"ОБЛ ЧЕЛЯБИНСКАЯ"</f>
        <v>ОБЛ ЧЕЛЯБИНСКАЯ</v>
      </c>
      <c r="Q575" t="str">
        <f>""</f>
        <v/>
      </c>
      <c r="R575" t="str">
        <f>"Г МИАСС"</f>
        <v>Г МИАСС</v>
      </c>
      <c r="S575" t="str">
        <f>"П ЛЕНИНСК"</f>
        <v>П ЛЕНИНСК</v>
      </c>
      <c r="T575" t="str">
        <f>"УЛ НЕФТЯННИКОВ"</f>
        <v>УЛ НЕФТЯННИКОВ</v>
      </c>
      <c r="U575" s="1" t="str">
        <f>"6"</f>
        <v>6</v>
      </c>
      <c r="V575" s="1" t="str">
        <f>""</f>
        <v/>
      </c>
      <c r="W575" s="1" t="str">
        <f>""</f>
        <v/>
      </c>
      <c r="X575" s="1" t="str">
        <f>""</f>
        <v/>
      </c>
      <c r="Y575" s="1" t="str">
        <f>"7"</f>
        <v>7</v>
      </c>
      <c r="Z575" t="str">
        <f>"9123237464"</f>
        <v>9123237464</v>
      </c>
      <c r="AA575" t="str">
        <f>"9123285613"</f>
        <v>9123285613</v>
      </c>
      <c r="AB575" t="str">
        <f>"9123237464"</f>
        <v>9123237464</v>
      </c>
      <c r="AC575" t="str">
        <f>"9123285613"</f>
        <v>9123285613</v>
      </c>
      <c r="AD575" t="str">
        <f>"9123237464"</f>
        <v>9123237464</v>
      </c>
      <c r="AE575" t="str">
        <f>"9123237464"</f>
        <v>9123237464</v>
      </c>
    </row>
    <row r="576" spans="1:31" x14ac:dyDescent="0.45">
      <c r="A576" t="str">
        <f>"БОГОМАЗОВА ЛЮДМИЛА АНАТОЛЬЕВНА"</f>
        <v>БОГОМАЗОВА ЛЮДМИЛА АНАТОЛЬЕВНА</v>
      </c>
      <c r="B576" t="str">
        <f>"1971-11-21"</f>
        <v>1971-11-21</v>
      </c>
      <c r="C576" t="str">
        <f>"71 16 246237"</f>
        <v>71 16 246237</v>
      </c>
      <c r="D576" t="str">
        <f>"4854630199877385"</f>
        <v>4854630199877385</v>
      </c>
      <c r="E576" t="str">
        <f>"2021-05-31"</f>
        <v>2021-05-31</v>
      </c>
      <c r="F576" t="str">
        <f>"M"</f>
        <v>M</v>
      </c>
      <c r="G576" t="str">
        <f>"W"</f>
        <v>W</v>
      </c>
      <c r="H576" t="str">
        <f>"40817810416992066450"</f>
        <v>40817810416992066450</v>
      </c>
      <c r="I576" t="str">
        <f>"8647"</f>
        <v>8647</v>
      </c>
      <c r="J576" t="str">
        <f>"0276"</f>
        <v>0276</v>
      </c>
      <c r="K576" t="str">
        <f>"245000.00"</f>
        <v>245000.00</v>
      </c>
      <c r="L576" t="str">
        <f>"625000 ОБЛ ТЮМЕНСКАЯ Р-Н ГОЛЫШМАНОВСКИЙ Г ТЮМЕНЬ   УЛ ПРЕЖЕВАЛЬСКОГО д. 35 стр. 4 корп. 2"</f>
        <v>625000 ОБЛ ТЮМЕНСКАЯ Р-Н ГОЛЫШМАНОВСКИЙ Г ТЮМЕНЬ   УЛ ПРЕЖЕВАЛЬСКОГО д. 35 стр. 4 корп. 2</v>
      </c>
      <c r="M576" t="str">
        <f t="shared" si="89"/>
        <v>2019-08-24</v>
      </c>
      <c r="N576" t="str">
        <f>"ТЮМЕНЬСТРОЙПРОЕКТ"</f>
        <v>ТЮМЕНЬСТРОЙПРОЕКТ</v>
      </c>
      <c r="O576" t="str">
        <f>"627321"</f>
        <v>627321</v>
      </c>
      <c r="P576" t="str">
        <f>"ОБЛ ТЮМЕНСКАЯ"</f>
        <v>ОБЛ ТЮМЕНСКАЯ</v>
      </c>
      <c r="Q576" t="str">
        <f>"Р-Н ГОЛЫШМАНОВСКИЙ"</f>
        <v>Р-Н ГОЛЫШМАНОВСКИЙ</v>
      </c>
      <c r="R576" t="str">
        <f>""</f>
        <v/>
      </c>
      <c r="S576" t="str">
        <f>"С ГЛАДИЛОВО"</f>
        <v>С ГЛАДИЛОВО</v>
      </c>
      <c r="T576" t="str">
        <f>"УЛ НАБЕРЕЖНАЯ"</f>
        <v>УЛ НАБЕРЕЖНАЯ</v>
      </c>
      <c r="U576" s="1" t="str">
        <f>"2"</f>
        <v>2</v>
      </c>
      <c r="V576" s="1" t="str">
        <f>""</f>
        <v/>
      </c>
      <c r="W576" s="1" t="str">
        <f>""</f>
        <v/>
      </c>
      <c r="X576" s="1" t="str">
        <f>""</f>
        <v/>
      </c>
      <c r="Y576" s="1" t="str">
        <f>"2"</f>
        <v>2</v>
      </c>
      <c r="Z576" t="str">
        <f>"3452500897"</f>
        <v>3452500897</v>
      </c>
      <c r="AA576" t="str">
        <f>"3454692205"</f>
        <v>3454692205</v>
      </c>
      <c r="AB576" t="str">
        <f>"9199261101"</f>
        <v>9199261101</v>
      </c>
      <c r="AC576" t="str">
        <f>"3454692205"</f>
        <v>3454692205</v>
      </c>
      <c r="AD576" t="str">
        <f>"9199261101"</f>
        <v>9199261101</v>
      </c>
      <c r="AE576" t="str">
        <f>"3452500897"</f>
        <v>3452500897</v>
      </c>
    </row>
    <row r="577" spans="1:31" x14ac:dyDescent="0.45">
      <c r="A577" t="str">
        <f>"ЖУЧЕНКО ВЯЧЕСЛАВ ВАЛЕРЬЕВИЧ"</f>
        <v>ЖУЧЕНКО ВЯЧЕСЛАВ ВАЛЕРЬЕВИЧ</v>
      </c>
      <c r="B577" t="str">
        <f>"1975-06-16"</f>
        <v>1975-06-16</v>
      </c>
      <c r="C577" t="str">
        <f>"80 04 070547"</f>
        <v>80 04 070547</v>
      </c>
      <c r="D577" t="str">
        <f>"4854630394023116"</f>
        <v>4854630394023116</v>
      </c>
      <c r="E577" t="str">
        <f>"2021-04-30"</f>
        <v>2021-04-30</v>
      </c>
      <c r="F577" t="str">
        <f>"Q"</f>
        <v>Q</v>
      </c>
      <c r="G577" t="str">
        <f>"Q"</f>
        <v>Q</v>
      </c>
      <c r="H577" t="str">
        <f>"40817810716991427826"</f>
        <v>40817810716991427826</v>
      </c>
      <c r="I577" t="str">
        <f>"8598"</f>
        <v>8598</v>
      </c>
      <c r="J577" t="str">
        <f>"0320"</f>
        <v>0320</v>
      </c>
      <c r="K577" t="str">
        <f>"0.00"</f>
        <v>0.00</v>
      </c>
      <c r="L577" t="str">
        <f>"450000 РЕСП БАШКОРТОСТАН   Г БЕЛОРЕЦК   УЛ БЛЮХЕРА д. 1"</f>
        <v>450000 РЕСП БАШКОРТОСТАН   Г БЕЛОРЕЦК   УЛ БЛЮХЕРА д. 1</v>
      </c>
      <c r="M577" t="str">
        <f t="shared" si="89"/>
        <v>2019-08-24</v>
      </c>
      <c r="N577" t="str">
        <f>"ОАО БМК"</f>
        <v>ОАО БМК</v>
      </c>
      <c r="O577" t="str">
        <f>"450000"</f>
        <v>450000</v>
      </c>
      <c r="P577" t="str">
        <f>"РЕСП БАШКОРТОСТАН"</f>
        <v>РЕСП БАШКОРТОСТАН</v>
      </c>
      <c r="Q577" t="str">
        <f>""</f>
        <v/>
      </c>
      <c r="R577" t="str">
        <f>"Г БЕЛОРЕЦК"</f>
        <v>Г БЕЛОРЕЦК</v>
      </c>
      <c r="S577" t="str">
        <f>""</f>
        <v/>
      </c>
      <c r="T577" t="str">
        <f>"УЛ ТУРГЕНЕВА"</f>
        <v>УЛ ТУРГЕНЕВА</v>
      </c>
      <c r="U577" s="1" t="str">
        <f>"37"</f>
        <v>37</v>
      </c>
      <c r="V577" s="1" t="str">
        <f>""</f>
        <v/>
      </c>
      <c r="W577" s="1" t="str">
        <f>""</f>
        <v/>
      </c>
      <c r="X577" s="1" t="str">
        <f>""</f>
        <v/>
      </c>
      <c r="Y577" s="1" t="str">
        <f>""</f>
        <v/>
      </c>
      <c r="Z577" t="str">
        <f>"3479241279"</f>
        <v>3479241279</v>
      </c>
      <c r="AA577" t="str">
        <f>"3479247179"</f>
        <v>3479247179</v>
      </c>
      <c r="AB577" t="str">
        <f>"9093456480"</f>
        <v>9093456480</v>
      </c>
      <c r="AC577" t="str">
        <f>"3479247179"</f>
        <v>3479247179</v>
      </c>
      <c r="AD577" t="str">
        <f>"9093456480"</f>
        <v>9093456480</v>
      </c>
      <c r="AE577" t="str">
        <f>""</f>
        <v/>
      </c>
    </row>
    <row r="578" spans="1:31" x14ac:dyDescent="0.45">
      <c r="A578" t="str">
        <f>"ШОРНИКОВА ЛИЛИЯ НИКОЛАЕВНА"</f>
        <v>ШОРНИКОВА ЛИЛИЯ НИКОЛАЕВНА</v>
      </c>
      <c r="B578" t="str">
        <f>"1965-02-09"</f>
        <v>1965-02-09</v>
      </c>
      <c r="C578" t="str">
        <f>"67 10 008961"</f>
        <v>67 10 008961</v>
      </c>
      <c r="D578" t="str">
        <f>"4854630211410694"</f>
        <v>4854630211410694</v>
      </c>
      <c r="E578" t="str">
        <f>"2021-04-30"</f>
        <v>2021-04-30</v>
      </c>
      <c r="F578" t="str">
        <f t="shared" ref="F578:G584" si="100">"+"</f>
        <v>+</v>
      </c>
      <c r="G578" t="str">
        <f>"W"</f>
        <v>W</v>
      </c>
      <c r="H578" t="str">
        <f>"40817810316992300627"</f>
        <v>40817810316992300627</v>
      </c>
      <c r="I578" t="str">
        <f>"5940"</f>
        <v>5940</v>
      </c>
      <c r="J578" t="str">
        <f>"0084"</f>
        <v>0084</v>
      </c>
      <c r="K578" t="str">
        <f>"127032.80"</f>
        <v>127032.80</v>
      </c>
      <c r="L578" t="str">
        <f>"628400 ОБЛ ТЮМЕНСКАЯ   Г СУРГУТ   УЛ РАБОЧАЯ д. 31А"</f>
        <v>628400 ОБЛ ТЮМЕНСКАЯ   Г СУРГУТ   УЛ РАБОЧАЯ д. 31А</v>
      </c>
      <c r="M578" t="str">
        <f t="shared" ref="M578:M641" si="101">"2019-08-24"</f>
        <v>2019-08-24</v>
      </c>
      <c r="N578" t="str">
        <f>"ООО СЕРВИС-3"</f>
        <v>ООО СЕРВИС-3</v>
      </c>
      <c r="O578" t="str">
        <f>"628400"</f>
        <v>628400</v>
      </c>
      <c r="P578" t="str">
        <f>"ОБЛ ТЮМЕНСКАЯ"</f>
        <v>ОБЛ ТЮМЕНСКАЯ</v>
      </c>
      <c r="Q578" t="str">
        <f>""</f>
        <v/>
      </c>
      <c r="R578" t="str">
        <f>"Г СУРГУТ"</f>
        <v>Г СУРГУТ</v>
      </c>
      <c r="S578" t="str">
        <f>""</f>
        <v/>
      </c>
      <c r="T578" t="str">
        <f>"УЛ СЕМЕНА БИЛЕЦКОГО"</f>
        <v>УЛ СЕМЕНА БИЛЕЦКОГО</v>
      </c>
      <c r="U578" s="1" t="str">
        <f>"2"</f>
        <v>2</v>
      </c>
      <c r="V578" s="1" t="str">
        <f>""</f>
        <v/>
      </c>
      <c r="W578" s="1" t="str">
        <f>""</f>
        <v/>
      </c>
      <c r="X578" s="1" t="str">
        <f>""</f>
        <v/>
      </c>
      <c r="Y578" s="1" t="str">
        <f>"370"</f>
        <v>370</v>
      </c>
      <c r="Z578" t="str">
        <f>""</f>
        <v/>
      </c>
      <c r="AA578" t="str">
        <f>"9128123731"</f>
        <v>9128123731</v>
      </c>
      <c r="AB578" t="str">
        <f>"9821433168"</f>
        <v>9821433168</v>
      </c>
      <c r="AC578" t="str">
        <f>"9128123731"</f>
        <v>9128123731</v>
      </c>
      <c r="AD578" t="str">
        <f>"9821433168"</f>
        <v>9821433168</v>
      </c>
      <c r="AE578" t="str">
        <f>""</f>
        <v/>
      </c>
    </row>
    <row r="579" spans="1:31" x14ac:dyDescent="0.45">
      <c r="A579" t="str">
        <f>"ТИМОФЕЕВ ИВАН ВИКТОРОВИЧ"</f>
        <v>ТИМОФЕЕВ ИВАН ВИКТОРОВИЧ</v>
      </c>
      <c r="B579" t="str">
        <f>"1956-01-18"</f>
        <v>1956-01-18</v>
      </c>
      <c r="C579" t="str">
        <f>"75 03 495405"</f>
        <v>75 03 495405</v>
      </c>
      <c r="D579" t="str">
        <f>"4854630367163287"</f>
        <v>4854630367163287</v>
      </c>
      <c r="E579" t="str">
        <f>"2021-04-30"</f>
        <v>2021-04-30</v>
      </c>
      <c r="F579" t="str">
        <f t="shared" si="100"/>
        <v>+</v>
      </c>
      <c r="G579" t="str">
        <f t="shared" si="100"/>
        <v>+</v>
      </c>
      <c r="H579" t="str">
        <f>"40817810716991464135"</f>
        <v>40817810716991464135</v>
      </c>
      <c r="I579" t="str">
        <f>"8597"</f>
        <v>8597</v>
      </c>
      <c r="J579" t="str">
        <f>"0308"</f>
        <v>0308</v>
      </c>
      <c r="K579" t="str">
        <f>"125000.00"</f>
        <v>125000.00</v>
      </c>
      <c r="L579" t="str">
        <f>"456580 ОБЛ ЧЕЛЯБИНСКАЯ   Г ЕМАНЖЕЛИНСК   УЛ САДОВАЯ д. 1"</f>
        <v>456580 ОБЛ ЧЕЛЯБИНСКАЯ   Г ЕМАНЖЕЛИНСК   УЛ САДОВАЯ д. 1</v>
      </c>
      <c r="M579" t="str">
        <f t="shared" si="101"/>
        <v>2019-08-24</v>
      </c>
      <c r="N579" t="str">
        <f>"ДВОРЕЦ ПУШКИНА"</f>
        <v>ДВОРЕЦ ПУШКИНА</v>
      </c>
      <c r="O579" t="str">
        <f>"456000"</f>
        <v>456000</v>
      </c>
      <c r="P579" t="str">
        <f>"ОБЛ ЧЕЛЯБИНСКАЯ"</f>
        <v>ОБЛ ЧЕЛЯБИНСКАЯ</v>
      </c>
      <c r="Q579" t="str">
        <f>""</f>
        <v/>
      </c>
      <c r="R579" t="str">
        <f>""</f>
        <v/>
      </c>
      <c r="S579" t="str">
        <f>"С КАРАКУЛЬСКОЕ"</f>
        <v>С КАРАКУЛЬСКОЕ</v>
      </c>
      <c r="T579" t="str">
        <f>"УЛ НАБЕРЕЖНАЯ"</f>
        <v>УЛ НАБЕРЕЖНАЯ</v>
      </c>
      <c r="U579" s="1" t="str">
        <f>"22"</f>
        <v>22</v>
      </c>
      <c r="V579" s="1" t="str">
        <f>""</f>
        <v/>
      </c>
      <c r="W579" s="1" t="str">
        <f>""</f>
        <v/>
      </c>
      <c r="X579" s="1" t="str">
        <f>""</f>
        <v/>
      </c>
      <c r="Y579" s="1" t="str">
        <f>"1"</f>
        <v>1</v>
      </c>
      <c r="Z579" t="str">
        <f>"3515026359"</f>
        <v>3515026359</v>
      </c>
      <c r="AA579" t="str">
        <f>"9124061557"</f>
        <v>9124061557</v>
      </c>
      <c r="AB579" t="str">
        <f>"9080920954"</f>
        <v>9080920954</v>
      </c>
      <c r="AC579" t="str">
        <f>"9124061557"</f>
        <v>9124061557</v>
      </c>
      <c r="AD579" t="str">
        <f>"9925197159"</f>
        <v>9925197159</v>
      </c>
      <c r="AE579" t="str">
        <f>""</f>
        <v/>
      </c>
    </row>
    <row r="580" spans="1:31" x14ac:dyDescent="0.45">
      <c r="A580" t="str">
        <f>"ОВЧИННИКОВА ТАТЬЯНА РАУФОВНА"</f>
        <v>ОВЧИННИКОВА ТАТЬЯНА РАУФОВНА</v>
      </c>
      <c r="B580" t="str">
        <f>"1969-06-29"</f>
        <v>1969-06-29</v>
      </c>
      <c r="C580" t="str">
        <f>"71 14 091580"</f>
        <v>71 14 091580</v>
      </c>
      <c r="D580" t="str">
        <f>"4854630399077554"</f>
        <v>4854630399077554</v>
      </c>
      <c r="E580" t="str">
        <f>"2021-04-30"</f>
        <v>2021-04-30</v>
      </c>
      <c r="F580" t="str">
        <f t="shared" si="100"/>
        <v>+</v>
      </c>
      <c r="G580" t="str">
        <f t="shared" si="100"/>
        <v>+</v>
      </c>
      <c r="H580" t="str">
        <f>"40817810016992241206"</f>
        <v>40817810016992241206</v>
      </c>
      <c r="I580" t="str">
        <f>"8647"</f>
        <v>8647</v>
      </c>
      <c r="J580" t="str">
        <f>"0181"</f>
        <v>0181</v>
      </c>
      <c r="K580" t="str">
        <f>"100000.00"</f>
        <v>100000.00</v>
      </c>
      <c r="L580" t="str">
        <f>"625000 ОБЛ ТЮМЕНСКАЯ   Г ТЮМЕНЬ   УЛ ГЕРЦЕНА д. 95"</f>
        <v>625000 ОБЛ ТЮМЕНСКАЯ   Г ТЮМЕНЬ   УЛ ГЕРЦЕНА д. 95</v>
      </c>
      <c r="M580" t="str">
        <f t="shared" si="101"/>
        <v>2019-08-24</v>
      </c>
      <c r="N580" t="str">
        <f>"ИП ОВЧИННИКОВА Т.Р."</f>
        <v>ИП ОВЧИННИКОВА Т.Р.</v>
      </c>
      <c r="O580" t="str">
        <f>"625000"</f>
        <v>625000</v>
      </c>
      <c r="P580" t="str">
        <f>"ОБЛ ТЮМЕНСКАЯ"</f>
        <v>ОБЛ ТЮМЕНСКАЯ</v>
      </c>
      <c r="Q580" t="str">
        <f>""</f>
        <v/>
      </c>
      <c r="R580" t="str">
        <f>"Г ТЮМЕНЬ"</f>
        <v>Г ТЮМЕНЬ</v>
      </c>
      <c r="S580" t="str">
        <f>""</f>
        <v/>
      </c>
      <c r="T580" t="str">
        <f>"УЛ БЕЛИНСКОГО"</f>
        <v>УЛ БЕЛИНСКОГО</v>
      </c>
      <c r="U580" s="1" t="str">
        <f>"6"</f>
        <v>6</v>
      </c>
      <c r="V580" s="1" t="str">
        <f>""</f>
        <v/>
      </c>
      <c r="W580" s="1" t="str">
        <f>""</f>
        <v/>
      </c>
      <c r="X580" s="1" t="str">
        <f>""</f>
        <v/>
      </c>
      <c r="Y580" s="1" t="str">
        <f>"2"</f>
        <v>2</v>
      </c>
      <c r="Z580" t="str">
        <f>"3452516956"</f>
        <v>3452516956</v>
      </c>
      <c r="AA580" t="str">
        <f>"9199287519"</f>
        <v>9199287519</v>
      </c>
      <c r="AB580" t="str">
        <f>"9199287520"</f>
        <v>9199287520</v>
      </c>
      <c r="AC580" t="str">
        <f>"9199287519"</f>
        <v>9199287519</v>
      </c>
      <c r="AD580" t="str">
        <f>"9199287520"</f>
        <v>9199287520</v>
      </c>
      <c r="AE580" t="str">
        <f>"3452516956"</f>
        <v>3452516956</v>
      </c>
    </row>
    <row r="581" spans="1:31" x14ac:dyDescent="0.45">
      <c r="A581" t="str">
        <f>"ВОИНОВ ВАДИМ ВАДИМОВИЧ"</f>
        <v>ВОИНОВ ВАДИМ ВАДИМОВИЧ</v>
      </c>
      <c r="B581" t="str">
        <f>"1992-01-26"</f>
        <v>1992-01-26</v>
      </c>
      <c r="C581" t="str">
        <f>"03 12 034550"</f>
        <v>03 12 034550</v>
      </c>
      <c r="D581" t="str">
        <f>"4276016716721324"</f>
        <v>4276016716721324</v>
      </c>
      <c r="E581" t="str">
        <f>"2021-05-31"</f>
        <v>2021-05-31</v>
      </c>
      <c r="F581" t="str">
        <f t="shared" si="100"/>
        <v>+</v>
      </c>
      <c r="G581" t="str">
        <f t="shared" si="100"/>
        <v>+</v>
      </c>
      <c r="H581" t="str">
        <f>"40817810016992277911"</f>
        <v>40817810016992277911</v>
      </c>
      <c r="I581" t="str">
        <f>"8647"</f>
        <v>8647</v>
      </c>
      <c r="J581" t="str">
        <f>"0084"</f>
        <v>0084</v>
      </c>
      <c r="K581" t="str">
        <f>"10000.00"</f>
        <v>10000.00</v>
      </c>
      <c r="L581" t="str">
        <f>"625000 ОБЛ ТЮМЕНСКАЯ   Г ТЮМЕНЬ   УЛ 30 ЛЕТ ПОБЕДЫ д. 38 корп. 10"</f>
        <v>625000 ОБЛ ТЮМЕНСКАЯ   Г ТЮМЕНЬ   УЛ 30 ЛЕТ ПОБЕДЫ д. 38 корп. 10</v>
      </c>
      <c r="M581" t="str">
        <f t="shared" si="101"/>
        <v>2019-08-24</v>
      </c>
      <c r="N581" t="str">
        <f>"ЗАО ЭСТЕЛЬ АРТИКО"</f>
        <v>ЗАО ЭСТЕЛЬ АРТИКО</v>
      </c>
      <c r="O581" t="str">
        <f>"354200"</f>
        <v>354200</v>
      </c>
      <c r="P581" t="str">
        <f>"КРАЙ КРАСНОДАРСКИЙ"</f>
        <v>КРАЙ КРАСНОДАРСКИЙ</v>
      </c>
      <c r="Q581" t="str">
        <f>"Р-Н ЛАЗАРЕВСКИЙ"</f>
        <v>Р-Н ЛАЗАРЕВСКИЙ</v>
      </c>
      <c r="R581" t="str">
        <f>"Г СОЧИ"</f>
        <v>Г СОЧИ</v>
      </c>
      <c r="S581" t="str">
        <f>""</f>
        <v/>
      </c>
      <c r="T581" t="str">
        <f>"ПЕР ОЗЕРНЫЙ"</f>
        <v>ПЕР ОЗЕРНЫЙ</v>
      </c>
      <c r="U581" s="1" t="str">
        <f>"6"</f>
        <v>6</v>
      </c>
      <c r="V581" s="1" t="str">
        <f>""</f>
        <v/>
      </c>
      <c r="W581" s="1" t="str">
        <f>""</f>
        <v/>
      </c>
      <c r="X581" s="1" t="str">
        <f>""</f>
        <v/>
      </c>
      <c r="Y581" s="1" t="str">
        <f>""</f>
        <v/>
      </c>
      <c r="Z581" t="str">
        <f>""</f>
        <v/>
      </c>
      <c r="AA581" t="str">
        <f>""</f>
        <v/>
      </c>
      <c r="AB581" t="str">
        <f>"9829495801"</f>
        <v>9829495801</v>
      </c>
      <c r="AC581" t="str">
        <f>""</f>
        <v/>
      </c>
      <c r="AD581" t="str">
        <f>"9829495801"</f>
        <v>9829495801</v>
      </c>
      <c r="AE581" t="str">
        <f>""</f>
        <v/>
      </c>
    </row>
    <row r="582" spans="1:31" x14ac:dyDescent="0.45">
      <c r="A582" t="str">
        <f>"ЖОЛОБОВА ТАТЬЯНА БОРИСОВНА"</f>
        <v>ЖОЛОБОВА ТАТЬЯНА БОРИСОВНА</v>
      </c>
      <c r="B582" t="str">
        <f>"1973-12-04"</f>
        <v>1973-12-04</v>
      </c>
      <c r="C582" t="str">
        <f>"65 18 819145"</f>
        <v>65 18 819145</v>
      </c>
      <c r="D582" t="str">
        <f>"4276011644056331"</f>
        <v>4276011644056331</v>
      </c>
      <c r="E582" t="str">
        <f>"2022-02-28"</f>
        <v>2022-02-28</v>
      </c>
      <c r="F582" t="str">
        <f t="shared" si="100"/>
        <v>+</v>
      </c>
      <c r="G582" t="str">
        <f t="shared" si="100"/>
        <v>+</v>
      </c>
      <c r="H582" t="str">
        <f>"40817810716991427839"</f>
        <v>40817810716991427839</v>
      </c>
      <c r="I582" t="str">
        <f>"7003"</f>
        <v>7003</v>
      </c>
      <c r="J582" t="str">
        <f>"0897"</f>
        <v>0897</v>
      </c>
      <c r="K582" t="str">
        <f>"11000.00"</f>
        <v>11000.00</v>
      </c>
      <c r="L582" t="str">
        <f>"620000 ОБЛ СВЕРДЛОВСКАЯ   Г ЕКАТЕРИНБУРГ   УЛ РОЗЫ ЛЮКСЕМБУРГ д. 51"</f>
        <v>620000 ОБЛ СВЕРДЛОВСКАЯ   Г ЕКАТЕРИНБУРГ   УЛ РОЗЫ ЛЮКСЕМБУРГ д. 51</v>
      </c>
      <c r="M582" t="str">
        <f t="shared" si="101"/>
        <v>2019-08-24</v>
      </c>
      <c r="N582" t="str">
        <f>"ПАО ТМК"</f>
        <v>ПАО ТМК</v>
      </c>
      <c r="O582" t="str">
        <f>"620000"</f>
        <v>620000</v>
      </c>
      <c r="P582" t="str">
        <f>"ОБЛ СВЕРДЛОВСКАЯ"</f>
        <v>ОБЛ СВЕРДЛОВСКАЯ</v>
      </c>
      <c r="Q582" t="str">
        <f>""</f>
        <v/>
      </c>
      <c r="R582" t="str">
        <f>"Г ЕКАТЕРИНБУРГ"</f>
        <v>Г ЕКАТЕРИНБУРГ</v>
      </c>
      <c r="S582" t="str">
        <f>""</f>
        <v/>
      </c>
      <c r="T582" t="str">
        <f>"УЛ АМУДСЕНА"</f>
        <v>УЛ АМУДСЕНА</v>
      </c>
      <c r="U582" s="1" t="str">
        <f>"137"</f>
        <v>137</v>
      </c>
      <c r="V582" s="1" t="str">
        <f>""</f>
        <v/>
      </c>
      <c r="W582" s="1" t="str">
        <f>""</f>
        <v/>
      </c>
      <c r="X582" s="1" t="str">
        <f>""</f>
        <v/>
      </c>
      <c r="Y582" s="1" t="str">
        <f>"68"</f>
        <v>68</v>
      </c>
      <c r="Z582" t="str">
        <f>"3433103303"</f>
        <v>3433103303</v>
      </c>
      <c r="AA582" t="str">
        <f>"3432679621"</f>
        <v>3432679621</v>
      </c>
      <c r="AB582" t="str">
        <f>"9122758993"</f>
        <v>9122758993</v>
      </c>
      <c r="AC582" t="str">
        <f>"9000000000"</f>
        <v>9000000000</v>
      </c>
      <c r="AD582" t="str">
        <f>"9122758993"</f>
        <v>9122758993</v>
      </c>
      <c r="AE582" t="str">
        <f>""</f>
        <v/>
      </c>
    </row>
    <row r="583" spans="1:31" x14ac:dyDescent="0.45">
      <c r="A583" t="str">
        <f>"СТАРОДУБОВ АНДРЕЙ БОРИСОВИЧ"</f>
        <v>СТАРОДУБОВ АНДРЕЙ БОРИСОВИЧ</v>
      </c>
      <c r="B583" t="str">
        <f>"1971-04-30"</f>
        <v>1971-04-30</v>
      </c>
      <c r="C583" t="str">
        <f>"37 16 666473"</f>
        <v>37 16 666473</v>
      </c>
      <c r="D583" t="str">
        <f>"4854630408684580"</f>
        <v>4854630408684580</v>
      </c>
      <c r="E583" t="str">
        <f>"2021-04-30"</f>
        <v>2021-04-30</v>
      </c>
      <c r="F583" t="str">
        <f t="shared" si="100"/>
        <v>+</v>
      </c>
      <c r="G583" t="str">
        <f t="shared" si="100"/>
        <v>+</v>
      </c>
      <c r="H583" t="str">
        <f>"40817810616991464170"</f>
        <v>40817810616991464170</v>
      </c>
      <c r="I583" t="str">
        <f>"8599"</f>
        <v>8599</v>
      </c>
      <c r="J583" t="str">
        <f>"0083"</f>
        <v>0083</v>
      </c>
      <c r="K583" t="str">
        <f>"120000.00"</f>
        <v>120000.00</v>
      </c>
      <c r="L583" t="str">
        <f>"641000 ОБЛ КУРГАНСКАЯ   Г КУРГАН   УЛ ХИММАШЕВСКАЯ д. 18"</f>
        <v>641000 ОБЛ КУРГАНСКАЯ   Г КУРГАН   УЛ ХИММАШЕВСКАЯ д. 18</v>
      </c>
      <c r="M583" t="str">
        <f t="shared" si="101"/>
        <v>2019-08-24</v>
      </c>
      <c r="N583" t="str">
        <f>"ООО КАЗ"</f>
        <v>ООО КАЗ</v>
      </c>
      <c r="O583" t="str">
        <f>"641000"</f>
        <v>641000</v>
      </c>
      <c r="P583" t="str">
        <f>"ОБЛ КУРГАНСКАЯ"</f>
        <v>ОБЛ КУРГАНСКАЯ</v>
      </c>
      <c r="Q583" t="str">
        <f>""</f>
        <v/>
      </c>
      <c r="R583" t="str">
        <f>"Г КУРГАН"</f>
        <v>Г КУРГАН</v>
      </c>
      <c r="S583" t="str">
        <f>""</f>
        <v/>
      </c>
      <c r="T583" t="str">
        <f>"УЛ НОВАЯ"</f>
        <v>УЛ НОВАЯ</v>
      </c>
      <c r="U583" s="1" t="str">
        <f>"10"</f>
        <v>10</v>
      </c>
      <c r="V583" s="1" t="str">
        <f>""</f>
        <v/>
      </c>
      <c r="W583" s="1" t="str">
        <f>""</f>
        <v/>
      </c>
      <c r="X583" s="1" t="str">
        <f>""</f>
        <v/>
      </c>
      <c r="Y583" s="1" t="str">
        <f>"54"</f>
        <v>54</v>
      </c>
      <c r="Z583" t="str">
        <f>"9080051129"</f>
        <v>9080051129</v>
      </c>
      <c r="AA583" t="str">
        <f>"9195878755"</f>
        <v>9195878755</v>
      </c>
      <c r="AB583" t="str">
        <f>"9195878755"</f>
        <v>9195878755</v>
      </c>
      <c r="AC583" t="str">
        <f>"9195878755"</f>
        <v>9195878755</v>
      </c>
      <c r="AD583" t="str">
        <f>"9195878755"</f>
        <v>9195878755</v>
      </c>
      <c r="AE583" t="str">
        <f>"9080051129"</f>
        <v>9080051129</v>
      </c>
    </row>
    <row r="584" spans="1:31" x14ac:dyDescent="0.45">
      <c r="A584" t="str">
        <f>"ДУДКИНА ГАЛИНА АЛЕКСЕЕВНА"</f>
        <v>ДУДКИНА ГАЛИНА АЛЕКСЕЕВНА</v>
      </c>
      <c r="B584" t="str">
        <f>"1961-01-02"</f>
        <v>1961-01-02</v>
      </c>
      <c r="C584" t="str">
        <f>"67 04 028129"</f>
        <v>67 04 028129</v>
      </c>
      <c r="D584" t="str">
        <f>"4854630381344467"</f>
        <v>4854630381344467</v>
      </c>
      <c r="E584" t="str">
        <f>"2021-04-30"</f>
        <v>2021-04-30</v>
      </c>
      <c r="F584" t="str">
        <f t="shared" si="100"/>
        <v>+</v>
      </c>
      <c r="G584" t="str">
        <f t="shared" si="100"/>
        <v>+</v>
      </c>
      <c r="H584" t="str">
        <f>"40817810316992455417"</f>
        <v>40817810316992455417</v>
      </c>
      <c r="I584" t="str">
        <f>"1791"</f>
        <v>1791</v>
      </c>
      <c r="J584" t="str">
        <f>"0100"</f>
        <v>0100</v>
      </c>
      <c r="K584" t="str">
        <f>"15000.00"</f>
        <v>15000.00</v>
      </c>
      <c r="L584" t="str">
        <f>"628186 ОБЛ ТЮМЕНСКАЯ АО ХМАО Г НЯГАНЬ   УЛ ЮБИЛЕЙНАЯ д. 60"</f>
        <v>628186 ОБЛ ТЮМЕНСКАЯ АО ХМАО Г НЯГАНЬ   УЛ ЮБИЛЕЙНАЯ д. 60</v>
      </c>
      <c r="M584" t="str">
        <f t="shared" si="101"/>
        <v>2019-08-24</v>
      </c>
      <c r="N584" t="str">
        <f>"ДС БЕЛОСНЕЖКА"</f>
        <v>ДС БЕЛОСНЕЖКА</v>
      </c>
      <c r="O584" t="str">
        <f>"628186"</f>
        <v>628186</v>
      </c>
      <c r="P584" t="str">
        <f>"ОБЛ ТЮМЕНСКАЯ"</f>
        <v>ОБЛ ТЮМЕНСКАЯ</v>
      </c>
      <c r="Q584" t="str">
        <f>"АО ХМАО"</f>
        <v>АО ХМАО</v>
      </c>
      <c r="R584" t="str">
        <f>"Г НЯГАНЬ"</f>
        <v>Г НЯГАНЬ</v>
      </c>
      <c r="S584" t="str">
        <f>""</f>
        <v/>
      </c>
      <c r="T584" t="str">
        <f>"УЛ 7-Й МКР"</f>
        <v>УЛ 7-Й МКР</v>
      </c>
      <c r="U584" s="1" t="str">
        <f>"3"</f>
        <v>3</v>
      </c>
      <c r="V584" s="1" t="str">
        <f>""</f>
        <v/>
      </c>
      <c r="W584" s="1" t="str">
        <f>""</f>
        <v/>
      </c>
      <c r="X584" s="1" t="str">
        <f>""</f>
        <v/>
      </c>
      <c r="Y584" s="1" t="str">
        <f>"66"</f>
        <v>66</v>
      </c>
      <c r="Z584" t="str">
        <f>"346 7254253"</f>
        <v>346 7254253</v>
      </c>
      <c r="AA584" t="str">
        <f>"9519794984"</f>
        <v>9519794984</v>
      </c>
      <c r="AB584" t="str">
        <f>"9519704515"</f>
        <v>9519704515</v>
      </c>
      <c r="AC584" t="str">
        <f>"9526942110"</f>
        <v>9526942110</v>
      </c>
      <c r="AD584" t="str">
        <f>"9505154748"</f>
        <v>9505154748</v>
      </c>
      <c r="AE584" t="str">
        <f>""</f>
        <v/>
      </c>
    </row>
    <row r="585" spans="1:31" x14ac:dyDescent="0.45">
      <c r="A585" t="str">
        <f>"АНДРЕЕВ ПЕТР САРАПИОНОВИЧ"</f>
        <v>АНДРЕЕВ ПЕТР САРАПИОНОВИЧ</v>
      </c>
      <c r="B585" t="str">
        <f>"1954-03-26"</f>
        <v>1954-03-26</v>
      </c>
      <c r="C585" t="str">
        <f>"65 04 169702"</f>
        <v>65 04 169702</v>
      </c>
      <c r="D585" t="str">
        <f>"4854630358933573"</f>
        <v>4854630358933573</v>
      </c>
      <c r="E585" t="str">
        <f>"2021-05-31"</f>
        <v>2021-05-31</v>
      </c>
      <c r="F585" t="str">
        <f>"Q"</f>
        <v>Q</v>
      </c>
      <c r="G585" t="str">
        <f>"Q"</f>
        <v>Q</v>
      </c>
      <c r="H585" t="str">
        <f>"40817810216991464169"</f>
        <v>40817810216991464169</v>
      </c>
      <c r="I585" t="str">
        <f>"7003"</f>
        <v>7003</v>
      </c>
      <c r="J585" t="str">
        <f>"0457"</f>
        <v>0457</v>
      </c>
      <c r="K585" t="str">
        <f>"0.00"</f>
        <v>0.00</v>
      </c>
      <c r="L585" t="str">
        <f>"620000 ОБЛ СВЕРДЛОВСКАЯ   Г ЕКАТЕРИНБУРГ   УЛ ТИТОВА д. 1"</f>
        <v>620000 ОБЛ СВЕРДЛОВСКАЯ   Г ЕКАТЕРИНБУРГ   УЛ ТИТОВА д. 1</v>
      </c>
      <c r="M585" t="str">
        <f t="shared" si="101"/>
        <v>2019-08-24</v>
      </c>
      <c r="N585" t="str">
        <f>"ПФ РФ"</f>
        <v>ПФ РФ</v>
      </c>
      <c r="O585" t="str">
        <f>"620000"</f>
        <v>620000</v>
      </c>
      <c r="P585" t="str">
        <f>"ОБЛ СВЕРДЛОВСКАЯ"</f>
        <v>ОБЛ СВЕРДЛОВСКАЯ</v>
      </c>
      <c r="Q585" t="str">
        <f>""</f>
        <v/>
      </c>
      <c r="R585" t="str">
        <f>"Г ЕКАТЕРИНБУРГ"</f>
        <v>Г ЕКАТЕРИНБУРГ</v>
      </c>
      <c r="S585" t="str">
        <f>""</f>
        <v/>
      </c>
      <c r="T585" t="str">
        <f>"УЛ МРАМОРСКАЯ"</f>
        <v>УЛ МРАМОРСКАЯ</v>
      </c>
      <c r="U585" s="1" t="str">
        <f>"28"</f>
        <v>28</v>
      </c>
      <c r="V585" s="1" t="str">
        <f>""</f>
        <v/>
      </c>
      <c r="W585" s="1" t="str">
        <f>""</f>
        <v/>
      </c>
      <c r="X585" s="1" t="str">
        <f>""</f>
        <v/>
      </c>
      <c r="Y585" s="1" t="str">
        <f>"24"</f>
        <v>24</v>
      </c>
      <c r="Z585" t="str">
        <f>"9126543031"</f>
        <v>9126543031</v>
      </c>
      <c r="AA585" t="str">
        <f>"9126543031"</f>
        <v>9126543031</v>
      </c>
      <c r="AB585" t="str">
        <f>"9126543031"</f>
        <v>9126543031</v>
      </c>
      <c r="AC585" t="str">
        <f>"9126543031"</f>
        <v>9126543031</v>
      </c>
      <c r="AD585" t="str">
        <f>"9126543031"</f>
        <v>9126543031</v>
      </c>
      <c r="AE585" t="str">
        <f>"9126543031"</f>
        <v>9126543031</v>
      </c>
    </row>
    <row r="586" spans="1:31" x14ac:dyDescent="0.45">
      <c r="A586" t="str">
        <f>"ШИРОКИХ ЛЕОНИД АЛЕКСАНДРОВИЧ"</f>
        <v>ШИРОКИХ ЛЕОНИД АЛЕКСАНДРОВИЧ</v>
      </c>
      <c r="B586" t="str">
        <f>"1979-03-16"</f>
        <v>1979-03-16</v>
      </c>
      <c r="C586" t="str">
        <f>"37 97 024762"</f>
        <v>37 97 024762</v>
      </c>
      <c r="D586" t="str">
        <f>"5313100149240029"</f>
        <v>5313100149240029</v>
      </c>
      <c r="E586" t="str">
        <f>"2020-10-31"</f>
        <v>2020-10-31</v>
      </c>
      <c r="F586" t="str">
        <f>"+"</f>
        <v>+</v>
      </c>
      <c r="G586" t="str">
        <f>"+"</f>
        <v>+</v>
      </c>
      <c r="H586" t="str">
        <f>"40817810816991427849"</f>
        <v>40817810816991427849</v>
      </c>
      <c r="I586" t="str">
        <f>"8599"</f>
        <v>8599</v>
      </c>
      <c r="J586" t="str">
        <f>"0109"</f>
        <v>0109</v>
      </c>
      <c r="K586" t="str">
        <f>"270000.00"</f>
        <v>270000.00</v>
      </c>
      <c r="L586" t="str">
        <f>"600000 ОБЛ ТЮМЕНСКАЯ   Г МЕГИОН   УЛ ЮЖНАЯ д. 7"</f>
        <v>600000 ОБЛ ТЮМЕНСКАЯ   Г МЕГИОН   УЛ ЮЖНАЯ д. 7</v>
      </c>
      <c r="M586" t="str">
        <f t="shared" si="101"/>
        <v>2019-08-24</v>
      </c>
      <c r="N586" t="str">
        <f>"МТПМ"</f>
        <v>МТПМ</v>
      </c>
      <c r="O586" t="str">
        <f>"641000"</f>
        <v>641000</v>
      </c>
      <c r="P586" t="str">
        <f>"ОБЛ КУРГАНСКАЯ"</f>
        <v>ОБЛ КУРГАНСКАЯ</v>
      </c>
      <c r="Q586" t="str">
        <f>"Р-Н МИШКИНСКИЙ"</f>
        <v>Р-Н МИШКИНСКИЙ</v>
      </c>
      <c r="R586" t="str">
        <f>""</f>
        <v/>
      </c>
      <c r="S586" t="str">
        <f>"С ВВЕДЕНСКОЕ"</f>
        <v>С ВВЕДЕНСКОЕ</v>
      </c>
      <c r="T586" t="str">
        <f>""</f>
        <v/>
      </c>
      <c r="U586" s="1" t="str">
        <f>"0"</f>
        <v>0</v>
      </c>
      <c r="V586" s="1" t="str">
        <f>""</f>
        <v/>
      </c>
      <c r="W586" s="1" t="str">
        <f>""</f>
        <v/>
      </c>
      <c r="X586" s="1" t="str">
        <f>""</f>
        <v/>
      </c>
      <c r="Y586" s="1" t="str">
        <f>""</f>
        <v/>
      </c>
      <c r="Z586" t="str">
        <f>""</f>
        <v/>
      </c>
      <c r="AA586" t="str">
        <f>"9195959387"</f>
        <v>9195959387</v>
      </c>
      <c r="AB586" t="str">
        <f>"9195662180"</f>
        <v>9195662180</v>
      </c>
      <c r="AC586" t="str">
        <f>"9195959387"</f>
        <v>9195959387</v>
      </c>
      <c r="AD586" t="str">
        <f>"9195662180"</f>
        <v>9195662180</v>
      </c>
      <c r="AE586" t="str">
        <f>""</f>
        <v/>
      </c>
    </row>
    <row r="587" spans="1:31" x14ac:dyDescent="0.45">
      <c r="A587" t="str">
        <f>"СТЕПУЧЕВА АЛЕВТИНА ПЕТРОВНА"</f>
        <v>СТЕПУЧЕВА АЛЕВТИНА ПЕТРОВНА</v>
      </c>
      <c r="B587" t="str">
        <f>"1956-02-19"</f>
        <v>1956-02-19</v>
      </c>
      <c r="C587" t="str">
        <f>"65 00 560499"</f>
        <v>65 00 560499</v>
      </c>
      <c r="D587" t="str">
        <f>"4854630398079015"</f>
        <v>4854630398079015</v>
      </c>
      <c r="E587" t="str">
        <f>"2021-04-30"</f>
        <v>2021-04-30</v>
      </c>
      <c r="F587" t="str">
        <f>"Q"</f>
        <v>Q</v>
      </c>
      <c r="G587" t="str">
        <f>"Q"</f>
        <v>Q</v>
      </c>
      <c r="H587" t="str">
        <f>"40817810616991424709"</f>
        <v>40817810616991424709</v>
      </c>
      <c r="I587" t="str">
        <f>"7003"</f>
        <v>7003</v>
      </c>
      <c r="J587" t="str">
        <f>"0383"</f>
        <v>0383</v>
      </c>
      <c r="K587" t="str">
        <f>"0.00"</f>
        <v>0.00</v>
      </c>
      <c r="L587" t="str">
        <f>"620000 ОБЛ СВЕРДЛОВСКАЯ   Г ЕКАТЕРИНБУРГ   УЛ АМУНДСЕНА д. 73 кв. 38"</f>
        <v>620000 ОБЛ СВЕРДЛОВСКАЯ   Г ЕКАТЕРИНБУРГ   УЛ АМУНДСЕНА д. 73 кв. 38</v>
      </c>
      <c r="M587" t="str">
        <f t="shared" si="101"/>
        <v>2019-08-24</v>
      </c>
      <c r="N587" t="str">
        <f>"ПФР"</f>
        <v>ПФР</v>
      </c>
      <c r="O587" t="str">
        <f>"620000"</f>
        <v>620000</v>
      </c>
      <c r="P587" t="str">
        <f>"ОБЛ СВЕРДЛОВСКАЯ"</f>
        <v>ОБЛ СВЕРДЛОВСКАЯ</v>
      </c>
      <c r="Q587" t="str">
        <f>""</f>
        <v/>
      </c>
      <c r="R587" t="str">
        <f>"Г ЕКАТЕРИНБУРГ"</f>
        <v>Г ЕКАТЕРИНБУРГ</v>
      </c>
      <c r="S587" t="str">
        <f>""</f>
        <v/>
      </c>
      <c r="T587" t="str">
        <f>"УЛ АМУНДСЕНА"</f>
        <v>УЛ АМУНДСЕНА</v>
      </c>
      <c r="U587" s="1" t="str">
        <f>"73"</f>
        <v>73</v>
      </c>
      <c r="V587" s="1" t="str">
        <f>""</f>
        <v/>
      </c>
      <c r="W587" s="1" t="str">
        <f>""</f>
        <v/>
      </c>
      <c r="X587" s="1" t="str">
        <f>""</f>
        <v/>
      </c>
      <c r="Y587" s="1" t="str">
        <f>"38"</f>
        <v>38</v>
      </c>
      <c r="Z587" t="str">
        <f>""</f>
        <v/>
      </c>
      <c r="AA587" t="str">
        <f>"+7 (961) 7741833"</f>
        <v>+7 (961) 7741833</v>
      </c>
      <c r="AB587" t="str">
        <f>"+7 (900) 0484867"</f>
        <v>+7 (900) 0484867</v>
      </c>
      <c r="AC587" t="str">
        <f>"9000484867"</f>
        <v>9000484867</v>
      </c>
      <c r="AD587" t="str">
        <f>"9000484867"</f>
        <v>9000484867</v>
      </c>
      <c r="AE587" t="str">
        <f>"9000484867"</f>
        <v>9000484867</v>
      </c>
    </row>
    <row r="588" spans="1:31" x14ac:dyDescent="0.45">
      <c r="A588" t="str">
        <f>"РЯБЧЕНЮК АНДРЕЙ ИВАНОВИЧ"</f>
        <v>РЯБЧЕНЮК АНДРЕЙ ИВАНОВИЧ</v>
      </c>
      <c r="B588" t="str">
        <f>"1965-09-28"</f>
        <v>1965-09-28</v>
      </c>
      <c r="C588" t="str">
        <f>"53 09 899526"</f>
        <v>53 09 899526</v>
      </c>
      <c r="D588" t="str">
        <f>"4854630401033165"</f>
        <v>4854630401033165</v>
      </c>
      <c r="E588" t="str">
        <f>"2021-04-30"</f>
        <v>2021-04-30</v>
      </c>
      <c r="F588" t="str">
        <f>"+"</f>
        <v>+</v>
      </c>
      <c r="G588" t="str">
        <f>"+"</f>
        <v>+</v>
      </c>
      <c r="H588" t="str">
        <f>"40817810416991427854"</f>
        <v>40817810416991427854</v>
      </c>
      <c r="I588" t="str">
        <f>"7003"</f>
        <v>7003</v>
      </c>
      <c r="J588" t="str">
        <f>"0409"</f>
        <v>0409</v>
      </c>
      <c r="K588" t="str">
        <f>"150000.00"</f>
        <v>150000.00</v>
      </c>
      <c r="L588" t="str">
        <f>"620000 ОБЛ СВЕРДЛОВСКАЯ   Г ЕКАТЕРИНБУРГ   УЛ ПОССАДСКАЯ д. 21"</f>
        <v>620000 ОБЛ СВЕРДЛОВСКАЯ   Г ЕКАТЕРИНБУРГ   УЛ ПОССАДСКАЯ д. 21</v>
      </c>
      <c r="M588" t="str">
        <f t="shared" si="101"/>
        <v>2019-08-24</v>
      </c>
      <c r="N588" t="str">
        <f>"УК БЦ ПОССАДСКАЯ 21"</f>
        <v>УК БЦ ПОССАДСКАЯ 21</v>
      </c>
      <c r="O588" t="str">
        <f>"620000"</f>
        <v>620000</v>
      </c>
      <c r="P588" t="str">
        <f>"ОБЛ СВЕРДЛОВСКАЯ"</f>
        <v>ОБЛ СВЕРДЛОВСКАЯ</v>
      </c>
      <c r="Q588" t="str">
        <f>""</f>
        <v/>
      </c>
      <c r="R588" t="str">
        <f>"Г ЕКАТЕРИНБУРГ"</f>
        <v>Г ЕКАТЕРИНБУРГ</v>
      </c>
      <c r="S588" t="str">
        <f>""</f>
        <v/>
      </c>
      <c r="T588" t="str">
        <f>"УЛ ПАВЛА ШАМАНОВА"</f>
        <v>УЛ ПАВЛА ШАМАНОВА</v>
      </c>
      <c r="U588" s="1" t="str">
        <f>"10"</f>
        <v>10</v>
      </c>
      <c r="V588" s="1" t="str">
        <f>""</f>
        <v/>
      </c>
      <c r="W588" s="1" t="str">
        <f>""</f>
        <v/>
      </c>
      <c r="X588" s="1" t="str">
        <f>""</f>
        <v/>
      </c>
      <c r="Y588" s="1" t="str">
        <f>"44"</f>
        <v>44</v>
      </c>
      <c r="Z588" t="str">
        <f>""</f>
        <v/>
      </c>
      <c r="AA588" t="str">
        <f>"9826630165"</f>
        <v>9826630165</v>
      </c>
      <c r="AB588" t="str">
        <f>"9826630165"</f>
        <v>9826630165</v>
      </c>
      <c r="AC588" t="str">
        <f>"9826630165"</f>
        <v>9826630165</v>
      </c>
      <c r="AD588" t="str">
        <f>"9826630165"</f>
        <v>9826630165</v>
      </c>
      <c r="AE588" t="str">
        <f>""</f>
        <v/>
      </c>
    </row>
    <row r="589" spans="1:31" x14ac:dyDescent="0.45">
      <c r="A589" t="str">
        <f>"УБАСЕВ ДМИТРИЙ СЕРГЕЕВИЧ"</f>
        <v>УБАСЕВ ДМИТРИЙ СЕРГЕЕВИЧ</v>
      </c>
      <c r="B589" t="str">
        <f>"1985-06-09"</f>
        <v>1985-06-09</v>
      </c>
      <c r="C589" t="str">
        <f>"71 04 313172"</f>
        <v>71 04 313172</v>
      </c>
      <c r="D589" t="str">
        <f>"4854630413100135"</f>
        <v>4854630413100135</v>
      </c>
      <c r="E589" t="str">
        <f>"2021-04-30"</f>
        <v>2021-04-30</v>
      </c>
      <c r="F589" t="str">
        <f>"+"</f>
        <v>+</v>
      </c>
      <c r="G589" t="str">
        <f>"+"</f>
        <v>+</v>
      </c>
      <c r="H589" t="str">
        <f>"40817810716992456029"</f>
        <v>40817810716992456029</v>
      </c>
      <c r="I589" t="str">
        <f>"8647"</f>
        <v>8647</v>
      </c>
      <c r="J589" t="str">
        <f>"0186"</f>
        <v>0186</v>
      </c>
      <c r="K589" t="str">
        <f>"34000.00"</f>
        <v>34000.00</v>
      </c>
      <c r="L589" t="str">
        <f>"627750 ОБЛ ТЮМЕНСКАЯ   Г ИШИМ   УЛ КАЗАНСКАЯ д. 44"</f>
        <v>627750 ОБЛ ТЮМЕНСКАЯ   Г ИШИМ   УЛ КАЗАНСКАЯ д. 44</v>
      </c>
      <c r="M589" t="str">
        <f t="shared" si="101"/>
        <v>2019-08-24</v>
      </c>
      <c r="N589" t="str">
        <f>"СПЕЦАВТОХОЗЯЙСТВО"</f>
        <v>СПЕЦАВТОХОЗЯЙСТВО</v>
      </c>
      <c r="O589" t="str">
        <f>"627750"</f>
        <v>627750</v>
      </c>
      <c r="P589" t="str">
        <f>"ОБЛ ТЮМЕНСКАЯ"</f>
        <v>ОБЛ ТЮМЕНСКАЯ</v>
      </c>
      <c r="Q589" t="str">
        <f>""</f>
        <v/>
      </c>
      <c r="R589" t="str">
        <f>"Г ИШИМ"</f>
        <v>Г ИШИМ</v>
      </c>
      <c r="S589" t="str">
        <f>""</f>
        <v/>
      </c>
      <c r="T589" t="str">
        <f>"УЛ ТОЛБУХИНА"</f>
        <v>УЛ ТОЛБУХИНА</v>
      </c>
      <c r="U589" s="1" t="str">
        <f>"67"</f>
        <v>67</v>
      </c>
      <c r="V589" s="1" t="str">
        <f>""</f>
        <v/>
      </c>
      <c r="W589" s="1" t="str">
        <f>""</f>
        <v/>
      </c>
      <c r="X589" s="1" t="str">
        <f>""</f>
        <v/>
      </c>
      <c r="Y589" s="1" t="str">
        <f>""</f>
        <v/>
      </c>
      <c r="Z589" t="str">
        <f>"3455164191"</f>
        <v>3455164191</v>
      </c>
      <c r="AA589" t="str">
        <f>"9829322620"</f>
        <v>9829322620</v>
      </c>
      <c r="AB589" t="str">
        <f>"9199303239"</f>
        <v>9199303239</v>
      </c>
      <c r="AC589" t="str">
        <f>"9829322620"</f>
        <v>9829322620</v>
      </c>
      <c r="AD589" t="str">
        <f>"9199303239"</f>
        <v>9199303239</v>
      </c>
      <c r="AE589" t="str">
        <f>""</f>
        <v/>
      </c>
    </row>
    <row r="590" spans="1:31" x14ac:dyDescent="0.45">
      <c r="A590" t="str">
        <f>"ИСЛАМОВ АЛИ БЕКАЛИЕВИЧ"</f>
        <v>ИСЛАМОВ АЛИ БЕКАЛИЕВИЧ</v>
      </c>
      <c r="B590" t="str">
        <f>"1968-03-14"</f>
        <v>1968-03-14</v>
      </c>
      <c r="C590" t="str">
        <f>"09 14 083074"</f>
        <v>09 14 083074</v>
      </c>
      <c r="D590" t="str">
        <f>"4854630377832491"</f>
        <v>4854630377832491</v>
      </c>
      <c r="E590" t="str">
        <f>"2021-04-30"</f>
        <v>2021-04-30</v>
      </c>
      <c r="F590" t="str">
        <f>"Q"</f>
        <v>Q</v>
      </c>
      <c r="G590" t="str">
        <f>"Q"</f>
        <v>Q</v>
      </c>
      <c r="H590" t="str">
        <f>"40817810867720715633"</f>
        <v>40817810867720715633</v>
      </c>
      <c r="I590" t="str">
        <f>"0029"</f>
        <v>0029</v>
      </c>
      <c r="J590" t="str">
        <f>"0112"</f>
        <v>0112</v>
      </c>
      <c r="K590" t="str">
        <f>"0.00"</f>
        <v>0.00</v>
      </c>
      <c r="L590" t="str">
        <f>"626150 ОБЛ ТЮМЕНСКАЯ   Г ТОБОЛЬСК   УЛ ПРОИЗВОДСТВЕННАЯ д. 100 стр. 1"</f>
        <v>626150 ОБЛ ТЮМЕНСКАЯ   Г ТОБОЛЬСК   УЛ ПРОИЗВОДСТВЕННАЯ д. 100 стр. 1</v>
      </c>
      <c r="M590" t="str">
        <f t="shared" si="101"/>
        <v>2019-08-24</v>
      </c>
      <c r="N590" t="str">
        <f>"ООО МГСК"</f>
        <v>ООО МГСК</v>
      </c>
      <c r="O590" t="str">
        <f>"625000"</f>
        <v>625000</v>
      </c>
      <c r="P590" t="str">
        <f>"ОБЛ ТЮМЕНСКАЯ"</f>
        <v>ОБЛ ТЮМЕНСКАЯ</v>
      </c>
      <c r="Q590" t="str">
        <f>"АО ХАНТЫ-МАНСИЙСКИЙ"</f>
        <v>АО ХАНТЫ-МАНСИЙСКИЙ</v>
      </c>
      <c r="R590" t="str">
        <f>""</f>
        <v/>
      </c>
      <c r="S590" t="str">
        <f>"П САЛЫМ"</f>
        <v>П САЛЫМ</v>
      </c>
      <c r="T590" t="str">
        <f>"УЛ ПРИВОКЗАЛЬНАЯ"</f>
        <v>УЛ ПРИВОКЗАЛЬНАЯ</v>
      </c>
      <c r="U590" s="1" t="str">
        <f>"6"</f>
        <v>6</v>
      </c>
      <c r="V590" s="1" t="str">
        <f>""</f>
        <v/>
      </c>
      <c r="W590" s="1" t="str">
        <f>""</f>
        <v/>
      </c>
      <c r="X590" s="1" t="str">
        <f>""</f>
        <v/>
      </c>
      <c r="Y590" s="1" t="str">
        <f>"7"</f>
        <v>7</v>
      </c>
      <c r="Z590" t="str">
        <f>""</f>
        <v/>
      </c>
      <c r="AA590" t="str">
        <f>"9224265674"</f>
        <v>9224265674</v>
      </c>
      <c r="AB590" t="str">
        <f>"9292681313"</f>
        <v>9292681313</v>
      </c>
      <c r="AC590" t="str">
        <f>"9224265674"</f>
        <v>9224265674</v>
      </c>
      <c r="AD590" t="str">
        <f>"9292681313"</f>
        <v>9292681313</v>
      </c>
      <c r="AE590" t="str">
        <f>""</f>
        <v/>
      </c>
    </row>
    <row r="591" spans="1:31" x14ac:dyDescent="0.45">
      <c r="A591" t="str">
        <f>"ВИНОГРАДОВА ЕКАТЕРИНА ЕВГЕНЬЕВНА"</f>
        <v>ВИНОГРАДОВА ЕКАТЕРИНА ЕВГЕНЬЕВНА</v>
      </c>
      <c r="B591" t="str">
        <f>"1984-07-07"</f>
        <v>1984-07-07</v>
      </c>
      <c r="C591" t="str">
        <f>"75 13 339017"</f>
        <v>75 13 339017</v>
      </c>
      <c r="D591" t="str">
        <f>"4854630298315717"</f>
        <v>4854630298315717</v>
      </c>
      <c r="E591" t="str">
        <f>"2020-11-30"</f>
        <v>2020-11-30</v>
      </c>
      <c r="F591" t="str">
        <f t="shared" ref="F591:G593" si="102">"+"</f>
        <v>+</v>
      </c>
      <c r="G591" t="str">
        <f t="shared" si="102"/>
        <v>+</v>
      </c>
      <c r="H591" t="str">
        <f>"40817810116991464191"</f>
        <v>40817810116991464191</v>
      </c>
      <c r="I591" t="str">
        <f>"8597"</f>
        <v>8597</v>
      </c>
      <c r="J591" t="str">
        <f>"0521"</f>
        <v>0521</v>
      </c>
      <c r="K591" t="str">
        <f>"195000.00"</f>
        <v>195000.00</v>
      </c>
      <c r="L591" t="str">
        <f>"300300 ОБЛ НИЖЕГОРОДСКАЯ   Г ДЗЕРЖИНСК   ПР-КТ ЦИОЛКОВСКОГО д. 1"</f>
        <v>300300 ОБЛ НИЖЕГОРОДСКАЯ   Г ДЗЕРЖИНСК   ПР-КТ ЦИОЛКОВСКОГО д. 1</v>
      </c>
      <c r="M591" t="str">
        <f t="shared" si="101"/>
        <v>2019-08-24</v>
      </c>
      <c r="N591" t="str">
        <f>"ИНДИВИДУАЛЬНЫЙ ПРЕДПРИНИМАТЕЛЬ РЫКУНОВА ОЛЬГА АЛЕКСАНДРОВНА"</f>
        <v>ИНДИВИДУАЛЬНЫЙ ПРЕДПРИНИМАТЕЛЬ РЫКУНОВА ОЛЬГА АЛЕКСАНДРОВНА</v>
      </c>
      <c r="O591" t="str">
        <f>"454000"</f>
        <v>454000</v>
      </c>
      <c r="P591" t="str">
        <f>"ОБЛ ЧЕЛЯБИНСКАЯ"</f>
        <v>ОБЛ ЧЕЛЯБИНСКАЯ</v>
      </c>
      <c r="Q591" t="str">
        <f>""</f>
        <v/>
      </c>
      <c r="R591" t="str">
        <f>"Г МИАСС"</f>
        <v>Г МИАСС</v>
      </c>
      <c r="S591" t="str">
        <f>"П ЛЕНИНСК"</f>
        <v>П ЛЕНИНСК</v>
      </c>
      <c r="T591" t="str">
        <f>"УЛ МЕЧНИКОВА"</f>
        <v>УЛ МЕЧНИКОВА</v>
      </c>
      <c r="U591" s="1" t="str">
        <f>"12"</f>
        <v>12</v>
      </c>
      <c r="V591" s="1" t="str">
        <f>""</f>
        <v/>
      </c>
      <c r="W591" s="1" t="str">
        <f>""</f>
        <v/>
      </c>
      <c r="X591" s="1" t="str">
        <f>""</f>
        <v/>
      </c>
      <c r="Y591" s="1" t="str">
        <f>""</f>
        <v/>
      </c>
      <c r="Z591" t="str">
        <f>"9507326488"</f>
        <v>9507326488</v>
      </c>
      <c r="AA591" t="str">
        <f>"9823686858"</f>
        <v>9823686858</v>
      </c>
      <c r="AB591" t="str">
        <f>"9823686858"</f>
        <v>9823686858</v>
      </c>
      <c r="AC591" t="str">
        <f>"9507326488"</f>
        <v>9507326488</v>
      </c>
      <c r="AD591" t="str">
        <f>"9823686858"</f>
        <v>9823686858</v>
      </c>
      <c r="AE591" t="str">
        <f>"9507326488"</f>
        <v>9507326488</v>
      </c>
    </row>
    <row r="592" spans="1:31" x14ac:dyDescent="0.45">
      <c r="A592" t="str">
        <f>"ХАМИТОВА ГУЗЕЛЬ НАИЛЕВНА"</f>
        <v>ХАМИТОВА ГУЗЕЛЬ НАИЛЕВНА</v>
      </c>
      <c r="B592" t="str">
        <f>"1988-07-29"</f>
        <v>1988-07-29</v>
      </c>
      <c r="C592" t="str">
        <f>"80 11 543902"</f>
        <v>80 11 543902</v>
      </c>
      <c r="D592" t="str">
        <f>"4854630380447527"</f>
        <v>4854630380447527</v>
      </c>
      <c r="E592" t="str">
        <f>"2021-04-30"</f>
        <v>2021-04-30</v>
      </c>
      <c r="F592" t="str">
        <f t="shared" si="102"/>
        <v>+</v>
      </c>
      <c r="G592" t="str">
        <f t="shared" si="102"/>
        <v>+</v>
      </c>
      <c r="H592" t="str">
        <f>"40817810716991427868"</f>
        <v>40817810716991427868</v>
      </c>
      <c r="I592" t="str">
        <f>"8598"</f>
        <v>8598</v>
      </c>
      <c r="J592" t="str">
        <f>"0159"</f>
        <v>0159</v>
      </c>
      <c r="K592" t="str">
        <f>"40000.00"</f>
        <v>40000.00</v>
      </c>
      <c r="L592" t="str">
        <f>"450000 РЕСП БАШКОРТОСТАН   Г УФА   УЛ СОФЬИ ПЕРОВСКОЙ д. 13"</f>
        <v>450000 РЕСП БАШКОРТОСТАН   Г УФА   УЛ СОФЬИ ПЕРОВСКОЙ д. 13</v>
      </c>
      <c r="M592" t="str">
        <f t="shared" si="101"/>
        <v>2019-08-24</v>
      </c>
      <c r="N592" t="str">
        <f>"ОРАНЖ ФИТНЕС"</f>
        <v>ОРАНЖ ФИТНЕС</v>
      </c>
      <c r="O592" t="str">
        <f>"450000"</f>
        <v>450000</v>
      </c>
      <c r="P592" t="str">
        <f>"РЕСП БАШКОРТОСТАН"</f>
        <v>РЕСП БАШКОРТОСТАН</v>
      </c>
      <c r="Q592" t="str">
        <f>""</f>
        <v/>
      </c>
      <c r="R592" t="str">
        <f>"Г УФА"</f>
        <v>Г УФА</v>
      </c>
      <c r="S592" t="str">
        <f>""</f>
        <v/>
      </c>
      <c r="T592" t="str">
        <f>"УЛ СОВЕТСКАЯ"</f>
        <v>УЛ СОВЕТСКАЯ</v>
      </c>
      <c r="U592" s="1" t="str">
        <f>"21"</f>
        <v>21</v>
      </c>
      <c r="V592" s="1" t="str">
        <f>""</f>
        <v/>
      </c>
      <c r="W592" s="1" t="str">
        <f>""</f>
        <v/>
      </c>
      <c r="X592" s="1" t="str">
        <f>""</f>
        <v/>
      </c>
      <c r="Y592" s="1" t="str">
        <f>"4"</f>
        <v>4</v>
      </c>
      <c r="Z592" t="str">
        <f>""</f>
        <v/>
      </c>
      <c r="AA592" t="str">
        <f>"9279396609"</f>
        <v>9279396609</v>
      </c>
      <c r="AB592" t="str">
        <f>"9273033739"</f>
        <v>9273033739</v>
      </c>
      <c r="AC592" t="str">
        <f>"9279396609"</f>
        <v>9279396609</v>
      </c>
      <c r="AD592" t="str">
        <f>"9273033739"</f>
        <v>9273033739</v>
      </c>
      <c r="AE592" t="str">
        <f>""</f>
        <v/>
      </c>
    </row>
    <row r="593" spans="1:31" x14ac:dyDescent="0.45">
      <c r="A593" t="str">
        <f>"КАБИРОВ МУМИНЖОН РАХМОНОВИЧ"</f>
        <v>КАБИРОВ МУМИНЖОН РАХМОНОВИЧ</v>
      </c>
      <c r="B593" t="str">
        <f>"1968-01-02"</f>
        <v>1968-01-02</v>
      </c>
      <c r="C593" t="str">
        <f>"67 12 276767"</f>
        <v>67 12 276767</v>
      </c>
      <c r="D593" t="str">
        <f>"4854630377768083"</f>
        <v>4854630377768083</v>
      </c>
      <c r="E593" t="str">
        <f>"2021-04-30"</f>
        <v>2021-04-30</v>
      </c>
      <c r="F593" t="str">
        <f t="shared" si="102"/>
        <v>+</v>
      </c>
      <c r="G593" t="str">
        <f t="shared" si="102"/>
        <v>+</v>
      </c>
      <c r="H593" t="str">
        <f>"40817810816992241105"</f>
        <v>40817810816992241105</v>
      </c>
      <c r="I593" t="str">
        <f>"5940"</f>
        <v>5940</v>
      </c>
      <c r="J593" t="str">
        <f>"0133"</f>
        <v>0133</v>
      </c>
      <c r="K593" t="str">
        <f>"340000.00"</f>
        <v>340000.00</v>
      </c>
      <c r="L593" t="str">
        <f>"628672 ОБЛ ТЮМЕНСКАЯ   Г ЛАНГЕПАС   УЛ МИРА д. 8"</f>
        <v>628672 ОБЛ ТЮМЕНСКАЯ   Г ЛАНГЕПАС   УЛ МИРА д. 8</v>
      </c>
      <c r="M593" t="str">
        <f t="shared" si="101"/>
        <v>2019-08-24</v>
      </c>
      <c r="N593" t="str">
        <f>"ООО КАСКАД"</f>
        <v>ООО КАСКАД</v>
      </c>
      <c r="O593" t="str">
        <f>"628672"</f>
        <v>628672</v>
      </c>
      <c r="P593" t="str">
        <f>"ОБЛ ТЮМЕНСКАЯ"</f>
        <v>ОБЛ ТЮМЕНСКАЯ</v>
      </c>
      <c r="Q593" t="str">
        <f>""</f>
        <v/>
      </c>
      <c r="R593" t="str">
        <f>"Г ЛАНГЕПАС"</f>
        <v>Г ЛАНГЕПАС</v>
      </c>
      <c r="S593" t="str">
        <f>""</f>
        <v/>
      </c>
      <c r="T593" t="str">
        <f>"УЛ ЗВЕЗДНЫЙ ПРОЕЗД"</f>
        <v>УЛ ЗВЕЗДНЫЙ ПРОЕЗД</v>
      </c>
      <c r="U593" s="1" t="str">
        <f>"10"</f>
        <v>10</v>
      </c>
      <c r="V593" s="1" t="str">
        <f>""</f>
        <v/>
      </c>
      <c r="W593" s="1" t="str">
        <f>""</f>
        <v/>
      </c>
      <c r="X593" s="1" t="str">
        <f>""</f>
        <v/>
      </c>
      <c r="Y593" s="1" t="str">
        <f>"78К2"</f>
        <v>78К2</v>
      </c>
      <c r="Z593" t="str">
        <f>""</f>
        <v/>
      </c>
      <c r="AA593" t="str">
        <f>"9832435302"</f>
        <v>9832435302</v>
      </c>
      <c r="AB593" t="str">
        <f>"9125392841"</f>
        <v>9125392841</v>
      </c>
      <c r="AC593" t="str">
        <f>"9832435302"</f>
        <v>9832435302</v>
      </c>
      <c r="AD593" t="str">
        <f>"9125392841"</f>
        <v>9125392841</v>
      </c>
      <c r="AE593" t="str">
        <f>""</f>
        <v/>
      </c>
    </row>
    <row r="594" spans="1:31" x14ac:dyDescent="0.45">
      <c r="A594" t="str">
        <f>"РЗАЕВ РОВШАН ХЕЙРУЛЛА ОГЛЫ"</f>
        <v>РЗАЕВ РОВШАН ХЕЙРУЛЛА ОГЛЫ</v>
      </c>
      <c r="B594" t="str">
        <f>"1965-12-05"</f>
        <v>1965-12-05</v>
      </c>
      <c r="C594" t="str">
        <f>"65 11 067425"</f>
        <v>65 11 067425</v>
      </c>
      <c r="D594" t="str">
        <f>"4854630399245789"</f>
        <v>4854630399245789</v>
      </c>
      <c r="E594" t="str">
        <f>"2021-04-30"</f>
        <v>2021-04-30</v>
      </c>
      <c r="F594" t="str">
        <f>"Q"</f>
        <v>Q</v>
      </c>
      <c r="G594" t="str">
        <f>"Q"</f>
        <v>Q</v>
      </c>
      <c r="H594" t="str">
        <f>"40817810016991427869"</f>
        <v>40817810016991427869</v>
      </c>
      <c r="I594" t="str">
        <f>"7003"</f>
        <v>7003</v>
      </c>
      <c r="J594" t="str">
        <f>"0393"</f>
        <v>0393</v>
      </c>
      <c r="K594" t="str">
        <f>"0.00"</f>
        <v>0.00</v>
      </c>
      <c r="L594" t="str">
        <f>"620034 ОБЛ СВЕРДЛОВСКАЯ   Г ЕКАТЕРИНБУРГ   УЛ ТОЛЕДОВА д. 43"</f>
        <v>620034 ОБЛ СВЕРДЛОВСКАЯ   Г ЕКАТЕРИНБУРГ   УЛ ТОЛЕДОВА д. 43</v>
      </c>
      <c r="M594" t="str">
        <f t="shared" si="101"/>
        <v>2019-08-24</v>
      </c>
      <c r="N594" t="str">
        <f>"ЗАВОД ВИЗСТАЛЬ"</f>
        <v>ЗАВОД ВИЗСТАЛЬ</v>
      </c>
      <c r="O594" t="str">
        <f>"620141"</f>
        <v>620141</v>
      </c>
      <c r="P594" t="str">
        <f>"ОБЛ СВЕРДЛОВСКАЯ"</f>
        <v>ОБЛ СВЕРДЛОВСКАЯ</v>
      </c>
      <c r="Q594" t="str">
        <f>""</f>
        <v/>
      </c>
      <c r="R594" t="str">
        <f>"Г ЕКАТЕРИНБУРГ"</f>
        <v>Г ЕКАТЕРИНБУРГ</v>
      </c>
      <c r="S594" t="str">
        <f>""</f>
        <v/>
      </c>
      <c r="T594" t="str">
        <f>"УЛ ПЕХОТИНЦЕВ"</f>
        <v>УЛ ПЕХОТИНЦЕВ</v>
      </c>
      <c r="U594" s="1" t="str">
        <f>"5"</f>
        <v>5</v>
      </c>
      <c r="V594" s="1" t="str">
        <f>""</f>
        <v/>
      </c>
      <c r="W594" s="1" t="str">
        <f>""</f>
        <v/>
      </c>
      <c r="X594" s="1" t="str">
        <f>""</f>
        <v/>
      </c>
      <c r="Y594" s="1" t="str">
        <f>"118"</f>
        <v>118</v>
      </c>
      <c r="Z594" t="str">
        <f>"9655085619"</f>
        <v>9655085619</v>
      </c>
      <c r="AA594" t="str">
        <f>"9068116971"</f>
        <v>9068116971</v>
      </c>
      <c r="AB594" t="str">
        <f>"9068116971"</f>
        <v>9068116971</v>
      </c>
      <c r="AC594" t="str">
        <f>"9068116971"</f>
        <v>9068116971</v>
      </c>
      <c r="AD594" t="str">
        <f>"9068116971"</f>
        <v>9068116971</v>
      </c>
      <c r="AE594" t="str">
        <f>"9655085619"</f>
        <v>9655085619</v>
      </c>
    </row>
    <row r="595" spans="1:31" x14ac:dyDescent="0.45">
      <c r="A595" t="str">
        <f>"САФИНА ФАЙРУЗА РАМАЗАНОВНА"</f>
        <v>САФИНА ФАЙРУЗА РАМАЗАНОВНА</v>
      </c>
      <c r="B595" t="str">
        <f>"1959-01-16"</f>
        <v>1959-01-16</v>
      </c>
      <c r="C595" t="str">
        <f>"65 05 505221"</f>
        <v>65 05 505221</v>
      </c>
      <c r="D595" t="str">
        <f>"4854630361429494"</f>
        <v>4854630361429494</v>
      </c>
      <c r="E595" t="str">
        <f>"2021-05-31"</f>
        <v>2021-05-31</v>
      </c>
      <c r="F595" t="str">
        <f t="shared" ref="F595:G611" si="103">"+"</f>
        <v>+</v>
      </c>
      <c r="G595" t="str">
        <f t="shared" si="103"/>
        <v>+</v>
      </c>
      <c r="H595" t="str">
        <f>"40817810216991464114"</f>
        <v>40817810216991464114</v>
      </c>
      <c r="I595" t="str">
        <f>"7003"</f>
        <v>7003</v>
      </c>
      <c r="J595" t="str">
        <f>"0805"</f>
        <v>0805</v>
      </c>
      <c r="K595" t="str">
        <f>"100000.00"</f>
        <v>100000.00</v>
      </c>
      <c r="L595" t="str">
        <f>"620000 ОБЛ СВЕРДЛОВСКАЯ   Г ЕКАТЕРИНБУРГ   УЛ ЗЕНИТЧИКОВ д. 20"</f>
        <v>620000 ОБЛ СВЕРДЛОВСКАЯ   Г ЕКАТЕРИНБУРГ   УЛ ЗЕНИТЧИКОВ д. 20</v>
      </c>
      <c r="M595" t="str">
        <f t="shared" si="101"/>
        <v>2019-08-24</v>
      </c>
      <c r="N595" t="str">
        <f>"ЦВЕТЫ 24 ЧАСА"</f>
        <v>ЦВЕТЫ 24 ЧАСА</v>
      </c>
      <c r="O595" t="str">
        <f>"620000"</f>
        <v>620000</v>
      </c>
      <c r="P595" t="str">
        <f>"ОБЛ СВЕРДЛОВСКАЯ"</f>
        <v>ОБЛ СВЕРДЛОВСКАЯ</v>
      </c>
      <c r="Q595" t="str">
        <f>""</f>
        <v/>
      </c>
      <c r="R595" t="str">
        <f>"Г ЕКАТЕРИНБУРГА"</f>
        <v>Г ЕКАТЕРИНБУРГА</v>
      </c>
      <c r="S595" t="str">
        <f>""</f>
        <v/>
      </c>
      <c r="T595" t="str">
        <f>"ПЕР ХЕРСОНСКИЙ"</f>
        <v>ПЕР ХЕРСОНСКИЙ</v>
      </c>
      <c r="U595" s="1" t="str">
        <f>"36"</f>
        <v>36</v>
      </c>
      <c r="V595" s="1" t="str">
        <f>""</f>
        <v/>
      </c>
      <c r="W595" s="1" t="str">
        <f>""</f>
        <v/>
      </c>
      <c r="X595" s="1" t="str">
        <f>""</f>
        <v/>
      </c>
      <c r="Y595" s="1" t="str">
        <f>""</f>
        <v/>
      </c>
      <c r="Z595" t="str">
        <f>""</f>
        <v/>
      </c>
      <c r="AA595" t="str">
        <f>"9617641751"</f>
        <v>9617641751</v>
      </c>
      <c r="AB595" t="str">
        <f>"9617641751"</f>
        <v>9617641751</v>
      </c>
      <c r="AC595" t="str">
        <f>"9617641751"</f>
        <v>9617641751</v>
      </c>
      <c r="AD595" t="str">
        <f>"9617641751"</f>
        <v>9617641751</v>
      </c>
      <c r="AE595" t="str">
        <f>""</f>
        <v/>
      </c>
    </row>
    <row r="596" spans="1:31" x14ac:dyDescent="0.45">
      <c r="A596" t="str">
        <f>"ВЕРБИЦКИЙ АЛЕКСАНДР БОРИСОВИЧ"</f>
        <v>ВЕРБИЦКИЙ АЛЕКСАНДР БОРИСОВИЧ</v>
      </c>
      <c r="B596" t="str">
        <f>"1962-07-17"</f>
        <v>1962-07-17</v>
      </c>
      <c r="C596" t="str">
        <f>"67 06 684911"</f>
        <v>67 06 684911</v>
      </c>
      <c r="D596" t="str">
        <f>"4276016705101306"</f>
        <v>4276016705101306</v>
      </c>
      <c r="E596" t="str">
        <f>"2021-11-30"</f>
        <v>2021-11-30</v>
      </c>
      <c r="F596" t="str">
        <f t="shared" si="103"/>
        <v>+</v>
      </c>
      <c r="G596" t="str">
        <f t="shared" si="103"/>
        <v>+</v>
      </c>
      <c r="H596" t="str">
        <f>"40817810916992066484"</f>
        <v>40817810916992066484</v>
      </c>
      <c r="I596" t="str">
        <f>"5940"</f>
        <v>5940</v>
      </c>
      <c r="J596" t="str">
        <f>"0105"</f>
        <v>0105</v>
      </c>
      <c r="K596" t="str">
        <f>"12000.00"</f>
        <v>12000.00</v>
      </c>
      <c r="L596" t="str">
        <f>"628300 ОБЛ ТЮМЕНСКАЯ АО ХМАО-ЮГРА Г НЕФТЕЮГАНСК   МКР 9 д. 2 кв. 38"</f>
        <v>628300 ОБЛ ТЮМЕНСКАЯ АО ХМАО-ЮГРА Г НЕФТЕЮГАНСК   МКР 9 д. 2 кв. 38</v>
      </c>
      <c r="M596" t="str">
        <f t="shared" si="101"/>
        <v>2019-08-24</v>
      </c>
      <c r="N596" t="str">
        <f>"ПЕНСИОНЕР"</f>
        <v>ПЕНСИОНЕР</v>
      </c>
      <c r="O596" t="str">
        <f>"628300"</f>
        <v>628300</v>
      </c>
      <c r="P596" t="str">
        <f>"ОБЛ ТЮМЕНСКАЯ"</f>
        <v>ОБЛ ТЮМЕНСКАЯ</v>
      </c>
      <c r="Q596" t="str">
        <f>""</f>
        <v/>
      </c>
      <c r="R596" t="str">
        <f>"Г НЕФТЕЮГАНСК"</f>
        <v>Г НЕФТЕЮГАНСК</v>
      </c>
      <c r="S596" t="str">
        <f>""</f>
        <v/>
      </c>
      <c r="T596" t="str">
        <f>"МКР 9"</f>
        <v>МКР 9</v>
      </c>
      <c r="U596" s="1" t="str">
        <f>"2"</f>
        <v>2</v>
      </c>
      <c r="V596" s="1" t="str">
        <f>""</f>
        <v/>
      </c>
      <c r="W596" s="1" t="str">
        <f>""</f>
        <v/>
      </c>
      <c r="X596" s="1" t="str">
        <f>""</f>
        <v/>
      </c>
      <c r="Y596" s="1" t="str">
        <f>"38"</f>
        <v>38</v>
      </c>
      <c r="Z596" t="str">
        <f>"+7 (3463) 313331"</f>
        <v>+7 (3463) 313331</v>
      </c>
      <c r="AA596" t="str">
        <f>"+7 (982) 1816843"</f>
        <v>+7 (982) 1816843</v>
      </c>
      <c r="AB596" t="str">
        <f>"+7 (912) 0869817"</f>
        <v>+7 (912) 0869817</v>
      </c>
      <c r="AC596" t="str">
        <f>"9821816843"</f>
        <v>9821816843</v>
      </c>
      <c r="AD596" t="str">
        <f>"9120869817"</f>
        <v>9120869817</v>
      </c>
      <c r="AE596" t="str">
        <f>""</f>
        <v/>
      </c>
    </row>
    <row r="597" spans="1:31" x14ac:dyDescent="0.45">
      <c r="A597" t="str">
        <f>"ГЛУШКОВ АЛЕКСАНДР НИКОЛАЕВИЧ"</f>
        <v>ГЛУШКОВ АЛЕКСАНДР НИКОЛАЕВИЧ</v>
      </c>
      <c r="B597" t="str">
        <f>"1960-06-04"</f>
        <v>1960-06-04</v>
      </c>
      <c r="C597" t="str">
        <f>"80 05 952501"</f>
        <v>80 05 952501</v>
      </c>
      <c r="D597" t="str">
        <f>"4854630358352089"</f>
        <v>4854630358352089</v>
      </c>
      <c r="E597" t="str">
        <f>"2021-04-30"</f>
        <v>2021-04-30</v>
      </c>
      <c r="F597" t="str">
        <f t="shared" si="103"/>
        <v>+</v>
      </c>
      <c r="G597" t="str">
        <f t="shared" si="103"/>
        <v>+</v>
      </c>
      <c r="H597" t="str">
        <f>"40817810016991427827"</f>
        <v>40817810016991427827</v>
      </c>
      <c r="I597" t="str">
        <f>"8598"</f>
        <v>8598</v>
      </c>
      <c r="J597" t="str">
        <f>"0212"</f>
        <v>0212</v>
      </c>
      <c r="K597" t="str">
        <f>"50000.00"</f>
        <v>50000.00</v>
      </c>
      <c r="L597" t="str">
        <f>"450000 РЕСП БАШКОРТОСТАН   Г УФА   УЛ Р ЗОРГЕ д. 33"</f>
        <v>450000 РЕСП БАШКОРТОСТАН   Г УФА   УЛ Р ЗОРГЕ д. 33</v>
      </c>
      <c r="M597" t="str">
        <f t="shared" si="101"/>
        <v>2019-08-24</v>
      </c>
      <c r="N597" t="str">
        <f>"ПЕНСИОНЕР"</f>
        <v>ПЕНСИОНЕР</v>
      </c>
      <c r="O597" t="str">
        <f>"450000"</f>
        <v>450000</v>
      </c>
      <c r="P597" t="str">
        <f>"РЕСП БАШКОРТОСТАН"</f>
        <v>РЕСП БАШКОРТОСТАН</v>
      </c>
      <c r="Q597" t="str">
        <f>""</f>
        <v/>
      </c>
      <c r="R597" t="str">
        <f>"Г УФА"</f>
        <v>Г УФА</v>
      </c>
      <c r="S597" t="str">
        <f>""</f>
        <v/>
      </c>
      <c r="T597" t="str">
        <f>"УЛ МИРА"</f>
        <v>УЛ МИРА</v>
      </c>
      <c r="U597" s="1" t="str">
        <f>"22"</f>
        <v>22</v>
      </c>
      <c r="V597" s="1" t="str">
        <f>""</f>
        <v/>
      </c>
      <c r="W597" s="1" t="str">
        <f>""</f>
        <v/>
      </c>
      <c r="X597" s="1" t="str">
        <f>""</f>
        <v/>
      </c>
      <c r="Y597" s="1" t="str">
        <f>"25"</f>
        <v>25</v>
      </c>
      <c r="Z597" t="str">
        <f>""</f>
        <v/>
      </c>
      <c r="AA597" t="str">
        <f>"3472309955"</f>
        <v>3472309955</v>
      </c>
      <c r="AB597" t="str">
        <f>"9373645013"</f>
        <v>9373645013</v>
      </c>
      <c r="AC597" t="str">
        <f>"9373645013"</f>
        <v>9373645013</v>
      </c>
      <c r="AD597" t="str">
        <f>"9373645013"</f>
        <v>9373645013</v>
      </c>
      <c r="AE597" t="str">
        <f>""</f>
        <v/>
      </c>
    </row>
    <row r="598" spans="1:31" x14ac:dyDescent="0.45">
      <c r="A598" t="str">
        <f>"НИКИТИНА НИНА КОНСТАНТИНОВНА"</f>
        <v>НИКИТИНА НИНА КОНСТАНТИНОВНА</v>
      </c>
      <c r="B598" t="str">
        <f>"1955-11-06"</f>
        <v>1955-11-06</v>
      </c>
      <c r="C598" t="str">
        <f>"80 05 036451"</f>
        <v>80 05 036451</v>
      </c>
      <c r="D598" t="str">
        <f>"4854630207282255"</f>
        <v>4854630207282255</v>
      </c>
      <c r="E598" t="str">
        <f>"2021-04-30"</f>
        <v>2021-04-30</v>
      </c>
      <c r="F598" t="str">
        <f t="shared" si="103"/>
        <v>+</v>
      </c>
      <c r="G598" t="str">
        <f t="shared" si="103"/>
        <v>+</v>
      </c>
      <c r="H598" t="str">
        <f>"40817810216991427834"</f>
        <v>40817810216991427834</v>
      </c>
      <c r="I598" t="str">
        <f>"8598"</f>
        <v>8598</v>
      </c>
      <c r="J598" t="str">
        <f>"0790"</f>
        <v>0790</v>
      </c>
      <c r="K598" t="str">
        <f>"210000.00"</f>
        <v>210000.00</v>
      </c>
      <c r="L598" t="str">
        <f>"452000 РЕСП БАШКОРТОСТАН   Г БЕЛЕБЕЙ   УЛ СОВЕТСКАЯ д. 10 корп. 0 кв. 0"</f>
        <v>452000 РЕСП БАШКОРТОСТАН   Г БЕЛЕБЕЙ   УЛ СОВЕТСКАЯ д. 10 корп. 0 кв. 0</v>
      </c>
      <c r="M598" t="str">
        <f t="shared" si="101"/>
        <v>2019-08-24</v>
      </c>
      <c r="N598" t="str">
        <f>"МКУ УПРАВЛЕНИЕ ОБРАЗОВАНИЯ"</f>
        <v>МКУ УПРАВЛЕНИЕ ОБРАЗОВАНИЯ</v>
      </c>
      <c r="O598" t="str">
        <f>"450000"</f>
        <v>450000</v>
      </c>
      <c r="P598" t="str">
        <f>"РЕСП БАШКОРТОСТАН"</f>
        <v>РЕСП БАШКОРТОСТАН</v>
      </c>
      <c r="Q598" t="str">
        <f>""</f>
        <v/>
      </c>
      <c r="R598" t="str">
        <f>"Г БЕЛЕБЕЙ"</f>
        <v>Г БЕЛЕБЕЙ</v>
      </c>
      <c r="S598" t="str">
        <f>""</f>
        <v/>
      </c>
      <c r="T598" t="str">
        <f>"УЛ МОРОЗОВА"</f>
        <v>УЛ МОРОЗОВА</v>
      </c>
      <c r="U598" s="1" t="str">
        <f>"7"</f>
        <v>7</v>
      </c>
      <c r="V598" s="1" t="str">
        <f>""</f>
        <v/>
      </c>
      <c r="W598" s="1" t="str">
        <f>""</f>
        <v/>
      </c>
      <c r="X598" s="1" t="str">
        <f>""</f>
        <v/>
      </c>
      <c r="Y598" s="1" t="str">
        <f>"101"</f>
        <v>101</v>
      </c>
      <c r="Z598" t="str">
        <f>"3478657213"</f>
        <v>3478657213</v>
      </c>
      <c r="AA598" t="str">
        <f>"9874890449"</f>
        <v>9874890449</v>
      </c>
      <c r="AB598" t="str">
        <f>""</f>
        <v/>
      </c>
      <c r="AC598" t="str">
        <f>"9874890449"</f>
        <v>9874890449</v>
      </c>
      <c r="AD598" t="str">
        <f>"9874890449"</f>
        <v>9874890449</v>
      </c>
      <c r="AE598" t="str">
        <f>"9874890449"</f>
        <v>9874890449</v>
      </c>
    </row>
    <row r="599" spans="1:31" x14ac:dyDescent="0.45">
      <c r="A599" t="str">
        <f>"КОСТРИГИНА МАРИНА ВЛАДИМИРОВНА"</f>
        <v>КОСТРИГИНА МАРИНА ВЛАДИМИРОВНА</v>
      </c>
      <c r="B599" t="str">
        <f>"1961-04-01"</f>
        <v>1961-04-01</v>
      </c>
      <c r="C599" t="str">
        <f>"80 06 028572"</f>
        <v>80 06 028572</v>
      </c>
      <c r="D599" t="str">
        <f>"4279011619718599"</f>
        <v>4279011619718599</v>
      </c>
      <c r="E599" t="str">
        <f>"2021-05-31"</f>
        <v>2021-05-31</v>
      </c>
      <c r="F599" t="str">
        <f t="shared" si="103"/>
        <v>+</v>
      </c>
      <c r="G599" t="str">
        <f t="shared" si="103"/>
        <v>+</v>
      </c>
      <c r="H599" t="str">
        <f>"40817810616991429856"</f>
        <v>40817810616991429856</v>
      </c>
      <c r="I599" t="str">
        <f>"8598"</f>
        <v>8598</v>
      </c>
      <c r="J599" t="str">
        <f>"0700"</f>
        <v>0700</v>
      </c>
      <c r="K599" t="str">
        <f>"45000.00"</f>
        <v>45000.00</v>
      </c>
      <c r="L599" t="str">
        <f>"450000 РЕСП БАШКОРТОСТАН   Г САЛАВАТ   УЛ МАРКСА д. 10 корп. А"</f>
        <v>450000 РЕСП БАШКОРТОСТАН   Г САЛАВАТ   УЛ МАРКСА д. 10 корп. А</v>
      </c>
      <c r="M599" t="str">
        <f t="shared" si="101"/>
        <v>2019-08-24</v>
      </c>
      <c r="N599" t="str">
        <f>"ПФР"</f>
        <v>ПФР</v>
      </c>
      <c r="O599" t="str">
        <f>"450000"</f>
        <v>450000</v>
      </c>
      <c r="P599" t="str">
        <f>"РЕСП БАШКОРТОСТАН"</f>
        <v>РЕСП БАШКОРТОСТАН</v>
      </c>
      <c r="Q599" t="str">
        <f>""</f>
        <v/>
      </c>
      <c r="R599" t="str">
        <f>"Г САЛАВАТ"</f>
        <v>Г САЛАВАТ</v>
      </c>
      <c r="S599" t="str">
        <f>""</f>
        <v/>
      </c>
      <c r="T599" t="str">
        <f>"УЛ ГАФУРИ"</f>
        <v>УЛ ГАФУРИ</v>
      </c>
      <c r="U599" s="1" t="str">
        <f>"30"</f>
        <v>30</v>
      </c>
      <c r="V599" s="1" t="str">
        <f>""</f>
        <v/>
      </c>
      <c r="W599" s="1" t="str">
        <f>""</f>
        <v/>
      </c>
      <c r="X599" s="1" t="str">
        <f>""</f>
        <v/>
      </c>
      <c r="Y599" s="1" t="str">
        <f>"12"</f>
        <v>12</v>
      </c>
      <c r="Z599" t="str">
        <f>""</f>
        <v/>
      </c>
      <c r="AA599" t="str">
        <f>"9276377652"</f>
        <v>9276377652</v>
      </c>
      <c r="AB599" t="str">
        <f>"9276377652"</f>
        <v>9276377652</v>
      </c>
      <c r="AC599" t="str">
        <f>"9276377652"</f>
        <v>9276377652</v>
      </c>
      <c r="AD599" t="str">
        <f>"9276377652"</f>
        <v>9276377652</v>
      </c>
      <c r="AE599" t="str">
        <f>""</f>
        <v/>
      </c>
    </row>
    <row r="600" spans="1:31" x14ac:dyDescent="0.45">
      <c r="A600" t="str">
        <f>"СВИДНИЦКАЯ ЛЮДМИЛА ФЕЛИКСОВНА"</f>
        <v>СВИДНИЦКАЯ ЛЮДМИЛА ФЕЛИКСОВНА</v>
      </c>
      <c r="B600" t="str">
        <f>"1960-08-23"</f>
        <v>1960-08-23</v>
      </c>
      <c r="C600" t="str">
        <f>"71 16 261087"</f>
        <v>71 16 261087</v>
      </c>
      <c r="D600" t="str">
        <f>"4279016703225443"</f>
        <v>4279016703225443</v>
      </c>
      <c r="E600" t="str">
        <f>"2021-05-31"</f>
        <v>2021-05-31</v>
      </c>
      <c r="F600" t="str">
        <f t="shared" si="103"/>
        <v>+</v>
      </c>
      <c r="G600" t="str">
        <f t="shared" si="103"/>
        <v>+</v>
      </c>
      <c r="H600" t="str">
        <f>"40817810416992201749"</f>
        <v>40817810416992201749</v>
      </c>
      <c r="I600" t="str">
        <f>"8647"</f>
        <v>8647</v>
      </c>
      <c r="J600" t="str">
        <f>"0102"</f>
        <v>0102</v>
      </c>
      <c r="K600" t="str">
        <f>"30000.00"</f>
        <v>30000.00</v>
      </c>
      <c r="L600" t="str">
        <f>"625000 ОБЛ ТЮМЕНСКАЯ   Г ТЮМЕНЬ   УЛ МОСКОВСКИЙ ТРАКТ д. 118"</f>
        <v>625000 ОБЛ ТЮМЕНСКАЯ   Г ТЮМЕНЬ   УЛ МОСКОВСКИЙ ТРАКТ д. 118</v>
      </c>
      <c r="M600" t="str">
        <f t="shared" si="101"/>
        <v>2019-08-24</v>
      </c>
      <c r="N600" t="str">
        <f>"ИП СВИДНИЦКИЙ ММ"</f>
        <v>ИП СВИДНИЦКИЙ ММ</v>
      </c>
      <c r="O600" t="str">
        <f>"625000"</f>
        <v>625000</v>
      </c>
      <c r="P600" t="str">
        <f>"ОБЛ ТЮМЕНСКАЯ"</f>
        <v>ОБЛ ТЮМЕНСКАЯ</v>
      </c>
      <c r="Q600" t="str">
        <f>""</f>
        <v/>
      </c>
      <c r="R600" t="str">
        <f>"Г ТЮМЕНЬ"</f>
        <v>Г ТЮМЕНЬ</v>
      </c>
      <c r="S600" t="str">
        <f>"Д ТРУД И ОТДЫХ"</f>
        <v>Д ТРУД И ОТДЫХ</v>
      </c>
      <c r="T600" t="str">
        <f>"УЛ СТАВРОПОЛЬСКАЯ"</f>
        <v>УЛ СТАВРОПОЛЬСКАЯ</v>
      </c>
      <c r="U600" s="1" t="str">
        <f>"113"</f>
        <v>113</v>
      </c>
      <c r="V600" s="1" t="str">
        <f>""</f>
        <v/>
      </c>
      <c r="W600" s="1" t="str">
        <f>""</f>
        <v/>
      </c>
      <c r="X600" s="1" t="str">
        <f>""</f>
        <v/>
      </c>
      <c r="Y600" s="1" t="str">
        <f>""</f>
        <v/>
      </c>
      <c r="Z600" t="str">
        <f>"3499221644"</f>
        <v>3499221644</v>
      </c>
      <c r="AA600" t="str">
        <f>"9829265561"</f>
        <v>9829265561</v>
      </c>
      <c r="AB600" t="str">
        <f>"9199435565"</f>
        <v>9199435565</v>
      </c>
      <c r="AC600" t="str">
        <f>"9322000113"</f>
        <v>9322000113</v>
      </c>
      <c r="AD600" t="str">
        <f>"9199435565"</f>
        <v>9199435565</v>
      </c>
      <c r="AE600" t="str">
        <f>""</f>
        <v/>
      </c>
    </row>
    <row r="601" spans="1:31" x14ac:dyDescent="0.45">
      <c r="A601" t="str">
        <f>"ЗАЙДУЛЛИНА ГУЛЬНАЗ РАМАЗАНОВНА"</f>
        <v>ЗАЙДУЛЛИНА ГУЛЬНАЗ РАМАЗАНОВНА</v>
      </c>
      <c r="B601" t="str">
        <f>"1970-11-23"</f>
        <v>1970-11-23</v>
      </c>
      <c r="C601" t="str">
        <f>"80 15 280385"</f>
        <v>80 15 280385</v>
      </c>
      <c r="D601" t="str">
        <f>"5313100457205010"</f>
        <v>5313100457205010</v>
      </c>
      <c r="E601" t="str">
        <f>"2021-03-31"</f>
        <v>2021-03-31</v>
      </c>
      <c r="F601" t="str">
        <f t="shared" si="103"/>
        <v>+</v>
      </c>
      <c r="G601" t="str">
        <f t="shared" si="103"/>
        <v>+</v>
      </c>
      <c r="H601" t="str">
        <f>"40817810416991424695"</f>
        <v>40817810416991424695</v>
      </c>
      <c r="I601" t="str">
        <f>"8598"</f>
        <v>8598</v>
      </c>
      <c r="J601" t="str">
        <f>"0440"</f>
        <v>0440</v>
      </c>
      <c r="K601" t="str">
        <f>"15000.00"</f>
        <v>15000.00</v>
      </c>
      <c r="L601" t="str">
        <f>"450000 РЕСП БАШКОРТОСТАН Р-Н АЛЬШЕЕВСКИЙ   С КИПЧАК-АСКАРОВО УЛ ШКОЛЬНАЯ д. 3"</f>
        <v>450000 РЕСП БАШКОРТОСТАН Р-Н АЛЬШЕЕВСКИЙ   С КИПЧАК-АСКАРОВО УЛ ШКОЛЬНАЯ д. 3</v>
      </c>
      <c r="M601" t="str">
        <f t="shared" si="101"/>
        <v>2019-08-24</v>
      </c>
      <c r="N601" t="str">
        <f>"МБОУ СОШ С. КИПЧАК-АСКАРОВА"</f>
        <v>МБОУ СОШ С. КИПЧАК-АСКАРОВА</v>
      </c>
      <c r="O601" t="str">
        <f>"450000"</f>
        <v>450000</v>
      </c>
      <c r="P601" t="str">
        <f>"РЕСП БАШКОРТОСТАН"</f>
        <v>РЕСП БАШКОРТОСТАН</v>
      </c>
      <c r="Q601" t="str">
        <f>"Р-Н АЛЬШЕЕВСКИЙ"</f>
        <v>Р-Н АЛЬШЕЕВСКИЙ</v>
      </c>
      <c r="R601" t="str">
        <f>""</f>
        <v/>
      </c>
      <c r="S601" t="str">
        <f>"С КИПЧАК-АСКАРОВО"</f>
        <v>С КИПЧАК-АСКАРОВО</v>
      </c>
      <c r="T601" t="str">
        <f>"УЛ САЛАВАТА ЮЛАЕВА"</f>
        <v>УЛ САЛАВАТА ЮЛАЕВА</v>
      </c>
      <c r="U601" s="1" t="str">
        <f>"136"</f>
        <v>136</v>
      </c>
      <c r="V601" s="1" t="str">
        <f>""</f>
        <v/>
      </c>
      <c r="W601" s="1" t="str">
        <f>""</f>
        <v/>
      </c>
      <c r="X601" s="1" t="str">
        <f>""</f>
        <v/>
      </c>
      <c r="Y601" s="1" t="str">
        <f>""</f>
        <v/>
      </c>
      <c r="Z601" t="str">
        <f>"9279241450"</f>
        <v>9279241450</v>
      </c>
      <c r="AA601" t="str">
        <f>"9279241450"</f>
        <v>9279241450</v>
      </c>
      <c r="AB601" t="str">
        <f>"9279241450"</f>
        <v>9279241450</v>
      </c>
      <c r="AC601" t="str">
        <f>"9279241450"</f>
        <v>9279241450</v>
      </c>
      <c r="AD601" t="str">
        <f>"9279241450"</f>
        <v>9279241450</v>
      </c>
      <c r="AE601" t="str">
        <f>"9279241450"</f>
        <v>9279241450</v>
      </c>
    </row>
    <row r="602" spans="1:31" x14ac:dyDescent="0.45">
      <c r="A602" t="str">
        <f>"БУДНЯК ОЛЬГА ИОСИФОВНА"</f>
        <v>БУДНЯК ОЛЬГА ИОСИФОВНА</v>
      </c>
      <c r="B602" t="str">
        <f>"1953-01-19"</f>
        <v>1953-01-19</v>
      </c>
      <c r="C602" t="str">
        <f>"67 04 327995"</f>
        <v>67 04 327995</v>
      </c>
      <c r="D602" t="str">
        <f>"4854630398271588"</f>
        <v>4854630398271588</v>
      </c>
      <c r="E602" t="str">
        <f>"2020-11-30"</f>
        <v>2020-11-30</v>
      </c>
      <c r="F602" t="str">
        <f t="shared" si="103"/>
        <v>+</v>
      </c>
      <c r="G602" t="str">
        <f t="shared" si="103"/>
        <v>+</v>
      </c>
      <c r="H602" t="str">
        <f>"40817810316992456063"</f>
        <v>40817810316992456063</v>
      </c>
      <c r="I602" t="str">
        <f>"5940"</f>
        <v>5940</v>
      </c>
      <c r="J602" t="str">
        <f>"0128"</f>
        <v>0128</v>
      </c>
      <c r="K602" t="str">
        <f>"80000.00"</f>
        <v>80000.00</v>
      </c>
      <c r="L602" t="str">
        <f>"628680 ОБЛ ТЮМЕНСКАЯ   Г МЕГИОН   УЛ КУЗЬМИНА д. 10 кв. 61"</f>
        <v>628680 ОБЛ ТЮМЕНСКАЯ   Г МЕГИОН   УЛ КУЗЬМИНА д. 10 кв. 61</v>
      </c>
      <c r="M602" t="str">
        <f t="shared" si="101"/>
        <v>2019-08-24</v>
      </c>
      <c r="N602" t="str">
        <f>"ПЕНСИОНЕР"</f>
        <v>ПЕНСИОНЕР</v>
      </c>
      <c r="O602" t="str">
        <f>"628680"</f>
        <v>628680</v>
      </c>
      <c r="P602" t="str">
        <f>"ОБЛ ТЮМЕНСКАЯ"</f>
        <v>ОБЛ ТЮМЕНСКАЯ</v>
      </c>
      <c r="Q602" t="str">
        <f>""</f>
        <v/>
      </c>
      <c r="R602" t="str">
        <f>"Г МЕГИОН"</f>
        <v>Г МЕГИОН</v>
      </c>
      <c r="S602" t="str">
        <f>""</f>
        <v/>
      </c>
      <c r="T602" t="str">
        <f>"УЛ КУЗЬМИНА"</f>
        <v>УЛ КУЗЬМИНА</v>
      </c>
      <c r="U602" s="1" t="str">
        <f>"10"</f>
        <v>10</v>
      </c>
      <c r="V602" s="1" t="str">
        <f>""</f>
        <v/>
      </c>
      <c r="W602" s="1" t="str">
        <f>""</f>
        <v/>
      </c>
      <c r="X602" s="1" t="str">
        <f>""</f>
        <v/>
      </c>
      <c r="Y602" s="1" t="str">
        <f>"61"</f>
        <v>61</v>
      </c>
      <c r="Z602" t="str">
        <f>""</f>
        <v/>
      </c>
      <c r="AA602" t="str">
        <f>"3464334278"</f>
        <v>3464334278</v>
      </c>
      <c r="AB602" t="str">
        <f>"9044677741"</f>
        <v>9044677741</v>
      </c>
      <c r="AC602" t="str">
        <f>"3464334278"</f>
        <v>3464334278</v>
      </c>
      <c r="AD602" t="str">
        <f>"9044677741"</f>
        <v>9044677741</v>
      </c>
      <c r="AE602" t="str">
        <f>""</f>
        <v/>
      </c>
    </row>
    <row r="603" spans="1:31" x14ac:dyDescent="0.45">
      <c r="A603" t="str">
        <f>"КОВТУН ВАЛЕРИЙ БОРИСОВИЧ"</f>
        <v>КОВТУН ВАЛЕРИЙ БОРИСОВИЧ</v>
      </c>
      <c r="B603" t="str">
        <f>"1963-08-19"</f>
        <v>1963-08-19</v>
      </c>
      <c r="C603" t="str">
        <f>"80 08 609033"</f>
        <v>80 08 609033</v>
      </c>
      <c r="D603" t="str">
        <f>"4854630383014183"</f>
        <v>4854630383014183</v>
      </c>
      <c r="E603" t="str">
        <f>"2021-04-30"</f>
        <v>2021-04-30</v>
      </c>
      <c r="F603" t="str">
        <f t="shared" si="103"/>
        <v>+</v>
      </c>
      <c r="G603" t="str">
        <f t="shared" si="103"/>
        <v>+</v>
      </c>
      <c r="H603" t="str">
        <f>"40817810416991464192"</f>
        <v>40817810416991464192</v>
      </c>
      <c r="I603" t="str">
        <f>"8597"</f>
        <v>8597</v>
      </c>
      <c r="J603" t="str">
        <f>"0331"</f>
        <v>0331</v>
      </c>
      <c r="K603" t="str">
        <f>"150000.00"</f>
        <v>150000.00</v>
      </c>
      <c r="L603" t="str">
        <f>"453700 РЕСП БАШКОРТОСТАН Р-Н УЧАЛИНСКИЙ Г УЧАЛЫ   УЛ КРОВЕЛЬНАЯ д. 1"</f>
        <v>453700 РЕСП БАШКОРТОСТАН Р-Н УЧАЛИНСКИЙ Г УЧАЛЫ   УЛ КРОВЕЛЬНАЯ д. 1</v>
      </c>
      <c r="M603" t="str">
        <f t="shared" si="101"/>
        <v>2019-08-24</v>
      </c>
      <c r="N603" t="str">
        <f>"06511227"</f>
        <v>06511227</v>
      </c>
      <c r="O603" t="str">
        <f>"453701"</f>
        <v>453701</v>
      </c>
      <c r="P603" t="str">
        <f>"РЕСП БАШКОРТОСТАН"</f>
        <v>РЕСП БАШКОРТОСТАН</v>
      </c>
      <c r="Q603" t="str">
        <f>"Р-Н УЧАЛИНСКИЙ"</f>
        <v>Р-Н УЧАЛИНСКИЙ</v>
      </c>
      <c r="R603" t="str">
        <f>"Г УЧАЛЫ"</f>
        <v>Г УЧАЛЫ</v>
      </c>
      <c r="S603" t="str">
        <f>""</f>
        <v/>
      </c>
      <c r="T603" t="str">
        <f>"УЛ МИРА"</f>
        <v>УЛ МИРА</v>
      </c>
      <c r="U603" s="1" t="str">
        <f>"32"</f>
        <v>32</v>
      </c>
      <c r="V603" s="1" t="str">
        <f>""</f>
        <v/>
      </c>
      <c r="W603" s="1" t="str">
        <f>""</f>
        <v/>
      </c>
      <c r="X603" s="1" t="str">
        <f>""</f>
        <v/>
      </c>
      <c r="Y603" s="1" t="str">
        <f>"49"</f>
        <v>49</v>
      </c>
      <c r="Z603" t="str">
        <f>""</f>
        <v/>
      </c>
      <c r="AA603" t="str">
        <f>"9656450055"</f>
        <v>9656450055</v>
      </c>
      <c r="AB603" t="str">
        <f>"9656450055"</f>
        <v>9656450055</v>
      </c>
      <c r="AC603" t="str">
        <f>"9050039366"</f>
        <v>9050039366</v>
      </c>
      <c r="AD603" t="str">
        <f>"9656450055"</f>
        <v>9656450055</v>
      </c>
      <c r="AE603" t="str">
        <f>""</f>
        <v/>
      </c>
    </row>
    <row r="604" spans="1:31" x14ac:dyDescent="0.45">
      <c r="A604" t="str">
        <f>"КОСТИНА НАТАЛЬЯ ВАЛЕРЬЕВНА"</f>
        <v>КОСТИНА НАТАЛЬЯ ВАЛЕРЬЕВНА</v>
      </c>
      <c r="B604" t="str">
        <f>"1979-10-03"</f>
        <v>1979-10-03</v>
      </c>
      <c r="C604" t="str">
        <f>"65 08 490167"</f>
        <v>65 08 490167</v>
      </c>
      <c r="D604" t="str">
        <f>"4854630363344584"</f>
        <v>4854630363344584</v>
      </c>
      <c r="E604" t="str">
        <f>"2021-05-31"</f>
        <v>2021-05-31</v>
      </c>
      <c r="F604" t="str">
        <f t="shared" si="103"/>
        <v>+</v>
      </c>
      <c r="G604" t="str">
        <f t="shared" si="103"/>
        <v>+</v>
      </c>
      <c r="H604" t="str">
        <f>"40817810016991464204"</f>
        <v>40817810016991464204</v>
      </c>
      <c r="I604" t="str">
        <f>"7003"</f>
        <v>7003</v>
      </c>
      <c r="J604" t="str">
        <f>"0391"</f>
        <v>0391</v>
      </c>
      <c r="K604" t="str">
        <f>"10000.00"</f>
        <v>10000.00</v>
      </c>
      <c r="L604" t="str">
        <f>"620028 ОБЛ СВЕРДЛОВСКАЯ   Г ЕКАТЕРИНБУРГ   УЛ ДОЛОРЕС ИБАРРУРИ д. 2 корп. А"</f>
        <v>620028 ОБЛ СВЕРДЛОВСКАЯ   Г ЕКАТЕРИНБУРГ   УЛ ДОЛОРЕС ИБАРРУРИ д. 2 корп. А</v>
      </c>
      <c r="M604" t="str">
        <f t="shared" si="101"/>
        <v>2019-08-24</v>
      </c>
      <c r="N604" t="str">
        <f>"ФИЛИАЛ № 15 ГУ СРОФСС"</f>
        <v>ФИЛИАЛ № 15 ГУ СРОФСС</v>
      </c>
      <c r="O604" t="str">
        <f>"620000"</f>
        <v>620000</v>
      </c>
      <c r="P604" t="str">
        <f>"ОБЛ СВЕРДЛОВСКАЯ"</f>
        <v>ОБЛ СВЕРДЛОВСКАЯ</v>
      </c>
      <c r="Q604" t="str">
        <f>""</f>
        <v/>
      </c>
      <c r="R604" t="str">
        <f>"Г ЕКАТЕРИНБУРГ"</f>
        <v>Г ЕКАТЕРИНБУРГ</v>
      </c>
      <c r="S604" t="str">
        <f>""</f>
        <v/>
      </c>
      <c r="T604" t="str">
        <f>"УЛ МОСКОВСКАЯ"</f>
        <v>УЛ МОСКОВСКАЯ</v>
      </c>
      <c r="U604" s="1" t="str">
        <f>"212"</f>
        <v>212</v>
      </c>
      <c r="V604" s="1" t="str">
        <f>""</f>
        <v/>
      </c>
      <c r="W604" s="1" t="str">
        <f>"2"</f>
        <v>2</v>
      </c>
      <c r="X604" s="1" t="str">
        <f>""</f>
        <v/>
      </c>
      <c r="Y604" s="1" t="str">
        <f>"37"</f>
        <v>37</v>
      </c>
      <c r="Z604" t="str">
        <f>"9126271403"</f>
        <v>9126271403</v>
      </c>
      <c r="AA604" t="str">
        <f>"9126271403"</f>
        <v>9126271403</v>
      </c>
      <c r="AB604" t="str">
        <f>"9126271403"</f>
        <v>9126271403</v>
      </c>
      <c r="AC604" t="str">
        <f>"9126271403"</f>
        <v>9126271403</v>
      </c>
      <c r="AD604" t="str">
        <f>"9126271403"</f>
        <v>9126271403</v>
      </c>
      <c r="AE604" t="str">
        <f>"9126271403"</f>
        <v>9126271403</v>
      </c>
    </row>
    <row r="605" spans="1:31" x14ac:dyDescent="0.45">
      <c r="A605" t="str">
        <f>"СОЗЫКИНА СВЕТЛАНА ИВАНОВНА"</f>
        <v>СОЗЫКИНА СВЕТЛАНА ИВАНОВНА</v>
      </c>
      <c r="B605" t="str">
        <f>"1953-01-01"</f>
        <v>1953-01-01</v>
      </c>
      <c r="C605" t="str">
        <f>"37 01 285640"</f>
        <v>37 01 285640</v>
      </c>
      <c r="D605" t="str">
        <f>"4854630408670639"</f>
        <v>4854630408670639</v>
      </c>
      <c r="E605" t="str">
        <f>"2021-04-30"</f>
        <v>2021-04-30</v>
      </c>
      <c r="F605" t="str">
        <f t="shared" si="103"/>
        <v>+</v>
      </c>
      <c r="G605" t="str">
        <f t="shared" si="103"/>
        <v>+</v>
      </c>
      <c r="H605" t="str">
        <f>"40817810416991427870"</f>
        <v>40817810416991427870</v>
      </c>
      <c r="I605" t="str">
        <f>"8599"</f>
        <v>8599</v>
      </c>
      <c r="J605" t="str">
        <f>"0159"</f>
        <v>0159</v>
      </c>
      <c r="K605" t="str">
        <f>"50000.00"</f>
        <v>50000.00</v>
      </c>
      <c r="L605" t="str">
        <f>"641000 ОБЛ КУРГАНСКАЯ   Г ЩУЧЬЕ   УЛ СОВЕТСКАЯ д. 7"</f>
        <v>641000 ОБЛ КУРГАНСКАЯ   Г ЩУЧЬЕ   УЛ СОВЕТСКАЯ д. 7</v>
      </c>
      <c r="M605" t="str">
        <f t="shared" si="101"/>
        <v>2019-08-24</v>
      </c>
      <c r="N605" t="str">
        <f>"ПЕНСИОНЕР"</f>
        <v>ПЕНСИОНЕР</v>
      </c>
      <c r="O605" t="str">
        <f>"641000"</f>
        <v>641000</v>
      </c>
      <c r="P605" t="str">
        <f>"ОБЛ КУРГАНСКАЯ"</f>
        <v>ОБЛ КУРГАНСКАЯ</v>
      </c>
      <c r="Q605" t="str">
        <f>"Р-Н ЩУЧАНСКИЙ"</f>
        <v>Р-Н ЩУЧАНСКИЙ</v>
      </c>
      <c r="R605" t="str">
        <f>"Г ЩУЧЬЕ"</f>
        <v>Г ЩУЧЬЕ</v>
      </c>
      <c r="S605" t="str">
        <f>""</f>
        <v/>
      </c>
      <c r="T605" t="str">
        <f>"УЛ МИРА"</f>
        <v>УЛ МИРА</v>
      </c>
      <c r="U605" s="1" t="str">
        <f>"31"</f>
        <v>31</v>
      </c>
      <c r="V605" s="1" t="str">
        <f>""</f>
        <v/>
      </c>
      <c r="W605" s="1" t="str">
        <f>""</f>
        <v/>
      </c>
      <c r="X605" s="1" t="str">
        <f>""</f>
        <v/>
      </c>
      <c r="Y605" s="1" t="str">
        <f>"1"</f>
        <v>1</v>
      </c>
      <c r="Z605" t="str">
        <f>""</f>
        <v/>
      </c>
      <c r="AA605" t="str">
        <f>"+7 (906) 8843913"</f>
        <v>+7 (906) 8843913</v>
      </c>
      <c r="AB605" t="str">
        <f>"+7 (906) 8843913"</f>
        <v>+7 (906) 8843913</v>
      </c>
      <c r="AC605" t="str">
        <f>"9068843913"</f>
        <v>9068843913</v>
      </c>
      <c r="AD605" t="str">
        <f>"9068843913"</f>
        <v>9068843913</v>
      </c>
      <c r="AE605" t="str">
        <f>""</f>
        <v/>
      </c>
    </row>
    <row r="606" spans="1:31" x14ac:dyDescent="0.45">
      <c r="A606" t="str">
        <f>"КУЖАБЕКОВА КИНЬЯБИКА САМИГУЛЛОВНА"</f>
        <v>КУЖАБЕКОВА КИНЬЯБИКА САМИГУЛЛОВНА</v>
      </c>
      <c r="B606" t="str">
        <f>"1965-09-01"</f>
        <v>1965-09-01</v>
      </c>
      <c r="C606" t="str">
        <f>"80 10 156298"</f>
        <v>80 10 156298</v>
      </c>
      <c r="D606" t="str">
        <f>"4854630357561078"</f>
        <v>4854630357561078</v>
      </c>
      <c r="E606" t="str">
        <f>"2021-04-30"</f>
        <v>2021-04-30</v>
      </c>
      <c r="F606" t="str">
        <f t="shared" si="103"/>
        <v>+</v>
      </c>
      <c r="G606" t="str">
        <f t="shared" si="103"/>
        <v>+</v>
      </c>
      <c r="H606" t="str">
        <f>"40817810716991427871"</f>
        <v>40817810716991427871</v>
      </c>
      <c r="I606" t="str">
        <f>"8598"</f>
        <v>8598</v>
      </c>
      <c r="J606" t="str">
        <f>"0754"</f>
        <v>0754</v>
      </c>
      <c r="K606" t="str">
        <f>"10000.00"</f>
        <v>10000.00</v>
      </c>
      <c r="L606" t="str">
        <f>"450000 РЕСП БАШКОРТОСТАН Р-Н ХАЙБУЛЛИНСКИЙ   С АКЪЯР УЛ БАТАНОВА д. 5"</f>
        <v>450000 РЕСП БАШКОРТОСТАН Р-Н ХАЙБУЛЛИНСКИЙ   С АКЪЯР УЛ БАТАНОВА д. 5</v>
      </c>
      <c r="M606" t="str">
        <f t="shared" si="101"/>
        <v>2019-08-24</v>
      </c>
      <c r="N606" t="str">
        <f>"УПФР"</f>
        <v>УПФР</v>
      </c>
      <c r="O606" t="str">
        <f>"450000"</f>
        <v>450000</v>
      </c>
      <c r="P606" t="str">
        <f>"РЕСП БАШКОРТОСТАН"</f>
        <v>РЕСП БАШКОРТОСТАН</v>
      </c>
      <c r="Q606" t="str">
        <f>"Р-Н ХАЙБУЛЛИНСКИЙ"</f>
        <v>Р-Н ХАЙБУЛЛИНСКИЙ</v>
      </c>
      <c r="R606" t="str">
        <f>""</f>
        <v/>
      </c>
      <c r="S606" t="str">
        <f>"С ИВАНОВКА"</f>
        <v>С ИВАНОВКА</v>
      </c>
      <c r="T606" t="str">
        <f>"УЛ З.ВАЛИДИ"</f>
        <v>УЛ З.ВАЛИДИ</v>
      </c>
      <c r="U606" s="1" t="str">
        <f>"10"</f>
        <v>10</v>
      </c>
      <c r="V606" s="1" t="str">
        <f>""</f>
        <v/>
      </c>
      <c r="W606" s="1" t="str">
        <f>""</f>
        <v/>
      </c>
      <c r="X606" s="1" t="str">
        <f>""</f>
        <v/>
      </c>
      <c r="Y606" s="1" t="str">
        <f>""</f>
        <v/>
      </c>
      <c r="Z606" t="str">
        <f>""</f>
        <v/>
      </c>
      <c r="AA606" t="str">
        <f>"+7 (917) 4908233"</f>
        <v>+7 (917) 4908233</v>
      </c>
      <c r="AB606" t="str">
        <f>"+7 (917) 4908233"</f>
        <v>+7 (917) 4908233</v>
      </c>
      <c r="AC606" t="str">
        <f>"9174908233"</f>
        <v>9174908233</v>
      </c>
      <c r="AD606" t="str">
        <f>"9174908233"</f>
        <v>9174908233</v>
      </c>
      <c r="AE606" t="str">
        <f>""</f>
        <v/>
      </c>
    </row>
    <row r="607" spans="1:31" x14ac:dyDescent="0.45">
      <c r="A607" t="str">
        <f>"ЕМЕЛИН ВЛАДИСЛАВ АНАТОЛЬЕВИЧ"</f>
        <v>ЕМЕЛИН ВЛАДИСЛАВ АНАТОЛЬЕВИЧ</v>
      </c>
      <c r="B607" t="str">
        <f>"1968-07-28"</f>
        <v>1968-07-28</v>
      </c>
      <c r="C607" t="str">
        <f>"80 12 696252"</f>
        <v>80 12 696252</v>
      </c>
      <c r="D607" t="str">
        <f>"4854630380704372"</f>
        <v>4854630380704372</v>
      </c>
      <c r="E607" t="str">
        <f>"2021-04-30"</f>
        <v>2021-04-30</v>
      </c>
      <c r="F607" t="str">
        <f t="shared" si="103"/>
        <v>+</v>
      </c>
      <c r="G607" t="str">
        <f t="shared" si="103"/>
        <v>+</v>
      </c>
      <c r="H607" t="str">
        <f>"40817810016991427872"</f>
        <v>40817810016991427872</v>
      </c>
      <c r="I607" t="str">
        <f>"8598"</f>
        <v>8598</v>
      </c>
      <c r="J607" t="str">
        <f>"0160"</f>
        <v>0160</v>
      </c>
      <c r="K607" t="str">
        <f>"245000.00"</f>
        <v>245000.00</v>
      </c>
      <c r="L607" t="str">
        <f>"450000 РЕСП БАШКОРТОСТАН   Г УФА   УЛ РИХАРДА ЗОРГЕ д. 45 корп. 5 кв. 25"</f>
        <v>450000 РЕСП БАШКОРТОСТАН   Г УФА   УЛ РИХАРДА ЗОРГЕ д. 45 корп. 5 кв. 25</v>
      </c>
      <c r="M607" t="str">
        <f t="shared" si="101"/>
        <v>2019-08-24</v>
      </c>
      <c r="N607" t="str">
        <f>"-"</f>
        <v>-</v>
      </c>
      <c r="O607" t="str">
        <f>"450000"</f>
        <v>450000</v>
      </c>
      <c r="P607" t="str">
        <f>"РЕСП БАШКОРТОСТАН"</f>
        <v>РЕСП БАШКОРТОСТАН</v>
      </c>
      <c r="Q607" t="str">
        <f>""</f>
        <v/>
      </c>
      <c r="R607" t="str">
        <f>"Г УФА"</f>
        <v>Г УФА</v>
      </c>
      <c r="S607" t="str">
        <f>""</f>
        <v/>
      </c>
      <c r="T607" t="str">
        <f>"УЛ РИХАРДА ЗОРГЕ"</f>
        <v>УЛ РИХАРДА ЗОРГЕ</v>
      </c>
      <c r="U607" s="1" t="str">
        <f>"45"</f>
        <v>45</v>
      </c>
      <c r="V607" s="1" t="str">
        <f>""</f>
        <v/>
      </c>
      <c r="W607" s="1" t="str">
        <f>"5"</f>
        <v>5</v>
      </c>
      <c r="X607" s="1" t="str">
        <f>""</f>
        <v/>
      </c>
      <c r="Y607" s="1" t="str">
        <f>"25"</f>
        <v>25</v>
      </c>
      <c r="Z607" t="str">
        <f>""</f>
        <v/>
      </c>
      <c r="AA607" t="str">
        <f>"9173475234"</f>
        <v>9173475234</v>
      </c>
      <c r="AB607" t="str">
        <f>"9173475234"</f>
        <v>9173475234</v>
      </c>
      <c r="AC607" t="str">
        <f>"9173475234"</f>
        <v>9173475234</v>
      </c>
      <c r="AD607" t="str">
        <f>"9173475234"</f>
        <v>9173475234</v>
      </c>
      <c r="AE607" t="str">
        <f>""</f>
        <v/>
      </c>
    </row>
    <row r="608" spans="1:31" x14ac:dyDescent="0.45">
      <c r="A608" t="str">
        <f>"АРТЕМЬЕВА ЛЮБОВЬ ИВАНОВНА"</f>
        <v>АРТЕМЬЕВА ЛЮБОВЬ ИВАНОВНА</v>
      </c>
      <c r="B608" t="str">
        <f>"1957-04-01"</f>
        <v>1957-04-01</v>
      </c>
      <c r="C608" t="str">
        <f>"70 04 607974"</f>
        <v>70 04 607974</v>
      </c>
      <c r="D608" t="str">
        <f>"4854630224801004"</f>
        <v>4854630224801004</v>
      </c>
      <c r="E608" t="str">
        <f>"2021-04-30"</f>
        <v>2021-04-30</v>
      </c>
      <c r="F608" t="str">
        <f t="shared" si="103"/>
        <v>+</v>
      </c>
      <c r="G608" t="str">
        <f t="shared" si="103"/>
        <v>+</v>
      </c>
      <c r="H608" t="str">
        <f>"40817810516991464115"</f>
        <v>40817810516991464115</v>
      </c>
      <c r="I608" t="str">
        <f>"8597"</f>
        <v>8597</v>
      </c>
      <c r="J608" t="str">
        <f>"0501"</f>
        <v>0501</v>
      </c>
      <c r="K608" t="str">
        <f>"52000.00"</f>
        <v>52000.00</v>
      </c>
      <c r="L608" t="str">
        <f>"119421   Г МОСКВА   УЛ НОВАТОРОВ д. 36 кв. 0"</f>
        <v>119421   Г МОСКВА   УЛ НОВАТОРОВ д. 36 кв. 0</v>
      </c>
      <c r="M608" t="str">
        <f t="shared" si="101"/>
        <v>2019-08-24</v>
      </c>
      <c r="N608" t="str">
        <f>"ПЕНСИОНЕР"</f>
        <v>ПЕНСИОНЕР</v>
      </c>
      <c r="O608" t="str">
        <f>"454000"</f>
        <v>454000</v>
      </c>
      <c r="P608" t="str">
        <f>"ОБЛ ЧЕЛЯБИНСКАЯ"</f>
        <v>ОБЛ ЧЕЛЯБИНСКАЯ</v>
      </c>
      <c r="Q608" t="str">
        <f>"АО ЧЕЛЯБИНСКАЯ"</f>
        <v>АО ЧЕЛЯБИНСКАЯ</v>
      </c>
      <c r="R608" t="str">
        <f>"Г ЗЛАТОУСТ"</f>
        <v>Г ЗЛАТОУСТ</v>
      </c>
      <c r="S608" t="str">
        <f>"Г ЗЛАТОУСТ"</f>
        <v>Г ЗЛАТОУСТ</v>
      </c>
      <c r="T608" t="str">
        <f>"УЛ ГРИБОЕДОВА"</f>
        <v>УЛ ГРИБОЕДОВА</v>
      </c>
      <c r="U608" s="1" t="str">
        <f>"11"</f>
        <v>11</v>
      </c>
      <c r="V608" s="1" t="str">
        <f>""</f>
        <v/>
      </c>
      <c r="W608" s="1" t="str">
        <f>""</f>
        <v/>
      </c>
      <c r="X608" s="1" t="str">
        <f>""</f>
        <v/>
      </c>
      <c r="Y608" s="1" t="str">
        <f>"51"</f>
        <v>51</v>
      </c>
      <c r="Z608" t="str">
        <f>"+7 (925) 7138985"</f>
        <v>+7 (925) 7138985</v>
      </c>
      <c r="AA608" t="str">
        <f>"+7 (925) 7138985"</f>
        <v>+7 (925) 7138985</v>
      </c>
      <c r="AB608" t="str">
        <f>"+7 (925) 7138985"</f>
        <v>+7 (925) 7138985</v>
      </c>
      <c r="AC608" t="str">
        <f>"9257138985"</f>
        <v>9257138985</v>
      </c>
      <c r="AD608" t="str">
        <f>"9277138985"</f>
        <v>9277138985</v>
      </c>
      <c r="AE608" t="str">
        <f>"9257138985"</f>
        <v>9257138985</v>
      </c>
    </row>
    <row r="609" spans="1:31" x14ac:dyDescent="0.45">
      <c r="A609" t="str">
        <f>"ФАТКУЛЛОВА ЕЛЕНА ЛЕОНТЬЕВНА"</f>
        <v>ФАТКУЛЛОВА ЕЛЕНА ЛЕОНТЬЕВНА</v>
      </c>
      <c r="B609" t="str">
        <f>"1960-08-20"</f>
        <v>1960-08-20</v>
      </c>
      <c r="C609" t="str">
        <f>"75 04 617299"</f>
        <v>75 04 617299</v>
      </c>
      <c r="D609" t="str">
        <f>"4854630402580073"</f>
        <v>4854630402580073</v>
      </c>
      <c r="E609" t="str">
        <f>"2021-04-30"</f>
        <v>2021-04-30</v>
      </c>
      <c r="F609" t="str">
        <f t="shared" si="103"/>
        <v>+</v>
      </c>
      <c r="G609" t="str">
        <f t="shared" si="103"/>
        <v>+</v>
      </c>
      <c r="H609" t="str">
        <f>"40817810516991427822"</f>
        <v>40817810516991427822</v>
      </c>
      <c r="I609" t="str">
        <f>"8597"</f>
        <v>8597</v>
      </c>
      <c r="J609" t="str">
        <f>"0242"</f>
        <v>0242</v>
      </c>
      <c r="K609" t="str">
        <f>"16000.00"</f>
        <v>16000.00</v>
      </c>
      <c r="L609" t="str">
        <f>"454000 ОБЛ ЧЕЛЯБИНСКАЯ   Г ЧЕЛЯБИНСК   УЛ ГОРОДОК 11 д. 40"</f>
        <v>454000 ОБЛ ЧЕЛЯБИНСКАЯ   Г ЧЕЛЯБИНСК   УЛ ГОРОДОК 11 д. 40</v>
      </c>
      <c r="M609" t="str">
        <f t="shared" si="101"/>
        <v>2019-08-24</v>
      </c>
      <c r="N609" t="str">
        <f>"НЕ РАБОТАЕТ"</f>
        <v>НЕ РАБОТАЕТ</v>
      </c>
      <c r="O609" t="str">
        <f>"454000"</f>
        <v>454000</v>
      </c>
      <c r="P609" t="str">
        <f>"ОБЛ ЧЕЛЯБИНСКАЯ"</f>
        <v>ОБЛ ЧЕЛЯБИНСКАЯ</v>
      </c>
      <c r="Q609" t="str">
        <f>""</f>
        <v/>
      </c>
      <c r="R609" t="str">
        <f>"Г ЧЕЛЯБИНСК"</f>
        <v>Г ЧЕЛЯБИНСК</v>
      </c>
      <c r="S609" t="str">
        <f>""</f>
        <v/>
      </c>
      <c r="T609" t="str">
        <f>"УЛ ГОРОДОК"</f>
        <v>УЛ ГОРОДОК</v>
      </c>
      <c r="U609" s="1" t="str">
        <f>"11"</f>
        <v>11</v>
      </c>
      <c r="V609" s="1" t="str">
        <f>""</f>
        <v/>
      </c>
      <c r="W609" s="1" t="str">
        <f>""</f>
        <v/>
      </c>
      <c r="X609" s="1" t="str">
        <f>""</f>
        <v/>
      </c>
      <c r="Y609" s="1" t="str">
        <f>""</f>
        <v/>
      </c>
      <c r="Z609" t="str">
        <f>"3512696162"</f>
        <v>3512696162</v>
      </c>
      <c r="AA609" t="str">
        <f>"9193396162"</f>
        <v>9193396162</v>
      </c>
      <c r="AB609" t="str">
        <f>"9193396162"</f>
        <v>9193396162</v>
      </c>
      <c r="AC609" t="str">
        <f>"9193396162"</f>
        <v>9193396162</v>
      </c>
      <c r="AD609" t="str">
        <f>"9193396162"</f>
        <v>9193396162</v>
      </c>
      <c r="AE609" t="str">
        <f>"3512696162"</f>
        <v>3512696162</v>
      </c>
    </row>
    <row r="610" spans="1:31" x14ac:dyDescent="0.45">
      <c r="A610" t="str">
        <f>"РУКИНА ЛЮБОВЬ ВЛАДИМИРОВНА"</f>
        <v>РУКИНА ЛЮБОВЬ ВЛАДИМИРОВНА</v>
      </c>
      <c r="B610" t="str">
        <f>"1954-11-11"</f>
        <v>1954-11-11</v>
      </c>
      <c r="C610" t="str">
        <f>"75 02 442518"</f>
        <v>75 02 442518</v>
      </c>
      <c r="D610" t="str">
        <f>"5313100113923766"</f>
        <v>5313100113923766</v>
      </c>
      <c r="E610" t="str">
        <f>"2020-10-31"</f>
        <v>2020-10-31</v>
      </c>
      <c r="F610" t="str">
        <f t="shared" si="103"/>
        <v>+</v>
      </c>
      <c r="G610" t="str">
        <f t="shared" si="103"/>
        <v>+</v>
      </c>
      <c r="H610" t="str">
        <f>"40817810816991427823"</f>
        <v>40817810816991427823</v>
      </c>
      <c r="I610" t="str">
        <f>"8597"</f>
        <v>8597</v>
      </c>
      <c r="J610" t="str">
        <f>"0343"</f>
        <v>0343</v>
      </c>
      <c r="K610" t="str">
        <f>"10000.00"</f>
        <v>10000.00</v>
      </c>
      <c r="L610" t="str">
        <f>"454000 ОБЛ ЧЕЛЯБИНСКАЯ   Г ВЕРХНЕУРАЛЬСК   УЛ СОВЕТСКАЯ д. 17"</f>
        <v>454000 ОБЛ ЧЕЛЯБИНСКАЯ   Г ВЕРХНЕУРАЛЬСК   УЛ СОВЕТСКАЯ д. 17</v>
      </c>
      <c r="M610" t="str">
        <f t="shared" si="101"/>
        <v>2019-08-24</v>
      </c>
      <c r="N610" t="str">
        <f>"ПФ"</f>
        <v>ПФ</v>
      </c>
      <c r="O610" t="str">
        <f>"454000"</f>
        <v>454000</v>
      </c>
      <c r="P610" t="str">
        <f>"ОБЛ ЧЕЛЯБИНСКАЯ"</f>
        <v>ОБЛ ЧЕЛЯБИНСКАЯ</v>
      </c>
      <c r="Q610" t="str">
        <f>""</f>
        <v/>
      </c>
      <c r="R610" t="str">
        <f>"Г ВЕРХНЕУРАЛЬСК"</f>
        <v>Г ВЕРХНЕУРАЛЬСК</v>
      </c>
      <c r="S610" t="str">
        <f>""</f>
        <v/>
      </c>
      <c r="T610" t="str">
        <f>"УЛ НАБЕРЕЖНАЯ"</f>
        <v>УЛ НАБЕРЕЖНАЯ</v>
      </c>
      <c r="U610" s="1" t="str">
        <f>"19"</f>
        <v>19</v>
      </c>
      <c r="V610" s="1" t="str">
        <f>""</f>
        <v/>
      </c>
      <c r="W610" s="1" t="str">
        <f>""</f>
        <v/>
      </c>
      <c r="X610" s="1" t="str">
        <f>""</f>
        <v/>
      </c>
      <c r="Y610" s="1" t="str">
        <f>""</f>
        <v/>
      </c>
      <c r="Z610" t="str">
        <f>"9630939370"</f>
        <v>9630939370</v>
      </c>
      <c r="AA610" t="str">
        <f>"9630939370"</f>
        <v>9630939370</v>
      </c>
      <c r="AB610" t="str">
        <f>"9193273188"</f>
        <v>9193273188</v>
      </c>
      <c r="AC610" t="str">
        <f>"9630939370"</f>
        <v>9630939370</v>
      </c>
      <c r="AD610" t="str">
        <f>"9630939370"</f>
        <v>9630939370</v>
      </c>
      <c r="AE610" t="str">
        <f>"9630939370"</f>
        <v>9630939370</v>
      </c>
    </row>
    <row r="611" spans="1:31" x14ac:dyDescent="0.45">
      <c r="A611" t="str">
        <f>"ВЛАСЮК ЖАННА ВАСИЛЬЕВНА"</f>
        <v>ВЛАСЮК ЖАННА ВАСИЛЬЕВНА</v>
      </c>
      <c r="B611" t="str">
        <f>"1969-06-18"</f>
        <v>1969-06-18</v>
      </c>
      <c r="C611" t="str">
        <f>"65 14 877686"</f>
        <v>65 14 877686</v>
      </c>
      <c r="D611" t="str">
        <f>"4854630419935880"</f>
        <v>4854630419935880</v>
      </c>
      <c r="E611" t="str">
        <f>"2021-05-31"</f>
        <v>2021-05-31</v>
      </c>
      <c r="F611" t="str">
        <f t="shared" si="103"/>
        <v>+</v>
      </c>
      <c r="G611" t="str">
        <f t="shared" si="103"/>
        <v>+</v>
      </c>
      <c r="H611" t="str">
        <f>"40817810316991464124"</f>
        <v>40817810316991464124</v>
      </c>
      <c r="I611" t="str">
        <f>"7003"</f>
        <v>7003</v>
      </c>
      <c r="J611" t="str">
        <f>"0878"</f>
        <v>0878</v>
      </c>
      <c r="K611" t="str">
        <f>"15000.00"</f>
        <v>15000.00</v>
      </c>
      <c r="L611" t="str">
        <f>"620000 ОБЛ СВЕРДЛОВСКАЯ   Г ЕКАТЕРИНБУРГ   УЛ ОПАЛИХИНСКАЯ д. 15"</f>
        <v>620000 ОБЛ СВЕРДЛОВСКАЯ   Г ЕКАТЕРИНБУРГ   УЛ ОПАЛИХИНСКАЯ д. 15</v>
      </c>
      <c r="M611" t="str">
        <f t="shared" si="101"/>
        <v>2019-08-24</v>
      </c>
      <c r="N611" t="str">
        <f>"ООО ЗАПОВЕДНИК"</f>
        <v>ООО ЗАПОВЕДНИК</v>
      </c>
      <c r="O611" t="str">
        <f>"620000"</f>
        <v>620000</v>
      </c>
      <c r="P611" t="str">
        <f>"ОБЛ СВЕРДЛОВСКАЯ"</f>
        <v>ОБЛ СВЕРДЛОВСКАЯ</v>
      </c>
      <c r="Q611" t="str">
        <f>""</f>
        <v/>
      </c>
      <c r="R611" t="str">
        <f>"Г ЕКАТЕРИНБУРГ"</f>
        <v>Г ЕКАТЕРИНБУРГ</v>
      </c>
      <c r="S611" t="str">
        <f>""</f>
        <v/>
      </c>
      <c r="T611" t="str">
        <f>"УЛ ХРУСТАЛЬНОГОРСКАЯ"</f>
        <v>УЛ ХРУСТАЛЬНОГОРСКАЯ</v>
      </c>
      <c r="U611" s="1" t="str">
        <f>"84"</f>
        <v>84</v>
      </c>
      <c r="V611" s="1" t="str">
        <f>""</f>
        <v/>
      </c>
      <c r="W611" s="1" t="str">
        <f>""</f>
        <v/>
      </c>
      <c r="X611" s="1" t="str">
        <f>""</f>
        <v/>
      </c>
      <c r="Y611" s="1" t="str">
        <f>"292"</f>
        <v>292</v>
      </c>
      <c r="Z611" t="str">
        <f>""</f>
        <v/>
      </c>
      <c r="AA611" t="str">
        <f>"9028740401"</f>
        <v>9028740401</v>
      </c>
      <c r="AB611" t="str">
        <f>"9028740401"</f>
        <v>9028740401</v>
      </c>
      <c r="AC611" t="str">
        <f>"9501919483"</f>
        <v>9501919483</v>
      </c>
      <c r="AD611" t="str">
        <f>"9028740401"</f>
        <v>9028740401</v>
      </c>
      <c r="AE611" t="str">
        <f>""</f>
        <v/>
      </c>
    </row>
    <row r="612" spans="1:31" x14ac:dyDescent="0.45">
      <c r="A612" t="str">
        <f>"ЛИСЬИХ ОЛЬГА ВИКТОРОВНА"</f>
        <v>ЛИСЬИХ ОЛЬГА ВИКТОРОВНА</v>
      </c>
      <c r="B612" t="str">
        <f>"1963-09-24"</f>
        <v>1963-09-24</v>
      </c>
      <c r="C612" t="str">
        <f>"65 08 451152"</f>
        <v>65 08 451152</v>
      </c>
      <c r="D612" t="str">
        <f>"4854630370499744"</f>
        <v>4854630370499744</v>
      </c>
      <c r="E612" t="str">
        <f>"2021-04-30"</f>
        <v>2021-04-30</v>
      </c>
      <c r="F612" t="str">
        <f>"Q"</f>
        <v>Q</v>
      </c>
      <c r="G612" t="str">
        <f>"Q"</f>
        <v>Q</v>
      </c>
      <c r="H612" t="str">
        <f>"40817810016991464136"</f>
        <v>40817810016991464136</v>
      </c>
      <c r="I612" t="str">
        <f>"7003"</f>
        <v>7003</v>
      </c>
      <c r="J612" t="str">
        <f>"0418"</f>
        <v>0418</v>
      </c>
      <c r="K612" t="str">
        <f>"0.00"</f>
        <v>0.00</v>
      </c>
      <c r="L612" t="str">
        <f>"620000 ОБЛ СВЕРДЛОВСКАЯ   Г ЕКАТЕРИНБУРГ   УЛ ШЕЙНКМАНА д. 75 кв. 100"</f>
        <v>620000 ОБЛ СВЕРДЛОВСКАЯ   Г ЕКАТЕРИНБУРГ   УЛ ШЕЙНКМАНА д. 75 кв. 100</v>
      </c>
      <c r="M612" t="str">
        <f t="shared" si="101"/>
        <v>2019-08-24</v>
      </c>
      <c r="N612" t="str">
        <f>"ПЕНСИОНЕР"</f>
        <v>ПЕНСИОНЕР</v>
      </c>
      <c r="O612" t="str">
        <f>"620000"</f>
        <v>620000</v>
      </c>
      <c r="P612" t="str">
        <f>"ОБЛ СВЕРДЛОВСКАЯ"</f>
        <v>ОБЛ СВЕРДЛОВСКАЯ</v>
      </c>
      <c r="Q612" t="str">
        <f>""</f>
        <v/>
      </c>
      <c r="R612" t="str">
        <f>"Г ЕКАТЕРИНБУРГ"</f>
        <v>Г ЕКАТЕРИНБУРГ</v>
      </c>
      <c r="S612" t="str">
        <f>""</f>
        <v/>
      </c>
      <c r="T612" t="str">
        <f>"УЛ ШЕЙНКМАНА"</f>
        <v>УЛ ШЕЙНКМАНА</v>
      </c>
      <c r="U612" s="1" t="str">
        <f>"75"</f>
        <v>75</v>
      </c>
      <c r="V612" s="1" t="str">
        <f>""</f>
        <v/>
      </c>
      <c r="W612" s="1" t="str">
        <f>""</f>
        <v/>
      </c>
      <c r="X612" s="1" t="str">
        <f>""</f>
        <v/>
      </c>
      <c r="Y612" s="1" t="str">
        <f>"100"</f>
        <v>100</v>
      </c>
      <c r="Z612" t="str">
        <f>""</f>
        <v/>
      </c>
      <c r="AA612" t="str">
        <f>"9041717775"</f>
        <v>9041717775</v>
      </c>
      <c r="AB612" t="str">
        <f>"9041717775"</f>
        <v>9041717775</v>
      </c>
      <c r="AC612" t="str">
        <f>"9041717775"</f>
        <v>9041717775</v>
      </c>
      <c r="AD612" t="str">
        <f>"9041717775"</f>
        <v>9041717775</v>
      </c>
      <c r="AE612" t="str">
        <f>""</f>
        <v/>
      </c>
    </row>
    <row r="613" spans="1:31" x14ac:dyDescent="0.45">
      <c r="A613" t="str">
        <f>"КОКШАРОВА ОЛЬГА МИХАЙЛОВНА"</f>
        <v>КОКШАРОВА ОЛЬГА МИХАЙЛОВНА</v>
      </c>
      <c r="B613" t="str">
        <f>"1955-08-02"</f>
        <v>1955-08-02</v>
      </c>
      <c r="C613" t="str">
        <f>"75 00 818371"</f>
        <v>75 00 818371</v>
      </c>
      <c r="D613" t="str">
        <f>"4854630357907669"</f>
        <v>4854630357907669</v>
      </c>
      <c r="E613" t="str">
        <f>"2020-04-30"</f>
        <v>2020-04-30</v>
      </c>
      <c r="F613" t="str">
        <f t="shared" ref="F613:G628" si="104">"+"</f>
        <v>+</v>
      </c>
      <c r="G613" t="str">
        <f t="shared" si="104"/>
        <v>+</v>
      </c>
      <c r="H613" t="str">
        <f>"40817810616991427832"</f>
        <v>40817810616991427832</v>
      </c>
      <c r="I613" t="str">
        <f>"8597"</f>
        <v>8597</v>
      </c>
      <c r="J613" t="str">
        <f>"0283"</f>
        <v>0283</v>
      </c>
      <c r="K613" t="str">
        <f>"50000.00"</f>
        <v>50000.00</v>
      </c>
      <c r="L613" t="str">
        <f>"454000 ОБЛ ЧЕЛЯБИНСКАЯ   Г ЧЕЛЯБИНСК   ПР-КТ КОМСОМОЛЬСКИЙ д. 69 кв. 64"</f>
        <v>454000 ОБЛ ЧЕЛЯБИНСКАЯ   Г ЧЕЛЯБИНСК   ПР-КТ КОМСОМОЛЬСКИЙ д. 69 кв. 64</v>
      </c>
      <c r="M613" t="str">
        <f t="shared" si="101"/>
        <v>2019-08-24</v>
      </c>
      <c r="N613" t="str">
        <f>"ПЕНСИОНЕР"</f>
        <v>ПЕНСИОНЕР</v>
      </c>
      <c r="O613" t="str">
        <f>"454000"</f>
        <v>454000</v>
      </c>
      <c r="P613" t="str">
        <f>"ОБЛ ЧЕЛЯБИНСКАЯ"</f>
        <v>ОБЛ ЧЕЛЯБИНСКАЯ</v>
      </c>
      <c r="Q613" t="str">
        <f>""</f>
        <v/>
      </c>
      <c r="R613" t="str">
        <f>"Г ЧЕЛЯБИНСК"</f>
        <v>Г ЧЕЛЯБИНСК</v>
      </c>
      <c r="S613" t="str">
        <f>""</f>
        <v/>
      </c>
      <c r="T613" t="str">
        <f>"ПР-КТ КОМСОМОЛЬСКИЙ"</f>
        <v>ПР-КТ КОМСОМОЛЬСКИЙ</v>
      </c>
      <c r="U613" s="1" t="str">
        <f>"69"</f>
        <v>69</v>
      </c>
      <c r="V613" s="1" t="str">
        <f>""</f>
        <v/>
      </c>
      <c r="W613" s="1" t="str">
        <f>""</f>
        <v/>
      </c>
      <c r="X613" s="1" t="str">
        <f>""</f>
        <v/>
      </c>
      <c r="Y613" s="1" t="str">
        <f>"64"</f>
        <v>64</v>
      </c>
      <c r="Z613" t="str">
        <f>""</f>
        <v/>
      </c>
      <c r="AA613" t="str">
        <f>"3434628040"</f>
        <v>3434628040</v>
      </c>
      <c r="AB613" t="str">
        <f>"9058316901"</f>
        <v>9058316901</v>
      </c>
      <c r="AC613" t="str">
        <f>"9058316901"</f>
        <v>9058316901</v>
      </c>
      <c r="AD613" t="str">
        <f>"9058316901"</f>
        <v>9058316901</v>
      </c>
      <c r="AE613" t="str">
        <f>""</f>
        <v/>
      </c>
    </row>
    <row r="614" spans="1:31" x14ac:dyDescent="0.45">
      <c r="A614" t="str">
        <f>"СИРБАЕВА АЙГУЛЬ РИШАТОВНА"</f>
        <v>СИРБАЕВА АЙГУЛЬ РИШАТОВНА</v>
      </c>
      <c r="B614" t="str">
        <f>"1990-07-27"</f>
        <v>1990-07-27</v>
      </c>
      <c r="C614" t="str">
        <f>"80 11 360292"</f>
        <v>80 11 360292</v>
      </c>
      <c r="D614" t="str">
        <f>"4276011634807123"</f>
        <v>4276011634807123</v>
      </c>
      <c r="E614" t="str">
        <f>"2021-07-31"</f>
        <v>2021-07-31</v>
      </c>
      <c r="F614" t="str">
        <f t="shared" si="104"/>
        <v>+</v>
      </c>
      <c r="G614" t="str">
        <f t="shared" si="104"/>
        <v>+</v>
      </c>
      <c r="H614" t="str">
        <f>"40817810516991424689"</f>
        <v>40817810516991424689</v>
      </c>
      <c r="I614" t="str">
        <f>"8598"</f>
        <v>8598</v>
      </c>
      <c r="J614" t="str">
        <f>"0763"</f>
        <v>0763</v>
      </c>
      <c r="K614" t="str">
        <f>"82000.00"</f>
        <v>82000.00</v>
      </c>
      <c r="L614" t="str">
        <f>"450000 РЕСП БАШКОРТОСТАН   Г СИБАЙ   УЛ ГОРЬКОГО д. 74 корп. А"</f>
        <v>450000 РЕСП БАШКОРТОСТАН   Г СИБАЙ   УЛ ГОРЬКОГО д. 74 корп. А</v>
      </c>
      <c r="M614" t="str">
        <f t="shared" si="101"/>
        <v>2019-08-24</v>
      </c>
      <c r="N614" t="str">
        <f>"МФЦ"</f>
        <v>МФЦ</v>
      </c>
      <c r="O614" t="str">
        <f>"450000"</f>
        <v>450000</v>
      </c>
      <c r="P614" t="str">
        <f>"РЕСП БАШКОРТОСТАН"</f>
        <v>РЕСП БАШКОРТОСТАН</v>
      </c>
      <c r="Q614" t="str">
        <f>"Р-Н БАЙМАКСКИЙ"</f>
        <v>Р-Н БАЙМАКСКИЙ</v>
      </c>
      <c r="R614" t="str">
        <f>""</f>
        <v/>
      </c>
      <c r="S614" t="str">
        <f>"С ТУБИНСКИЙ"</f>
        <v>С ТУБИНСКИЙ</v>
      </c>
      <c r="T614" t="str">
        <f>"УЛ ПОБЕДЫ"</f>
        <v>УЛ ПОБЕДЫ</v>
      </c>
      <c r="U614" s="1" t="str">
        <f>"7"</f>
        <v>7</v>
      </c>
      <c r="V614" s="1" t="str">
        <f>""</f>
        <v/>
      </c>
      <c r="W614" s="1" t="str">
        <f>""</f>
        <v/>
      </c>
      <c r="X614" s="1" t="str">
        <f>""</f>
        <v/>
      </c>
      <c r="Y614" s="1" t="str">
        <f>""</f>
        <v/>
      </c>
      <c r="Z614" t="str">
        <f>"3519593636"</f>
        <v>3519593636</v>
      </c>
      <c r="AA614" t="str">
        <f>"+7 (909) 0959191"</f>
        <v>+7 (909) 0959191</v>
      </c>
      <c r="AB614" t="str">
        <f>"9273324997"</f>
        <v>9273324997</v>
      </c>
      <c r="AC614" t="str">
        <f>"9090959191"</f>
        <v>9090959191</v>
      </c>
      <c r="AD614" t="str">
        <f>"9090959191"</f>
        <v>9090959191</v>
      </c>
      <c r="AE614" t="str">
        <f>""</f>
        <v/>
      </c>
    </row>
    <row r="615" spans="1:31" x14ac:dyDescent="0.45">
      <c r="A615" t="str">
        <f>"ЛАТЫНЦЕВА АНАСТАСИЯ НИКОЛАЕВНА"</f>
        <v>ЛАТЫНЦЕВА АНАСТАСИЯ НИКОЛАЕВНА</v>
      </c>
      <c r="B615" t="str">
        <f>"1976-12-17"</f>
        <v>1976-12-17</v>
      </c>
      <c r="C615" t="str">
        <f>"65 14 792668"</f>
        <v>65 14 792668</v>
      </c>
      <c r="D615" t="str">
        <f>"4854630368246552"</f>
        <v>4854630368246552</v>
      </c>
      <c r="E615" t="str">
        <f>"2021-04-30"</f>
        <v>2021-04-30</v>
      </c>
      <c r="F615" t="str">
        <f t="shared" si="104"/>
        <v>+</v>
      </c>
      <c r="G615" t="str">
        <f t="shared" si="104"/>
        <v>+</v>
      </c>
      <c r="H615" t="str">
        <f>"40817810916991424690"</f>
        <v>40817810916991424690</v>
      </c>
      <c r="I615" t="str">
        <f>"7003"</f>
        <v>7003</v>
      </c>
      <c r="J615" t="str">
        <f>"0828"</f>
        <v>0828</v>
      </c>
      <c r="K615" t="str">
        <f>"29000.00"</f>
        <v>29000.00</v>
      </c>
      <c r="L615" t="str">
        <f>"620000 ОБЛ СВЕРДЛОВСКАЯ   Г НОВОУРАЛЬСК   УЛ КИКОИНА д. 2/2"</f>
        <v>620000 ОБЛ СВЕРДЛОВСКАЯ   Г НОВОУРАЛЬСК   УЛ КИКОИНА д. 2/2</v>
      </c>
      <c r="M615" t="str">
        <f t="shared" si="101"/>
        <v>2019-08-24</v>
      </c>
      <c r="N615" t="str">
        <f>"АГРОТОРГ"</f>
        <v>АГРОТОРГ</v>
      </c>
      <c r="O615" t="str">
        <f>"620000"</f>
        <v>620000</v>
      </c>
      <c r="P615" t="str">
        <f>"ОБЛ СВЕРДЛОВСКАЯ"</f>
        <v>ОБЛ СВЕРДЛОВСКАЯ</v>
      </c>
      <c r="Q615" t="str">
        <f>""</f>
        <v/>
      </c>
      <c r="R615" t="str">
        <f>"Г НОВОУРАЛЬСК"</f>
        <v>Г НОВОУРАЛЬСК</v>
      </c>
      <c r="S615" t="str">
        <f>""</f>
        <v/>
      </c>
      <c r="T615" t="str">
        <f>"УЛ СОВЕТСКАЯ"</f>
        <v>УЛ СОВЕТСКАЯ</v>
      </c>
      <c r="U615" s="1" t="str">
        <f>"8"</f>
        <v>8</v>
      </c>
      <c r="V615" s="1" t="str">
        <f>""</f>
        <v/>
      </c>
      <c r="W615" s="1" t="str">
        <f>"2"</f>
        <v>2</v>
      </c>
      <c r="X615" s="1" t="str">
        <f>""</f>
        <v/>
      </c>
      <c r="Y615" s="1" t="str">
        <f>"12"</f>
        <v>12</v>
      </c>
      <c r="Z615" t="str">
        <f>""</f>
        <v/>
      </c>
      <c r="AA615" t="str">
        <f>"9502056526"</f>
        <v>9502056526</v>
      </c>
      <c r="AB615" t="str">
        <f>"9502056526"</f>
        <v>9502056526</v>
      </c>
      <c r="AC615" t="str">
        <f>"9502056526"</f>
        <v>9502056526</v>
      </c>
      <c r="AD615" t="str">
        <f>"9502056526"</f>
        <v>9502056526</v>
      </c>
      <c r="AE615" t="str">
        <f>""</f>
        <v/>
      </c>
    </row>
    <row r="616" spans="1:31" x14ac:dyDescent="0.45">
      <c r="A616" t="str">
        <f>"АНДРУЩУК ДАРЬЯ НИКОЛАЕВНА"</f>
        <v>АНДРУЩУК ДАРЬЯ НИКОЛАЕВНА</v>
      </c>
      <c r="B616" t="str">
        <f>"1990-01-23"</f>
        <v>1990-01-23</v>
      </c>
      <c r="C616" t="str">
        <f>"65 15 142083"</f>
        <v>65 15 142083</v>
      </c>
      <c r="D616" t="str">
        <f>"4854630075335466"</f>
        <v>4854630075335466</v>
      </c>
      <c r="E616" t="str">
        <f>"2020-11-30"</f>
        <v>2020-11-30</v>
      </c>
      <c r="F616" t="str">
        <f t="shared" si="104"/>
        <v>+</v>
      </c>
      <c r="G616" t="str">
        <f t="shared" si="104"/>
        <v>+</v>
      </c>
      <c r="H616" t="str">
        <f>"40817810516992455220"</f>
        <v>40817810516992455220</v>
      </c>
      <c r="I616" t="str">
        <f>"8647"</f>
        <v>8647</v>
      </c>
      <c r="J616" t="str">
        <f>"0119"</f>
        <v>0119</v>
      </c>
      <c r="K616" t="str">
        <f>"20000.00"</f>
        <v>20000.00</v>
      </c>
      <c r="L616" t="str">
        <f>"624853 ОБЛ СВЕРДЛОВСКАЯ Р-Н БЕЛОЯРСКИЙ   С В/Ч 58661-54 С В/Ч 58661-54"</f>
        <v>624853 ОБЛ СВЕРДЛОВСКАЯ Р-Н БЕЛОЯРСКИЙ   С В/Ч 58661-54 С В/Ч 58661-54</v>
      </c>
      <c r="M616" t="str">
        <f t="shared" si="101"/>
        <v>2019-08-24</v>
      </c>
      <c r="N616" t="str">
        <f>"В/Ч 58661-54"</f>
        <v>В/Ч 58661-54</v>
      </c>
      <c r="O616" t="str">
        <f>"624853"</f>
        <v>624853</v>
      </c>
      <c r="P616" t="str">
        <f>"ОБЛ СВЕРДЛОВСКАЯ"</f>
        <v>ОБЛ СВЕРДЛОВСКАЯ</v>
      </c>
      <c r="Q616" t="str">
        <f>"Р-Н БЕЛОЯРСКИЙ"</f>
        <v>Р-Н БЕЛОЯРСКИЙ</v>
      </c>
      <c r="R616" t="str">
        <f>""</f>
        <v/>
      </c>
      <c r="S616" t="str">
        <f>"П ГАГАРСКИЙ"</f>
        <v>П ГАГАРСКИЙ</v>
      </c>
      <c r="T616" t="str">
        <f>"С В/Ч 58661-54"</f>
        <v>С В/Ч 58661-54</v>
      </c>
      <c r="U616" s="1" t="str">
        <f>""</f>
        <v/>
      </c>
      <c r="V616" s="1" t="str">
        <f>""</f>
        <v/>
      </c>
      <c r="W616" s="1" t="str">
        <f>""</f>
        <v/>
      </c>
      <c r="X616" s="1" t="str">
        <f>""</f>
        <v/>
      </c>
      <c r="Y616" s="1" t="str">
        <f>""</f>
        <v/>
      </c>
      <c r="Z616" t="str">
        <f>"9521366484"</f>
        <v>9521366484</v>
      </c>
      <c r="AA616" t="str">
        <f>"3437624742"</f>
        <v>3437624742</v>
      </c>
      <c r="AB616" t="str">
        <f>"9222694434"</f>
        <v>9222694434</v>
      </c>
      <c r="AC616" t="str">
        <f>"9220334897"</f>
        <v>9220334897</v>
      </c>
      <c r="AD616" t="str">
        <f>"9222694434"</f>
        <v>9222694434</v>
      </c>
      <c r="AE616" t="str">
        <f>""</f>
        <v/>
      </c>
    </row>
    <row r="617" spans="1:31" x14ac:dyDescent="0.45">
      <c r="A617" t="str">
        <f>"ТЮМЕНЦЕВА ИРИНА ВЯЧЕСЛАВОВНА"</f>
        <v>ТЮМЕНЦЕВА ИРИНА ВЯЧЕСЛАВОВНА</v>
      </c>
      <c r="B617" t="str">
        <f>"1953-12-02"</f>
        <v>1953-12-02</v>
      </c>
      <c r="C617" t="str">
        <f>"65 02 025395"</f>
        <v>65 02 025395</v>
      </c>
      <c r="D617" t="str">
        <f>"4854630363535553"</f>
        <v>4854630363535553</v>
      </c>
      <c r="E617" t="str">
        <f>"2021-05-31"</f>
        <v>2021-05-31</v>
      </c>
      <c r="F617" t="str">
        <f t="shared" si="104"/>
        <v>+</v>
      </c>
      <c r="G617" t="str">
        <f t="shared" si="104"/>
        <v>+</v>
      </c>
      <c r="H617" t="str">
        <f>"40817810216991464172"</f>
        <v>40817810216991464172</v>
      </c>
      <c r="I617" t="str">
        <f>"7003"</f>
        <v>7003</v>
      </c>
      <c r="J617" t="str">
        <f>"0832"</f>
        <v>0832</v>
      </c>
      <c r="K617" t="str">
        <f>"10000.00"</f>
        <v>10000.00</v>
      </c>
      <c r="L617" t="str">
        <f>"620000 ОБЛ СВЕРДЛОВСКАЯ   Г НОВОУРАЛЬСК   УЛ КРУПСКОЙ д. 6"</f>
        <v>620000 ОБЛ СВЕРДЛОВСКАЯ   Г НОВОУРАЛЬСК   УЛ КРУПСКОЙ д. 6</v>
      </c>
      <c r="M617" t="str">
        <f t="shared" si="101"/>
        <v>2019-08-24</v>
      </c>
      <c r="N617" t="str">
        <f>"ПФР"</f>
        <v>ПФР</v>
      </c>
      <c r="O617" t="str">
        <f>"620000"</f>
        <v>620000</v>
      </c>
      <c r="P617" t="str">
        <f>"ОБЛ СВЕРДЛОВСКАЯ"</f>
        <v>ОБЛ СВЕРДЛОВСКАЯ</v>
      </c>
      <c r="Q617" t="str">
        <f>""</f>
        <v/>
      </c>
      <c r="R617" t="str">
        <f>"Г НОВОУРАЛЬСК"</f>
        <v>Г НОВОУРАЛЬСК</v>
      </c>
      <c r="S617" t="str">
        <f>""</f>
        <v/>
      </c>
      <c r="T617" t="str">
        <f>"УЛ ЛЬВА ТОЛСТОГО"</f>
        <v>УЛ ЛЬВА ТОЛСТОГО</v>
      </c>
      <c r="U617" s="1" t="str">
        <f>"14"</f>
        <v>14</v>
      </c>
      <c r="V617" s="1" t="str">
        <f>""</f>
        <v/>
      </c>
      <c r="W617" s="1" t="str">
        <f>""</f>
        <v/>
      </c>
      <c r="X617" s="1" t="str">
        <f>""</f>
        <v/>
      </c>
      <c r="Y617" s="1" t="str">
        <f>"14"</f>
        <v>14</v>
      </c>
      <c r="Z617" t="str">
        <f>""</f>
        <v/>
      </c>
      <c r="AA617" t="str">
        <f>"3437092914"</f>
        <v>3437092914</v>
      </c>
      <c r="AB617" t="str">
        <f>"9089071896"</f>
        <v>9089071896</v>
      </c>
      <c r="AC617" t="str">
        <f>"9089071896"</f>
        <v>9089071896</v>
      </c>
      <c r="AD617" t="str">
        <f>"9089071896"</f>
        <v>9089071896</v>
      </c>
      <c r="AE617" t="str">
        <f>""</f>
        <v/>
      </c>
    </row>
    <row r="618" spans="1:31" x14ac:dyDescent="0.45">
      <c r="A618" t="str">
        <f>"КОБЗЕВ ВАДИМ ВАЛЕРЬЕВИЧ"</f>
        <v>КОБЗЕВ ВАДИМ ВАЛЕРЬЕВИЧ</v>
      </c>
      <c r="B618" t="str">
        <f>"1971-10-14"</f>
        <v>1971-10-14</v>
      </c>
      <c r="C618" t="str">
        <f>"75 16 851196"</f>
        <v>75 16 851196</v>
      </c>
      <c r="D618" t="str">
        <f>"5469011607944220"</f>
        <v>5469011607944220</v>
      </c>
      <c r="E618" t="str">
        <f>"2022-08-31"</f>
        <v>2022-08-31</v>
      </c>
      <c r="F618" t="str">
        <f>"H"</f>
        <v>H</v>
      </c>
      <c r="G618" t="str">
        <f t="shared" si="104"/>
        <v>+</v>
      </c>
      <c r="H618" t="str">
        <f>"40817810316991427844"</f>
        <v>40817810316991427844</v>
      </c>
      <c r="I618" t="str">
        <f>"8597"</f>
        <v>8597</v>
      </c>
      <c r="J618" t="str">
        <f>"0267"</f>
        <v>0267</v>
      </c>
      <c r="K618" t="str">
        <f>"10000.00"</f>
        <v>10000.00</v>
      </c>
      <c r="L618" t="str">
        <f>"454000 ОБЛ ЧЕЛЯБИНСКАЯ   Г ЧЕЛЯБИНСК   УЛ КАРЛА МАРКСА д. 52"</f>
        <v>454000 ОБЛ ЧЕЛЯБИНСКАЯ   Г ЧЕЛЯБИНСК   УЛ КАРЛА МАРКСА д. 52</v>
      </c>
      <c r="M618" t="str">
        <f t="shared" si="101"/>
        <v>2019-08-24</v>
      </c>
      <c r="N618" t="str">
        <f>"СТЕМ"</f>
        <v>СТЕМ</v>
      </c>
      <c r="O618" t="str">
        <f>"454000"</f>
        <v>454000</v>
      </c>
      <c r="P618" t="str">
        <f>"ОБЛ ЧЕЛЯБИНСКАЯ"</f>
        <v>ОБЛ ЧЕЛЯБИНСКАЯ</v>
      </c>
      <c r="Q618" t="str">
        <f>""</f>
        <v/>
      </c>
      <c r="R618" t="str">
        <f>"Г ЧЕЛЯБИНСК"</f>
        <v>Г ЧЕЛЯБИНСК</v>
      </c>
      <c r="S618" t="str">
        <f>""</f>
        <v/>
      </c>
      <c r="T618" t="str">
        <f>"УЛ 50-ЛЕТИЯ ВЛКСМ"</f>
        <v>УЛ 50-ЛЕТИЯ ВЛКСМ</v>
      </c>
      <c r="U618" s="1" t="str">
        <f>"6"</f>
        <v>6</v>
      </c>
      <c r="V618" s="1" t="str">
        <f>""</f>
        <v/>
      </c>
      <c r="W618" s="1" t="str">
        <f>""</f>
        <v/>
      </c>
      <c r="X618" s="1" t="str">
        <f>""</f>
        <v/>
      </c>
      <c r="Y618" s="1" t="str">
        <f>"63"</f>
        <v>63</v>
      </c>
      <c r="Z618" t="str">
        <f>"7966006"</f>
        <v>7966006</v>
      </c>
      <c r="AA618" t="str">
        <f>"9823209735"</f>
        <v>9823209735</v>
      </c>
      <c r="AB618" t="str">
        <f>"9823209735"</f>
        <v>9823209735</v>
      </c>
      <c r="AC618" t="str">
        <f>"9823209735"</f>
        <v>9823209735</v>
      </c>
      <c r="AD618" t="str">
        <f>"9823209735"</f>
        <v>9823209735</v>
      </c>
      <c r="AE618" t="str">
        <f>""</f>
        <v/>
      </c>
    </row>
    <row r="619" spans="1:31" x14ac:dyDescent="0.45">
      <c r="A619" t="str">
        <f>"КОЦИЕНКО ЕКАТЕРИНА ВИКТОРОВНА"</f>
        <v>КОЦИЕНКО ЕКАТЕРИНА ВИКТОРОВНА</v>
      </c>
      <c r="B619" t="str">
        <f>"1988-09-08"</f>
        <v>1988-09-08</v>
      </c>
      <c r="C619" t="str">
        <f>"67 16 564724"</f>
        <v>67 16 564724</v>
      </c>
      <c r="D619" t="str">
        <f>"4854630427891943"</f>
        <v>4854630427891943</v>
      </c>
      <c r="E619" t="str">
        <f>"2021-04-30"</f>
        <v>2021-04-30</v>
      </c>
      <c r="F619" t="str">
        <f t="shared" ref="F619:G635" si="105">"+"</f>
        <v>+</v>
      </c>
      <c r="G619" t="str">
        <f t="shared" si="104"/>
        <v>+</v>
      </c>
      <c r="H619" t="str">
        <f>"40817810516992552165"</f>
        <v>40817810516992552165</v>
      </c>
      <c r="I619" t="str">
        <f>"5940"</f>
        <v>5940</v>
      </c>
      <c r="J619" t="str">
        <f>"0062"</f>
        <v>0062</v>
      </c>
      <c r="K619" t="str">
        <f>"200000.00"</f>
        <v>200000.00</v>
      </c>
      <c r="L619" t="str">
        <f>"629800 АО ЯМАЛО-НЕНЕЦКИЙ   Г НОБРЬСК   УЛ СОВЕТСКАЯ д. 15"</f>
        <v>629800 АО ЯМАЛО-НЕНЕЦКИЙ   Г НОБРЬСК   УЛ СОВЕТСКАЯ д. 15</v>
      </c>
      <c r="M619" t="str">
        <f t="shared" si="101"/>
        <v>2019-08-24</v>
      </c>
      <c r="N619" t="str">
        <f>"ИП КОЦИЕНКО Е.В."</f>
        <v>ИП КОЦИЕНКО Е.В.</v>
      </c>
      <c r="O619" t="str">
        <f>"629800"</f>
        <v>629800</v>
      </c>
      <c r="P619" t="str">
        <f>"АО ХАНТЫ-МАНСИЙСКИЙ АВТОНОМНЫЙ ОКРУГ-ЮГРА"</f>
        <v>АО ХАНТЫ-МАНСИЙСКИЙ АВТОНОМНЫЙ ОКРУГ-ЮГРА</v>
      </c>
      <c r="Q619" t="str">
        <f>""</f>
        <v/>
      </c>
      <c r="R619" t="str">
        <f>"Г СУРГУТ"</f>
        <v>Г СУРГУТ</v>
      </c>
      <c r="S619" t="str">
        <f>""</f>
        <v/>
      </c>
      <c r="T619" t="str">
        <f>"УЛ ПРИОЗЕРНАЯ"</f>
        <v>УЛ ПРИОЗЕРНАЯ</v>
      </c>
      <c r="U619" s="1" t="str">
        <f>"21"</f>
        <v>21</v>
      </c>
      <c r="V619" s="1" t="str">
        <f>""</f>
        <v/>
      </c>
      <c r="W619" s="1" t="str">
        <f>""</f>
        <v/>
      </c>
      <c r="X619" s="1" t="str">
        <f>""</f>
        <v/>
      </c>
      <c r="Y619" s="1" t="str">
        <f>""</f>
        <v/>
      </c>
      <c r="Z619" t="str">
        <f>""</f>
        <v/>
      </c>
      <c r="AA619" t="str">
        <f>"9527140199"</f>
        <v>9527140199</v>
      </c>
      <c r="AB619" t="str">
        <f>"9091736333"</f>
        <v>9091736333</v>
      </c>
      <c r="AC619" t="str">
        <f>"9527140199"</f>
        <v>9527140199</v>
      </c>
      <c r="AD619" t="str">
        <f>"9296263010"</f>
        <v>9296263010</v>
      </c>
      <c r="AE619" t="str">
        <f>""</f>
        <v/>
      </c>
    </row>
    <row r="620" spans="1:31" x14ac:dyDescent="0.45">
      <c r="A620" t="str">
        <f>"ГАПИЧЕНКО ТАТЬЯНА НИКОЛАЕВНА"</f>
        <v>ГАПИЧЕНКО ТАТЬЯНА НИКОЛАЕВНА</v>
      </c>
      <c r="B620" t="str">
        <f>"1973-08-05"</f>
        <v>1973-08-05</v>
      </c>
      <c r="C620" t="str">
        <f>"75 18 174565"</f>
        <v>75 18 174565</v>
      </c>
      <c r="D620" t="str">
        <f>"5313100653004449"</f>
        <v>5313100653004449</v>
      </c>
      <c r="E620" t="str">
        <f>"2020-02-29"</f>
        <v>2020-02-29</v>
      </c>
      <c r="F620" t="str">
        <f t="shared" si="105"/>
        <v>+</v>
      </c>
      <c r="G620" t="str">
        <f t="shared" si="104"/>
        <v>+</v>
      </c>
      <c r="H620" t="str">
        <f>"40817810716991424696"</f>
        <v>40817810716991424696</v>
      </c>
      <c r="I620" t="str">
        <f>"8597"</f>
        <v>8597</v>
      </c>
      <c r="J620" t="str">
        <f>"0437"</f>
        <v>0437</v>
      </c>
      <c r="K620" t="str">
        <f>"50000.00"</f>
        <v>50000.00</v>
      </c>
      <c r="L620" t="str">
        <f>"454000 ОБЛ ЧЕЛЯБИНСКАЯ   Г ОЗЕРСК   УЛ ЛЕНИНА д. 31"</f>
        <v>454000 ОБЛ ЧЕЛЯБИНСКАЯ   Г ОЗЕРСК   УЛ ЛЕНИНА д. 31</v>
      </c>
      <c r="M620" t="str">
        <f t="shared" si="101"/>
        <v>2019-08-24</v>
      </c>
      <c r="N620" t="str">
        <f>"72376008"</f>
        <v>72376008</v>
      </c>
      <c r="O620" t="str">
        <f>"456780"</f>
        <v>456780</v>
      </c>
      <c r="P620" t="str">
        <f>"ОБЛ ЧЕЛЯБИНСКАЯ"</f>
        <v>ОБЛ ЧЕЛЯБИНСКАЯ</v>
      </c>
      <c r="Q620" t="str">
        <f>""</f>
        <v/>
      </c>
      <c r="R620" t="str">
        <f>"Г ОЗЕРСК"</f>
        <v>Г ОЗЕРСК</v>
      </c>
      <c r="S620" t="str">
        <f>""</f>
        <v/>
      </c>
      <c r="T620" t="str">
        <f>"ПР-КТ ПОБЕДЫ"</f>
        <v>ПР-КТ ПОБЕДЫ</v>
      </c>
      <c r="U620" s="1" t="str">
        <f>"54"</f>
        <v>54</v>
      </c>
      <c r="V620" s="1" t="str">
        <f>""</f>
        <v/>
      </c>
      <c r="W620" s="1" t="str">
        <f>""</f>
        <v/>
      </c>
      <c r="X620" s="1" t="str">
        <f>""</f>
        <v/>
      </c>
      <c r="Y620" s="1" t="str">
        <f>"13"</f>
        <v>13</v>
      </c>
      <c r="Z620" t="str">
        <f>""</f>
        <v/>
      </c>
      <c r="AA620" t="str">
        <f>"+7 (35130) 47246"</f>
        <v>+7 (35130) 47246</v>
      </c>
      <c r="AB620" t="str">
        <f>"+7 (922) 2333550"</f>
        <v>+7 (922) 2333550</v>
      </c>
      <c r="AC620" t="str">
        <f>"3513047246"</f>
        <v>3513047246</v>
      </c>
      <c r="AD620" t="str">
        <f>"9222333550"</f>
        <v>9222333550</v>
      </c>
      <c r="AE620" t="str">
        <f>""</f>
        <v/>
      </c>
    </row>
    <row r="621" spans="1:31" x14ac:dyDescent="0.45">
      <c r="A621" t="str">
        <f>"САГИТОВА ГУЛЬНАЗ ГАБИТОВНА"</f>
        <v>САГИТОВА ГУЛЬНАЗ ГАБИТОВНА</v>
      </c>
      <c r="B621" t="str">
        <f>"1990-05-25"</f>
        <v>1990-05-25</v>
      </c>
      <c r="C621" t="str">
        <f>"80 10 091759"</f>
        <v>80 10 091759</v>
      </c>
      <c r="D621" t="str">
        <f>"4854630382118944"</f>
        <v>4854630382118944</v>
      </c>
      <c r="E621" t="str">
        <f>"2021-04-30"</f>
        <v>2021-04-30</v>
      </c>
      <c r="F621" t="str">
        <f t="shared" si="105"/>
        <v>+</v>
      </c>
      <c r="G621" t="str">
        <f t="shared" si="104"/>
        <v>+</v>
      </c>
      <c r="H621" t="str">
        <f>"40817810016991424697"</f>
        <v>40817810016991424697</v>
      </c>
      <c r="I621" t="str">
        <f>"8598"</f>
        <v>8598</v>
      </c>
      <c r="J621" t="str">
        <f>"0006"</f>
        <v>0006</v>
      </c>
      <c r="K621" t="str">
        <f>"16000.00"</f>
        <v>16000.00</v>
      </c>
      <c r="L621" t="str">
        <f>"450000 РЕСП БАШКОРТОСТАН   Г ИШИМБАЙ   УЛ МИЧЮРИНА д. 26"</f>
        <v>450000 РЕСП БАШКОРТОСТАН   Г ИШИМБАЙ   УЛ МИЧЮРИНА д. 26</v>
      </c>
      <c r="M621" t="str">
        <f t="shared" si="101"/>
        <v>2019-08-24</v>
      </c>
      <c r="N621" t="str">
        <f>"ООО СТРОЙ-МАРКЕТ"</f>
        <v>ООО СТРОЙ-МАРКЕТ</v>
      </c>
      <c r="O621" t="str">
        <f>"450000"</f>
        <v>450000</v>
      </c>
      <c r="P621" t="str">
        <f>"РЕСП БАШКОРТОСТАН"</f>
        <v>РЕСП БАШКОРТОСТАН</v>
      </c>
      <c r="Q621" t="str">
        <f>""</f>
        <v/>
      </c>
      <c r="R621" t="str">
        <f>"Г УФА"</f>
        <v>Г УФА</v>
      </c>
      <c r="S621" t="str">
        <f>""</f>
        <v/>
      </c>
      <c r="T621" t="str">
        <f>"УЛ БУЛЬВАРНАЯ"</f>
        <v>УЛ БУЛЬВАРНАЯ</v>
      </c>
      <c r="U621" s="1" t="str">
        <f>"55"</f>
        <v>55</v>
      </c>
      <c r="V621" s="1" t="str">
        <f>""</f>
        <v/>
      </c>
      <c r="W621" s="1" t="str">
        <f>""</f>
        <v/>
      </c>
      <c r="X621" s="1" t="str">
        <f>""</f>
        <v/>
      </c>
      <c r="Y621" s="1" t="str">
        <f>"229"</f>
        <v>229</v>
      </c>
      <c r="Z621" t="str">
        <f>"9174669160"</f>
        <v>9174669160</v>
      </c>
      <c r="AA621" t="str">
        <f>"9174669160"</f>
        <v>9174669160</v>
      </c>
      <c r="AB621" t="str">
        <f>"9174669160"</f>
        <v>9174669160</v>
      </c>
      <c r="AC621" t="str">
        <f>"9174669160"</f>
        <v>9174669160</v>
      </c>
      <c r="AD621" t="str">
        <f>"9174669160"</f>
        <v>9174669160</v>
      </c>
      <c r="AE621" t="str">
        <f>"9174669160"</f>
        <v>9174669160</v>
      </c>
    </row>
    <row r="622" spans="1:31" x14ac:dyDescent="0.45">
      <c r="A622" t="str">
        <f>"СВИРИДОВА ЛЮДМИЛА ВИКТОРОВНА"</f>
        <v>СВИРИДОВА ЛЮДМИЛА ВИКТОРОВНА</v>
      </c>
      <c r="B622" t="str">
        <f>"1966-09-02"</f>
        <v>1966-09-02</v>
      </c>
      <c r="C622" t="str">
        <f>"32 11 053444"</f>
        <v>32 11 053444</v>
      </c>
      <c r="D622" t="str">
        <f>"4854630199582795"</f>
        <v>4854630199582795</v>
      </c>
      <c r="E622" t="str">
        <f>"2021-04-30"</f>
        <v>2021-04-30</v>
      </c>
      <c r="F622" t="str">
        <f t="shared" si="105"/>
        <v>+</v>
      </c>
      <c r="G622" t="str">
        <f t="shared" si="104"/>
        <v>+</v>
      </c>
      <c r="H622" t="str">
        <f>"40817810216991427850"</f>
        <v>40817810216991427850</v>
      </c>
      <c r="I622" t="str">
        <f>"7003"</f>
        <v>7003</v>
      </c>
      <c r="J622" t="str">
        <f>"0457"</f>
        <v>0457</v>
      </c>
      <c r="K622" t="str">
        <f>"30000.00"</f>
        <v>30000.00</v>
      </c>
      <c r="L622" t="str">
        <f>"620000 ОБЛ КЕМЕРОВСКАЯ   Г КЕМЕРОВО   УЛ ОКТЯБРЬСКИЙ д. 41"</f>
        <v>620000 ОБЛ КЕМЕРОВСКАЯ   Г КЕМЕРОВО   УЛ ОКТЯБРЬСКИЙ д. 41</v>
      </c>
      <c r="M622" t="str">
        <f t="shared" si="101"/>
        <v>2019-08-24</v>
      </c>
      <c r="N622" t="str">
        <f>"ПЕРЕНАТАЛЬНЫЙ ЦЕНТР ИМ.РЕШЕТОВОЙ"</f>
        <v>ПЕРЕНАТАЛЬНЫЙ ЦЕНТР ИМ.РЕШЕТОВОЙ</v>
      </c>
      <c r="O622" t="str">
        <f>"620000"</f>
        <v>620000</v>
      </c>
      <c r="P622" t="str">
        <f>"ОБЛ КЕМЕРОВСКАЯ"</f>
        <v>ОБЛ КЕМЕРОВСКАЯ</v>
      </c>
      <c r="Q622" t="str">
        <f>""</f>
        <v/>
      </c>
      <c r="R622" t="str">
        <f>"Г КЕМЕРОВО"</f>
        <v>Г КЕМЕРОВО</v>
      </c>
      <c r="S622" t="str">
        <f>""</f>
        <v/>
      </c>
      <c r="T622" t="str">
        <f>"УЛ ВОРОШИЛОВА"</f>
        <v>УЛ ВОРОШИЛОВА</v>
      </c>
      <c r="U622" s="1" t="str">
        <f>"11"</f>
        <v>11</v>
      </c>
      <c r="V622" s="1" t="str">
        <f>""</f>
        <v/>
      </c>
      <c r="W622" s="1" t="str">
        <f>""</f>
        <v/>
      </c>
      <c r="X622" s="1" t="str">
        <f>""</f>
        <v/>
      </c>
      <c r="Y622" s="1" t="str">
        <f>"6"</f>
        <v>6</v>
      </c>
      <c r="Z622" t="str">
        <f>"9221991867"</f>
        <v>9221991867</v>
      </c>
      <c r="AA622" t="str">
        <f>"9221991867"</f>
        <v>9221991867</v>
      </c>
      <c r="AB622" t="str">
        <f>"9221991867"</f>
        <v>9221991867</v>
      </c>
      <c r="AC622" t="str">
        <f>"9221991867"</f>
        <v>9221991867</v>
      </c>
      <c r="AD622" t="str">
        <f>"9221991867"</f>
        <v>9221991867</v>
      </c>
      <c r="AE622" t="str">
        <f>"9221991867"</f>
        <v>9221991867</v>
      </c>
    </row>
    <row r="623" spans="1:31" x14ac:dyDescent="0.45">
      <c r="A623" t="str">
        <f>"ЧИНЧАЛИНОВА АЙСЛУ МАНЖАСАРОВНА"</f>
        <v>ЧИНЧАЛИНОВА АЙСЛУ МАНЖАСАРОВНА</v>
      </c>
      <c r="B623" t="str">
        <f>"1990-06-17"</f>
        <v>1990-06-17</v>
      </c>
      <c r="C623" t="str">
        <f>"75 09 675811"</f>
        <v>75 09 675811</v>
      </c>
      <c r="D623" t="str">
        <f>"4276011672395775"</f>
        <v>4276011672395775</v>
      </c>
      <c r="E623" t="str">
        <f>"2021-10-31"</f>
        <v>2021-10-31</v>
      </c>
      <c r="F623" t="str">
        <f t="shared" si="105"/>
        <v>+</v>
      </c>
      <c r="G623" t="str">
        <f t="shared" si="104"/>
        <v>+</v>
      </c>
      <c r="H623" t="str">
        <f>"40817810016991464181"</f>
        <v>40817810016991464181</v>
      </c>
      <c r="I623" t="str">
        <f>"8597"</f>
        <v>8597</v>
      </c>
      <c r="J623" t="str">
        <f>"0231"</f>
        <v>0231</v>
      </c>
      <c r="K623" t="str">
        <f>"77000.00"</f>
        <v>77000.00</v>
      </c>
      <c r="L623" t="str">
        <f>"454000 ОБЛ ЧЕЛЯБИНСКАЯ   Г ЧЕЛЯБИНСК   УЛ ДОВАТОРА"</f>
        <v>454000 ОБЛ ЧЕЛЯБИНСКАЯ   Г ЧЕЛЯБИНСК   УЛ ДОВАТОРА</v>
      </c>
      <c r="M623" t="str">
        <f t="shared" si="101"/>
        <v>2019-08-24</v>
      </c>
      <c r="N623" t="str">
        <f>"ГКБ 1"</f>
        <v>ГКБ 1</v>
      </c>
      <c r="O623" t="str">
        <f>"457323"</f>
        <v>457323</v>
      </c>
      <c r="P623" t="str">
        <f>"ОБЛ ЧЕЛЯБИНСКАЯ"</f>
        <v>ОБЛ ЧЕЛЯБИНСКАЯ</v>
      </c>
      <c r="Q623" t="str">
        <f>"Р-Н БРЕДИНСКИЙ"</f>
        <v>Р-Н БРЕДИНСКИЙ</v>
      </c>
      <c r="R623" t="str">
        <f>""</f>
        <v/>
      </c>
      <c r="S623" t="str">
        <f>"П КНЯЖЕНСКИЙ"</f>
        <v>П КНЯЖЕНСКИЙ</v>
      </c>
      <c r="T623" t="str">
        <f>"ПЕР ЦЕЛИННЫЙ"</f>
        <v>ПЕР ЦЕЛИННЫЙ</v>
      </c>
      <c r="U623" s="1" t="str">
        <f>"2"</f>
        <v>2</v>
      </c>
      <c r="V623" s="1" t="str">
        <f>""</f>
        <v/>
      </c>
      <c r="W623" s="1" t="str">
        <f>""</f>
        <v/>
      </c>
      <c r="X623" s="1" t="str">
        <f>""</f>
        <v/>
      </c>
      <c r="Y623" s="1" t="str">
        <f>"4"</f>
        <v>4</v>
      </c>
      <c r="Z623" t="str">
        <f>""</f>
        <v/>
      </c>
      <c r="AA623" t="str">
        <f>"9525012002"</f>
        <v>9525012002</v>
      </c>
      <c r="AB623" t="str">
        <f>"9507285297"</f>
        <v>9507285297</v>
      </c>
      <c r="AC623" t="str">
        <f>"9525012002"</f>
        <v>9525012002</v>
      </c>
      <c r="AD623" t="str">
        <f>"9507285297"</f>
        <v>9507285297</v>
      </c>
      <c r="AE623" t="str">
        <f>""</f>
        <v/>
      </c>
    </row>
    <row r="624" spans="1:31" x14ac:dyDescent="0.45">
      <c r="A624" t="str">
        <f>"МАХМУТОВ ИЗМАИЛ АПТУЛХАЛИМОВИЧ"</f>
        <v>МАХМУТОВ ИЗМАИЛ АПТУЛХАЛИМОВИЧ</v>
      </c>
      <c r="B624" t="str">
        <f>"1962-01-14"</f>
        <v>1962-01-14</v>
      </c>
      <c r="C624" t="str">
        <f>"71 07 554459"</f>
        <v>71 07 554459</v>
      </c>
      <c r="D624" t="str">
        <f>"4854630373570707"</f>
        <v>4854630373570707</v>
      </c>
      <c r="E624" t="str">
        <f>"2021-04-30"</f>
        <v>2021-04-30</v>
      </c>
      <c r="F624" t="str">
        <f t="shared" si="105"/>
        <v>+</v>
      </c>
      <c r="G624" t="str">
        <f t="shared" si="104"/>
        <v>+</v>
      </c>
      <c r="H624" t="str">
        <f>"40817810316992201357"</f>
        <v>40817810316992201357</v>
      </c>
      <c r="I624" t="str">
        <f>"8647"</f>
        <v>8647</v>
      </c>
      <c r="J624" t="str">
        <f>"0296"</f>
        <v>0296</v>
      </c>
      <c r="K624" t="str">
        <f>"13000.00"</f>
        <v>13000.00</v>
      </c>
      <c r="L624" t="str">
        <f>"626150 ОБЛ ТЮМЕНСКАЯ   Г ТЮМЕНЬ   УЛ КОТЕЛЬЩИКОВА корп. 2"</f>
        <v>626150 ОБЛ ТЮМЕНСКАЯ   Г ТЮМЕНЬ   УЛ КОТЕЛЬЩИКОВА корп. 2</v>
      </c>
      <c r="M624" t="str">
        <f t="shared" si="101"/>
        <v>2019-08-24</v>
      </c>
      <c r="N624" t="str">
        <f>"ООО УАП ЕВРОПА+АЗИЯ"</f>
        <v>ООО УАП ЕВРОПА+АЗИЯ</v>
      </c>
      <c r="O624" t="str">
        <f>"626100"</f>
        <v>626100</v>
      </c>
      <c r="P624" t="str">
        <f>"ОБЛ ТЮМЕНСКАЯ"</f>
        <v>ОБЛ ТЮМЕНСКАЯ</v>
      </c>
      <c r="Q624" t="str">
        <f>"Р-Н ВАГАЙСКИЙ"</f>
        <v>Р-Н ВАГАЙСКИЙ</v>
      </c>
      <c r="R624" t="str">
        <f>""</f>
        <v/>
      </c>
      <c r="S624" t="str">
        <f>"П СУПРА"</f>
        <v>П СУПРА</v>
      </c>
      <c r="T624" t="str">
        <f>"УЛ ОЗЕРНАЯ"</f>
        <v>УЛ ОЗЕРНАЯ</v>
      </c>
      <c r="U624" s="1" t="str">
        <f>"5"</f>
        <v>5</v>
      </c>
      <c r="V624" s="1" t="str">
        <f>""</f>
        <v/>
      </c>
      <c r="W624" s="1" t="str">
        <f>""</f>
        <v/>
      </c>
      <c r="X624" s="1" t="str">
        <f>""</f>
        <v/>
      </c>
      <c r="Y624" s="1" t="str">
        <f>""</f>
        <v/>
      </c>
      <c r="Z624" t="str">
        <f>"3462555932"</f>
        <v>3462555932</v>
      </c>
      <c r="AA624" t="str">
        <f>"9504826011"</f>
        <v>9504826011</v>
      </c>
      <c r="AB624" t="str">
        <f>"9223979379"</f>
        <v>9223979379</v>
      </c>
      <c r="AC624" t="str">
        <f>"9504826011"</f>
        <v>9504826011</v>
      </c>
      <c r="AD624" t="str">
        <f>"9504983419"</f>
        <v>9504983419</v>
      </c>
      <c r="AE624" t="str">
        <f>""</f>
        <v/>
      </c>
    </row>
    <row r="625" spans="1:31" x14ac:dyDescent="0.45">
      <c r="A625" t="str">
        <f>"МОМУШАЕВ МАХМУТЖАН ЮСУПЖАНОВИЧ"</f>
        <v>МОМУШАЕВ МАХМУТЖАН ЮСУПЖАНОВИЧ</v>
      </c>
      <c r="B625" t="str">
        <f>"1990-07-24"</f>
        <v>1990-07-24</v>
      </c>
      <c r="C625" t="str">
        <f>"67 10 035275"</f>
        <v>67 10 035275</v>
      </c>
      <c r="D625" t="str">
        <f>"4854630394601499"</f>
        <v>4854630394601499</v>
      </c>
      <c r="E625" t="str">
        <f>"2021-04-30"</f>
        <v>2021-04-30</v>
      </c>
      <c r="F625" t="str">
        <f t="shared" si="105"/>
        <v>+</v>
      </c>
      <c r="G625" t="str">
        <f t="shared" si="104"/>
        <v>+</v>
      </c>
      <c r="H625" t="str">
        <f>"40817810616992552272"</f>
        <v>40817810616992552272</v>
      </c>
      <c r="I625" t="str">
        <f>"5940"</f>
        <v>5940</v>
      </c>
      <c r="J625" t="str">
        <f>"0057"</f>
        <v>0057</v>
      </c>
      <c r="K625" t="str">
        <f>"255000.00"</f>
        <v>255000.00</v>
      </c>
      <c r="L625" t="str">
        <f>"628400 ОБЛ ТЮМЕНСКАЯ     П СОЛНЕЧНЫЙ УЛ ПРОМЗОНА д. 1"</f>
        <v>628400 ОБЛ ТЮМЕНСКАЯ     П СОЛНЕЧНЫЙ УЛ ПРОМЗОНА д. 1</v>
      </c>
      <c r="M625" t="str">
        <f t="shared" si="101"/>
        <v>2019-08-24</v>
      </c>
      <c r="N625" t="str">
        <f>"ООО РАДИО СЕРВЕС"</f>
        <v>ООО РАДИО СЕРВЕС</v>
      </c>
      <c r="O625" t="str">
        <f>"628500"</f>
        <v>628500</v>
      </c>
      <c r="P625" t="str">
        <f>"ОБЛ ТЮМЕНСКАЯ"</f>
        <v>ОБЛ ТЮМЕНСКАЯ</v>
      </c>
      <c r="Q625" t="str">
        <f>""</f>
        <v/>
      </c>
      <c r="R625" t="str">
        <f>"Г ТЮМЕНЬ"</f>
        <v>Г ТЮМЕНЬ</v>
      </c>
      <c r="S625" t="str">
        <f>""</f>
        <v/>
      </c>
      <c r="T625" t="str">
        <f>"УЛ РЫНОЧНАЯ ПЛОЩАДЬ"</f>
        <v>УЛ РЫНОЧНАЯ ПЛОЩАДЬ</v>
      </c>
      <c r="U625" s="1" t="str">
        <f>"13"</f>
        <v>13</v>
      </c>
      <c r="V625" s="1" t="str">
        <f>""</f>
        <v/>
      </c>
      <c r="W625" s="1" t="str">
        <f>""</f>
        <v/>
      </c>
      <c r="X625" s="1" t="str">
        <f>""</f>
        <v/>
      </c>
      <c r="Y625" s="1" t="str">
        <f>""</f>
        <v/>
      </c>
      <c r="Z625" t="str">
        <f>"9828798294"</f>
        <v>9828798294</v>
      </c>
      <c r="AA625" t="str">
        <f>"9024961913"</f>
        <v>9024961913</v>
      </c>
      <c r="AB625" t="str">
        <f>"9024961913"</f>
        <v>9024961913</v>
      </c>
      <c r="AC625" t="str">
        <f>"9024961913"</f>
        <v>9024961913</v>
      </c>
      <c r="AD625" t="str">
        <f>"9024961913"</f>
        <v>9024961913</v>
      </c>
      <c r="AE625" t="str">
        <f>"9828798294"</f>
        <v>9828798294</v>
      </c>
    </row>
    <row r="626" spans="1:31" x14ac:dyDescent="0.45">
      <c r="A626" t="str">
        <f>"ПИСЧИКОВА ЛЮБОВЬ ИВАНОВНА"</f>
        <v>ПИСЧИКОВА ЛЮБОВЬ ИВАНОВНА</v>
      </c>
      <c r="B626" t="str">
        <f>"1955-01-06"</f>
        <v>1955-01-06</v>
      </c>
      <c r="C626" t="str">
        <f>"65 08 509016"</f>
        <v>65 08 509016</v>
      </c>
      <c r="D626" t="str">
        <f>"4854630401338804"</f>
        <v>4854630401338804</v>
      </c>
      <c r="E626" t="str">
        <f>"2021-04-30"</f>
        <v>2021-04-30</v>
      </c>
      <c r="F626" t="str">
        <f t="shared" si="105"/>
        <v>+</v>
      </c>
      <c r="G626" t="str">
        <f t="shared" si="104"/>
        <v>+</v>
      </c>
      <c r="H626" t="str">
        <f>"40817810716991464193"</f>
        <v>40817810716991464193</v>
      </c>
      <c r="I626" t="str">
        <f>"7003"</f>
        <v>7003</v>
      </c>
      <c r="J626" t="str">
        <f>"0511"</f>
        <v>0511</v>
      </c>
      <c r="K626" t="str">
        <f>"20000.00"</f>
        <v>20000.00</v>
      </c>
      <c r="L626" t="str">
        <f>"623794 ОБЛ СВЕРДЛОВСКАЯ     Г АРТЕМОВСКИЙ УЛ ЭНЕРГЕТИКОВ д. 1"</f>
        <v>623794 ОБЛ СВЕРДЛОВСКАЯ     Г АРТЕМОВСКИЙ УЛ ЭНЕРГЕТИКОВ д. 1</v>
      </c>
      <c r="M626" t="str">
        <f t="shared" si="101"/>
        <v>2019-08-24</v>
      </c>
      <c r="N626" t="str">
        <f>"МУ АГО ЦРБ"</f>
        <v>МУ АГО ЦРБ</v>
      </c>
      <c r="O626" t="str">
        <f>"623780"</f>
        <v>623780</v>
      </c>
      <c r="P626" t="str">
        <f>"ОБЛ СВЕРДЛОВСКАЯ"</f>
        <v>ОБЛ СВЕРДЛОВСКАЯ</v>
      </c>
      <c r="Q626" t="str">
        <f>"Р-Н АРТЕМОВСКИЙ"</f>
        <v>Р-Н АРТЕМОВСКИЙ</v>
      </c>
      <c r="R626" t="str">
        <f>""</f>
        <v/>
      </c>
      <c r="S626" t="str">
        <f>"П БУЛАНАШ"</f>
        <v>П БУЛАНАШ</v>
      </c>
      <c r="T626" t="str">
        <f>"УЛ ПОБЕДЫ"</f>
        <v>УЛ ПОБЕДЫ</v>
      </c>
      <c r="U626" s="1" t="str">
        <f>"56"</f>
        <v>56</v>
      </c>
      <c r="V626" s="1" t="str">
        <f>""</f>
        <v/>
      </c>
      <c r="W626" s="1" t="str">
        <f>""</f>
        <v/>
      </c>
      <c r="X626" s="1" t="str">
        <f>""</f>
        <v/>
      </c>
      <c r="Y626" s="1" t="str">
        <f>"11"</f>
        <v>11</v>
      </c>
      <c r="Z626" t="str">
        <f>"3436355724"</f>
        <v>3436355724</v>
      </c>
      <c r="AA626" t="str">
        <f>"3436354253"</f>
        <v>3436354253</v>
      </c>
      <c r="AB626" t="str">
        <f>"9655482083"</f>
        <v>9655482083</v>
      </c>
      <c r="AC626" t="str">
        <f>"9617780545"</f>
        <v>9617780545</v>
      </c>
      <c r="AD626" t="str">
        <f>"9655482083"</f>
        <v>9655482083</v>
      </c>
      <c r="AE626" t="str">
        <f>""</f>
        <v/>
      </c>
    </row>
    <row r="627" spans="1:31" x14ac:dyDescent="0.45">
      <c r="A627" t="str">
        <f>"ШАЙБЕКОВ ИЛДАР МАСГУТОВИЧ"</f>
        <v>ШАЙБЕКОВ ИЛДАР МАСГУТОВИЧ</v>
      </c>
      <c r="B627" t="str">
        <f>"1963-01-03"</f>
        <v>1963-01-03</v>
      </c>
      <c r="C627" t="str">
        <f>"74 07 633418"</f>
        <v>74 07 633418</v>
      </c>
      <c r="D627" t="str">
        <f>"4854630415780611"</f>
        <v>4854630415780611</v>
      </c>
      <c r="E627" t="str">
        <f>"2021-04-30"</f>
        <v>2021-04-30</v>
      </c>
      <c r="F627" t="str">
        <f t="shared" si="105"/>
        <v>+</v>
      </c>
      <c r="G627" t="str">
        <f t="shared" si="104"/>
        <v>+</v>
      </c>
      <c r="H627" t="str">
        <f>"40817810416992092576"</f>
        <v>40817810416992092576</v>
      </c>
      <c r="I627" t="str">
        <f>"8369"</f>
        <v>8369</v>
      </c>
      <c r="J627" t="str">
        <f>"0015"</f>
        <v>0015</v>
      </c>
      <c r="K627" t="str">
        <f>"135000.00"</f>
        <v>135000.00</v>
      </c>
      <c r="L627" t="str">
        <f>"629300 ОБЛ ТЮМЕНСКАЯ       УЛ СИБИРСКАЯ д. 63 кв. 91"</f>
        <v>629300 ОБЛ ТЮМЕНСКАЯ       УЛ СИБИРСКАЯ д. 63 кв. 91</v>
      </c>
      <c r="M627" t="str">
        <f t="shared" si="101"/>
        <v>2019-08-24</v>
      </c>
      <c r="N627" t="str">
        <f>"ООО СЕВДОР"</f>
        <v>ООО СЕВДОР</v>
      </c>
      <c r="O627" t="str">
        <f>"629300"</f>
        <v>629300</v>
      </c>
      <c r="P627" t="str">
        <f>"ОБЛ ТЮМЕНСКАЯ"</f>
        <v>ОБЛ ТЮМЕНСКАЯ</v>
      </c>
      <c r="Q627" t="str">
        <f>""</f>
        <v/>
      </c>
      <c r="R627" t="str">
        <f>"Г НОВЫЙ УРЕНГОЙ"</f>
        <v>Г НОВЫЙ УРЕНГОЙ</v>
      </c>
      <c r="S627" t="str">
        <f>""</f>
        <v/>
      </c>
      <c r="T627" t="str">
        <f>"УЛ СИБИРСКАЯ"</f>
        <v>УЛ СИБИРСКАЯ</v>
      </c>
      <c r="U627" s="1" t="str">
        <f>"63"</f>
        <v>63</v>
      </c>
      <c r="V627" s="1" t="str">
        <f>""</f>
        <v/>
      </c>
      <c r="W627" s="1" t="str">
        <f>""</f>
        <v/>
      </c>
      <c r="X627" s="1" t="str">
        <f>""</f>
        <v/>
      </c>
      <c r="Y627" s="1" t="str">
        <f>"91"</f>
        <v>91</v>
      </c>
      <c r="Z627" t="str">
        <f>""</f>
        <v/>
      </c>
      <c r="AA627" t="str">
        <f>"9615606368"</f>
        <v>9615606368</v>
      </c>
      <c r="AB627" t="str">
        <f>"9824014696"</f>
        <v>9824014696</v>
      </c>
      <c r="AC627" t="str">
        <f>"9615606368"</f>
        <v>9615606368</v>
      </c>
      <c r="AD627" t="str">
        <f>"9824014696"</f>
        <v>9824014696</v>
      </c>
      <c r="AE627" t="str">
        <f>""</f>
        <v/>
      </c>
    </row>
    <row r="628" spans="1:31" x14ac:dyDescent="0.45">
      <c r="A628" t="str">
        <f>"БУЛАТОВ РАШИД ХУРМАНГАЛИНОВИЧ"</f>
        <v>БУЛАТОВ РАШИД ХУРМАНГАЛИНОВИЧ</v>
      </c>
      <c r="B628" t="str">
        <f>"1974-11-20"</f>
        <v>1974-11-20</v>
      </c>
      <c r="C628" t="str">
        <f>"71 04 080135"</f>
        <v>71 04 080135</v>
      </c>
      <c r="D628" t="str">
        <f>"4854630412253943"</f>
        <v>4854630412253943</v>
      </c>
      <c r="E628" t="str">
        <f>"2021-04-30"</f>
        <v>2021-04-30</v>
      </c>
      <c r="F628" t="str">
        <f t="shared" si="105"/>
        <v>+</v>
      </c>
      <c r="G628" t="str">
        <f t="shared" si="104"/>
        <v>+</v>
      </c>
      <c r="H628" t="str">
        <f>"40817810016992501263"</f>
        <v>40817810016992501263</v>
      </c>
      <c r="I628" t="str">
        <f>"8647"</f>
        <v>8647</v>
      </c>
      <c r="J628" t="str">
        <f>"0087"</f>
        <v>0087</v>
      </c>
      <c r="K628" t="str">
        <f>"10000.00"</f>
        <v>10000.00</v>
      </c>
      <c r="L628" t="str">
        <f>"625000 ОБЛ ТЮМЕНСКАЯ   Г ТЮМЕНЬ   УЛ 11 КМ ЯЛУТОРОВСКОГО ТРАКТА д. 19"</f>
        <v>625000 ОБЛ ТЮМЕНСКАЯ   Г ТЮМЕНЬ   УЛ 11 КМ ЯЛУТОРОВСКОГО ТРАКТА д. 19</v>
      </c>
      <c r="M628" t="str">
        <f t="shared" si="101"/>
        <v>2019-08-24</v>
      </c>
      <c r="N628" t="str">
        <f>"ТЮМЕНСКАЯ ПМК"</f>
        <v>ТЮМЕНСКАЯ ПМК</v>
      </c>
      <c r="O628" t="str">
        <f>"625000"</f>
        <v>625000</v>
      </c>
      <c r="P628" t="str">
        <f>"ОБЛ ТЮМЕНСКАЯ"</f>
        <v>ОБЛ ТЮМЕНСКАЯ</v>
      </c>
      <c r="Q628" t="str">
        <f>""</f>
        <v/>
      </c>
      <c r="R628" t="str">
        <f>"Г ТЮМЕНЬ"</f>
        <v>Г ТЮМЕНЬ</v>
      </c>
      <c r="S628" t="str">
        <f>""</f>
        <v/>
      </c>
      <c r="T628" t="str">
        <f>"УЛ ОЛИМПИЙСКАЯ"</f>
        <v>УЛ ОЛИМПИЙСКАЯ</v>
      </c>
      <c r="U628" s="1" t="str">
        <f>"15"</f>
        <v>15</v>
      </c>
      <c r="V628" s="1" t="str">
        <f>""</f>
        <v/>
      </c>
      <c r="W628" s="1" t="str">
        <f>""</f>
        <v/>
      </c>
      <c r="X628" s="1" t="str">
        <f>""</f>
        <v/>
      </c>
      <c r="Y628" s="1" t="str">
        <f>"8К7"</f>
        <v>8К7</v>
      </c>
      <c r="Z628" t="str">
        <f>""</f>
        <v/>
      </c>
      <c r="AA628" t="str">
        <f>"3452681430"</f>
        <v>3452681430</v>
      </c>
      <c r="AB628" t="str">
        <f>"9504885474"</f>
        <v>9504885474</v>
      </c>
      <c r="AC628" t="str">
        <f>"3452681430"</f>
        <v>3452681430</v>
      </c>
      <c r="AD628" t="str">
        <f>"9504885474"</f>
        <v>9504885474</v>
      </c>
      <c r="AE628" t="str">
        <f>""</f>
        <v/>
      </c>
    </row>
    <row r="629" spans="1:31" x14ac:dyDescent="0.45">
      <c r="A629" t="str">
        <f>"БИККУЛОВА РУЗИЛЯ АЙРАТОВНА"</f>
        <v>БИККУЛОВА РУЗИЛЯ АЙРАТОВНА</v>
      </c>
      <c r="B629" t="str">
        <f>"1984-10-04"</f>
        <v>1984-10-04</v>
      </c>
      <c r="C629" t="str">
        <f>"80 05 589745"</f>
        <v>80 05 589745</v>
      </c>
      <c r="D629" t="str">
        <f>"4279011611574396"</f>
        <v>4279011611574396</v>
      </c>
      <c r="E629" t="str">
        <f>"2021-05-31"</f>
        <v>2021-05-31</v>
      </c>
      <c r="F629" t="str">
        <f t="shared" si="105"/>
        <v>+</v>
      </c>
      <c r="G629" t="str">
        <f t="shared" si="105"/>
        <v>+</v>
      </c>
      <c r="H629" t="str">
        <f>"40817810216991427889"</f>
        <v>40817810216991427889</v>
      </c>
      <c r="I629" t="str">
        <f>"8598"</f>
        <v>8598</v>
      </c>
      <c r="J629" t="str">
        <f>"0332"</f>
        <v>0332</v>
      </c>
      <c r="K629" t="str">
        <f>"225000.00"</f>
        <v>225000.00</v>
      </c>
      <c r="L629" t="str">
        <f>"629000 ОБЛ ТЮМЕНСКАЯ АО ЯМАЛО-НЕНЕЦКИЙ АО Г ГУБКИНСКИЙ   МКР 11"</f>
        <v>629000 ОБЛ ТЮМЕНСКАЯ АО ЯМАЛО-НЕНЕЦКИЙ АО Г ГУБКИНСКИЙ   МКР 11</v>
      </c>
      <c r="M629" t="str">
        <f t="shared" si="101"/>
        <v>2019-08-24</v>
      </c>
      <c r="N629" t="str">
        <f>"ООО МАЛОЧШАЯ Л.И."</f>
        <v>ООО МАЛОЧШАЯ Л.И.</v>
      </c>
      <c r="O629" t="str">
        <f>"450000"</f>
        <v>450000</v>
      </c>
      <c r="P629" t="str">
        <f>"РЕСП БАШКОРТОСТАН"</f>
        <v>РЕСП БАШКОРТОСТАН</v>
      </c>
      <c r="Q629" t="str">
        <f>"Р-Н КУГАРЧИНСКИЙ"</f>
        <v>Р-Н КУГАРЧИНСКИЙ</v>
      </c>
      <c r="R629" t="str">
        <f>""</f>
        <v/>
      </c>
      <c r="S629" t="str">
        <f>"Д ТУКАТОВО"</f>
        <v>Д ТУКАТОВО</v>
      </c>
      <c r="T629" t="str">
        <f>"УЛ МИРА"</f>
        <v>УЛ МИРА</v>
      </c>
      <c r="U629" s="1" t="str">
        <f>"3"</f>
        <v>3</v>
      </c>
      <c r="V629" s="1" t="str">
        <f>""</f>
        <v/>
      </c>
      <c r="W629" s="1" t="str">
        <f>""</f>
        <v/>
      </c>
      <c r="X629" s="1" t="str">
        <f>""</f>
        <v/>
      </c>
      <c r="Y629" s="1" t="str">
        <f>""</f>
        <v/>
      </c>
      <c r="Z629" t="str">
        <f>""</f>
        <v/>
      </c>
      <c r="AA629" t="str">
        <f>"9174807879"</f>
        <v>9174807879</v>
      </c>
      <c r="AB629" t="str">
        <f>"9174807879"</f>
        <v>9174807879</v>
      </c>
      <c r="AC629" t="str">
        <f>"9174807879"</f>
        <v>9174807879</v>
      </c>
      <c r="AD629" t="str">
        <f>"9174807879"</f>
        <v>9174807879</v>
      </c>
      <c r="AE629" t="str">
        <f>""</f>
        <v/>
      </c>
    </row>
    <row r="630" spans="1:31" x14ac:dyDescent="0.45">
      <c r="A630" t="str">
        <f>"БАТЫРОВ ВЛАДИМИР НИКИФЕРОВИЧ"</f>
        <v>БАТЫРОВ ВЛАДИМИР НИКИФЕРОВИЧ</v>
      </c>
      <c r="B630" t="str">
        <f>"1978-08-12"</f>
        <v>1978-08-12</v>
      </c>
      <c r="C630" t="str">
        <f>"80 03 101797"</f>
        <v>80 03 101797</v>
      </c>
      <c r="D630" t="str">
        <f>"4279011623264564"</f>
        <v>4279011623264564</v>
      </c>
      <c r="E630" t="str">
        <f>"2021-05-31"</f>
        <v>2021-05-31</v>
      </c>
      <c r="F630" t="str">
        <f t="shared" si="105"/>
        <v>+</v>
      </c>
      <c r="G630" t="str">
        <f t="shared" si="105"/>
        <v>+</v>
      </c>
      <c r="H630" t="str">
        <f>"40817810916991427891"</f>
        <v>40817810916991427891</v>
      </c>
      <c r="I630" t="str">
        <f>"8598"</f>
        <v>8598</v>
      </c>
      <c r="J630" t="str">
        <f>"0497"</f>
        <v>0497</v>
      </c>
      <c r="K630" t="str">
        <f>"50000.00"</f>
        <v>50000.00</v>
      </c>
      <c r="L630" t="str">
        <f>"600000 ОБЛ ТЮМЕНСКАЯ   Г НИЖНЕВАРТОВСК   УЛ ЛЕНИНА д. 20"</f>
        <v>600000 ОБЛ ТЮМЕНСКАЯ   Г НИЖНЕВАРТОВСК   УЛ ЛЕНИНА д. 20</v>
      </c>
      <c r="M630" t="str">
        <f t="shared" si="101"/>
        <v>2019-08-24</v>
      </c>
      <c r="N630" t="str">
        <f>"ЗАО ЕПРС"</f>
        <v>ЗАО ЕПРС</v>
      </c>
      <c r="O630" t="str">
        <f>"452312"</f>
        <v>452312</v>
      </c>
      <c r="P630" t="str">
        <f>"РЕСП БАШКОРТОСТАН"</f>
        <v>РЕСП БАШКОРТОСТАН</v>
      </c>
      <c r="Q630" t="str">
        <f>"Р-Н ДЮРТЮЛИНСКИЙ"</f>
        <v>Р-Н ДЮРТЮЛИНСКИЙ</v>
      </c>
      <c r="R630" t="str">
        <f>""</f>
        <v/>
      </c>
      <c r="S630" t="str">
        <f>"С ИВАЧЕВО"</f>
        <v>С ИВАЧЕВО</v>
      </c>
      <c r="T630" t="str">
        <f>"УЛ ИОШКАР-ОЛА"</f>
        <v>УЛ ИОШКАР-ОЛА</v>
      </c>
      <c r="U630" s="1" t="str">
        <f>"19"</f>
        <v>19</v>
      </c>
      <c r="V630" s="1" t="str">
        <f>""</f>
        <v/>
      </c>
      <c r="W630" s="1" t="str">
        <f>""</f>
        <v/>
      </c>
      <c r="X630" s="1" t="str">
        <f>""</f>
        <v/>
      </c>
      <c r="Y630" s="1" t="str">
        <f>""</f>
        <v/>
      </c>
      <c r="Z630" t="str">
        <f>"9124522408"</f>
        <v>9124522408</v>
      </c>
      <c r="AA630" t="str">
        <f>"9378344582"</f>
        <v>9378344582</v>
      </c>
      <c r="AB630" t="str">
        <f>"9191522963"</f>
        <v>9191522963</v>
      </c>
      <c r="AC630" t="str">
        <f>"9378344582"</f>
        <v>9378344582</v>
      </c>
      <c r="AD630" t="str">
        <f>"9191522963"</f>
        <v>9191522963</v>
      </c>
      <c r="AE630" t="str">
        <f>"9124522408"</f>
        <v>9124522408</v>
      </c>
    </row>
    <row r="631" spans="1:31" x14ac:dyDescent="0.45">
      <c r="A631" t="str">
        <f>"КУЧМИЙ ЕВГЕНИЯ ВЛАДИМИРОВНА"</f>
        <v>КУЧМИЙ ЕВГЕНИЯ ВЛАДИМИРОВНА</v>
      </c>
      <c r="B631" t="str">
        <f>"1971-07-05"</f>
        <v>1971-07-05</v>
      </c>
      <c r="C631" t="str">
        <f>"65 16 217592"</f>
        <v>65 16 217592</v>
      </c>
      <c r="D631" t="str">
        <f>"4279011649238147"</f>
        <v>4279011649238147</v>
      </c>
      <c r="E631" t="str">
        <f>"2021-05-31"</f>
        <v>2021-05-31</v>
      </c>
      <c r="F631" t="str">
        <f t="shared" si="105"/>
        <v>+</v>
      </c>
      <c r="G631" t="str">
        <f t="shared" si="105"/>
        <v>+</v>
      </c>
      <c r="H631" t="str">
        <f>"40817810216991427892"</f>
        <v>40817810216991427892</v>
      </c>
      <c r="I631" t="str">
        <f>"7003"</f>
        <v>7003</v>
      </c>
      <c r="J631" t="str">
        <f>"0858"</f>
        <v>0858</v>
      </c>
      <c r="K631" t="str">
        <f>"150000.00"</f>
        <v>150000.00</v>
      </c>
      <c r="L631" t="str">
        <f>"620000 ОБЛ СВЕРДЛОВСКАЯ   Г ЛЕСНОЙ   УЛ СИРОТИНА д. 8"</f>
        <v>620000 ОБЛ СВЕРДЛОВСКАЯ   Г ЛЕСНОЙ   УЛ СИРОТИНА д. 8</v>
      </c>
      <c r="M631" t="str">
        <f t="shared" si="101"/>
        <v>2019-08-24</v>
      </c>
      <c r="N631" t="str">
        <f>"ИП АНАКОВА Е.В."</f>
        <v>ИП АНАКОВА Е.В.</v>
      </c>
      <c r="O631" t="str">
        <f>"620000"</f>
        <v>620000</v>
      </c>
      <c r="P631" t="str">
        <f>"ОБЛ СВЕРДЛОВСКАЯ"</f>
        <v>ОБЛ СВЕРДЛОВСКАЯ</v>
      </c>
      <c r="Q631" t="str">
        <f>""</f>
        <v/>
      </c>
      <c r="R631" t="str">
        <f>"Г ЛЕСНОЙ"</f>
        <v>Г ЛЕСНОЙ</v>
      </c>
      <c r="S631" t="str">
        <f>""</f>
        <v/>
      </c>
      <c r="T631" t="str">
        <f>"УЛ ЧАПАЕВА"</f>
        <v>УЛ ЧАПАЕВА</v>
      </c>
      <c r="U631" s="1" t="str">
        <f>"6"</f>
        <v>6</v>
      </c>
      <c r="V631" s="1" t="str">
        <f>""</f>
        <v/>
      </c>
      <c r="W631" s="1" t="str">
        <f>""</f>
        <v/>
      </c>
      <c r="X631" s="1" t="str">
        <f>""</f>
        <v/>
      </c>
      <c r="Y631" s="1" t="str">
        <f>"122"</f>
        <v>122</v>
      </c>
      <c r="Z631" t="str">
        <f>""</f>
        <v/>
      </c>
      <c r="AA631" t="str">
        <f>"+7 (952) 1391687"</f>
        <v>+7 (952) 1391687</v>
      </c>
      <c r="AB631" t="str">
        <f>"+7 (952) 1391687"</f>
        <v>+7 (952) 1391687</v>
      </c>
      <c r="AC631" t="str">
        <f>"9521391687"</f>
        <v>9521391687</v>
      </c>
      <c r="AD631" t="str">
        <f>"9617754500"</f>
        <v>9617754500</v>
      </c>
      <c r="AE631" t="str">
        <f>""</f>
        <v/>
      </c>
    </row>
    <row r="632" spans="1:31" x14ac:dyDescent="0.45">
      <c r="A632" t="str">
        <f>"МУХАЧЕВ АЙДАР АНАТОЛЬЕВИЧ"</f>
        <v>МУХАЧЕВ АЙДАР АНАТОЛЬЕВИЧ</v>
      </c>
      <c r="B632" t="str">
        <f>"1976-09-03"</f>
        <v>1976-09-03</v>
      </c>
      <c r="C632" t="str">
        <f>"80 09 807490"</f>
        <v>80 09 807490</v>
      </c>
      <c r="D632" t="str">
        <f>"4279011663220658"</f>
        <v>4279011663220658</v>
      </c>
      <c r="E632" t="str">
        <f>"2021-05-31"</f>
        <v>2021-05-31</v>
      </c>
      <c r="F632" t="str">
        <f t="shared" si="105"/>
        <v>+</v>
      </c>
      <c r="G632" t="str">
        <f t="shared" si="105"/>
        <v>+</v>
      </c>
      <c r="H632" t="str">
        <f>"40817810516991427893"</f>
        <v>40817810516991427893</v>
      </c>
      <c r="I632" t="str">
        <f>"8598"</f>
        <v>8598</v>
      </c>
      <c r="J632" t="str">
        <f>"0562"</f>
        <v>0562</v>
      </c>
      <c r="K632" t="str">
        <f>"200000.00"</f>
        <v>200000.00</v>
      </c>
      <c r="L632" t="str">
        <f>"453020 РЕСП БАШКОРТОСТАН Р-Н КАРМАСКАЛИНСКИЙ   С КАРМАСКАЛЫ УЛ САДОВАЯ д. 29 корп. А"</f>
        <v>453020 РЕСП БАШКОРТОСТАН Р-Н КАРМАСКАЛИНСКИЙ   С КАРМАСКАЛЫ УЛ САДОВАЯ д. 29 корп. А</v>
      </c>
      <c r="M632" t="str">
        <f t="shared" si="101"/>
        <v>2019-08-24</v>
      </c>
      <c r="N632" t="str">
        <f>"ЖИЛКОМСЕРВИС"</f>
        <v>ЖИЛКОМСЕРВИС</v>
      </c>
      <c r="O632" t="str">
        <f>"450000"</f>
        <v>450000</v>
      </c>
      <c r="P632" t="str">
        <f>"РЕСП БАШКОРТОСТАН"</f>
        <v>РЕСП БАШКОРТОСТАН</v>
      </c>
      <c r="Q632" t="str">
        <f>""</f>
        <v/>
      </c>
      <c r="R632" t="str">
        <f>""</f>
        <v/>
      </c>
      <c r="S632" t="str">
        <f>"С БУЗОВЬЯЗЫ"</f>
        <v>С БУЗОВЬЯЗЫ</v>
      </c>
      <c r="T632" t="str">
        <f>"УЛ СОВЕТСКАЯ"</f>
        <v>УЛ СОВЕТСКАЯ</v>
      </c>
      <c r="U632" s="1" t="str">
        <f>"15"</f>
        <v>15</v>
      </c>
      <c r="V632" s="1" t="str">
        <f>""</f>
        <v/>
      </c>
      <c r="W632" s="1" t="str">
        <f>""</f>
        <v/>
      </c>
      <c r="X632" s="1" t="str">
        <f>""</f>
        <v/>
      </c>
      <c r="Y632" s="1" t="str">
        <f>""</f>
        <v/>
      </c>
      <c r="Z632" t="str">
        <f>"3472751599"</f>
        <v>3472751599</v>
      </c>
      <c r="AA632" t="str">
        <f>"3476529204"</f>
        <v>3476529204</v>
      </c>
      <c r="AB632" t="str">
        <f>"9874995567"</f>
        <v>9874995567</v>
      </c>
      <c r="AC632" t="str">
        <f>"3472291180"</f>
        <v>3472291180</v>
      </c>
      <c r="AD632" t="str">
        <f>"9874995567"</f>
        <v>9874995567</v>
      </c>
      <c r="AE632" t="str">
        <f>"3472291627"</f>
        <v>3472291627</v>
      </c>
    </row>
    <row r="633" spans="1:31" x14ac:dyDescent="0.45">
      <c r="A633" t="str">
        <f>"ЭШБАЕВА СВЕТЛАНА ГРИГОРЬЕВНА"</f>
        <v>ЭШБАЕВА СВЕТЛАНА ГРИГОРЬЕВНА</v>
      </c>
      <c r="B633" t="str">
        <f>"1961-10-01"</f>
        <v>1961-10-01</v>
      </c>
      <c r="C633" t="str">
        <f>"65 05 647889"</f>
        <v>65 05 647889</v>
      </c>
      <c r="D633" t="str">
        <f>"5313100010397254"</f>
        <v>5313100010397254</v>
      </c>
      <c r="E633" t="str">
        <f>"2021-03-31"</f>
        <v>2021-03-31</v>
      </c>
      <c r="F633" t="str">
        <f t="shared" si="105"/>
        <v>+</v>
      </c>
      <c r="G633" t="str">
        <f t="shared" si="105"/>
        <v>+</v>
      </c>
      <c r="H633" t="str">
        <f>"40817810916991464100"</f>
        <v>40817810916991464100</v>
      </c>
      <c r="I633" t="str">
        <f>"7003"</f>
        <v>7003</v>
      </c>
      <c r="J633" t="str">
        <f>"0808"</f>
        <v>0808</v>
      </c>
      <c r="K633" t="str">
        <f>"61000.00"</f>
        <v>61000.00</v>
      </c>
      <c r="L633" t="str">
        <f>"624740 ОБЛ СВЕРДЛОВСКАЯ   Г ВЕРХНЯЯ САЛДА   УЛ ПАРКОВАЯ д. 1"</f>
        <v>624740 ОБЛ СВЕРДЛОВСКАЯ   Г ВЕРХНЯЯ САЛДА   УЛ ПАРКОВАЯ д. 1</v>
      </c>
      <c r="M633" t="str">
        <f t="shared" si="101"/>
        <v>2019-08-24</v>
      </c>
      <c r="N633" t="str">
        <f>"ПАО ВСМПО-АВИСМА"</f>
        <v>ПАО ВСМПО-АВИСМА</v>
      </c>
      <c r="O633" t="str">
        <f>"620000"</f>
        <v>620000</v>
      </c>
      <c r="P633" t="str">
        <f>"ОБЛ СВЕРДЛОВСКАЯ"</f>
        <v>ОБЛ СВЕРДЛОВСКАЯ</v>
      </c>
      <c r="Q633" t="str">
        <f>""</f>
        <v/>
      </c>
      <c r="R633" t="str">
        <f>"Г НИЖНЯЯ САЛДА"</f>
        <v>Г НИЖНЯЯ САЛДА</v>
      </c>
      <c r="S633" t="str">
        <f>""</f>
        <v/>
      </c>
      <c r="T633" t="str">
        <f>"УЛ СТРОИТЕЛЕЙ"</f>
        <v>УЛ СТРОИТЕЛЕЙ</v>
      </c>
      <c r="U633" s="1" t="str">
        <f>"34"</f>
        <v>34</v>
      </c>
      <c r="V633" s="1" t="str">
        <f>""</f>
        <v/>
      </c>
      <c r="W633" s="1" t="str">
        <f>""</f>
        <v/>
      </c>
      <c r="X633" s="1" t="str">
        <f>""</f>
        <v/>
      </c>
      <c r="Y633" s="1" t="str">
        <f>"57"</f>
        <v>57</v>
      </c>
      <c r="Z633" t="str">
        <f>"3434538061"</f>
        <v>3434538061</v>
      </c>
      <c r="AA633" t="str">
        <f>"9089059446"</f>
        <v>9089059446</v>
      </c>
      <c r="AB633" t="str">
        <f>"9089059446"</f>
        <v>9089059446</v>
      </c>
      <c r="AC633" t="str">
        <f>"9041661603"</f>
        <v>9041661603</v>
      </c>
      <c r="AD633" t="str">
        <f>"9089059446"</f>
        <v>9089059446</v>
      </c>
      <c r="AE633" t="str">
        <f>""</f>
        <v/>
      </c>
    </row>
    <row r="634" spans="1:31" x14ac:dyDescent="0.45">
      <c r="A634" t="str">
        <f>"ПАРХОМЕНКО КРИСТИНА ИВАНОВНА"</f>
        <v>ПАРХОМЕНКО КРИСТИНА ИВАНОВНА</v>
      </c>
      <c r="B634" t="str">
        <f>"1993-04-27"</f>
        <v>1993-04-27</v>
      </c>
      <c r="C634" t="str">
        <f>"67 13 296806"</f>
        <v>67 13 296806</v>
      </c>
      <c r="D634" t="str">
        <f>"4279016740882982"</f>
        <v>4279016740882982</v>
      </c>
      <c r="E634" t="str">
        <f>"2021-05-31"</f>
        <v>2021-05-31</v>
      </c>
      <c r="F634" t="str">
        <f t="shared" si="105"/>
        <v>+</v>
      </c>
      <c r="G634" t="str">
        <f t="shared" si="105"/>
        <v>+</v>
      </c>
      <c r="H634" t="str">
        <f>"40817810916992200208"</f>
        <v>40817810916992200208</v>
      </c>
      <c r="I634" t="str">
        <f>"5940"</f>
        <v>5940</v>
      </c>
      <c r="J634" t="str">
        <f>"0086"</f>
        <v>0086</v>
      </c>
      <c r="K634" t="str">
        <f>"50000.00"</f>
        <v>50000.00</v>
      </c>
      <c r="L634" t="str">
        <f>"628400 ОБЛ ТЮМЕНСКАЯ   Г СУРГУТ   ПР-КТ ПРОЛЕТАРСКИЙ д. 14А"</f>
        <v>628400 ОБЛ ТЮМЕНСКАЯ   Г СУРГУТ   ПР-КТ ПРОЛЕТАРСКИЙ д. 14А</v>
      </c>
      <c r="M634" t="str">
        <f t="shared" si="101"/>
        <v>2019-08-24</v>
      </c>
      <c r="N634" t="str">
        <f>"МБОУ СОШ №38"</f>
        <v>МБОУ СОШ №38</v>
      </c>
      <c r="O634" t="str">
        <f>"628400"</f>
        <v>628400</v>
      </c>
      <c r="P634" t="str">
        <f>"ОБЛ ТЮМЕНСКАЯ"</f>
        <v>ОБЛ ТЮМЕНСКАЯ</v>
      </c>
      <c r="Q634" t="str">
        <f>""</f>
        <v/>
      </c>
      <c r="R634" t="str">
        <f>"Г СУРГУТ"</f>
        <v>Г СУРГУТ</v>
      </c>
      <c r="S634" t="str">
        <f>""</f>
        <v/>
      </c>
      <c r="T634" t="str">
        <f>"УЛ ДЕКАБРИСТОВ"</f>
        <v>УЛ ДЕКАБРИСТОВ</v>
      </c>
      <c r="U634" s="1" t="str">
        <f>"12"</f>
        <v>12</v>
      </c>
      <c r="V634" s="1" t="str">
        <f>""</f>
        <v/>
      </c>
      <c r="W634" s="1" t="str">
        <f>""</f>
        <v/>
      </c>
      <c r="X634" s="1" t="str">
        <f>""</f>
        <v/>
      </c>
      <c r="Y634" s="1" t="str">
        <f>"19"</f>
        <v>19</v>
      </c>
      <c r="Z634" t="str">
        <f>"3462505074"</f>
        <v>3462505074</v>
      </c>
      <c r="AA634" t="str">
        <f>"9227683569"</f>
        <v>9227683569</v>
      </c>
      <c r="AB634" t="str">
        <f>"9324008276"</f>
        <v>9324008276</v>
      </c>
      <c r="AC634" t="str">
        <f>"9227683569"</f>
        <v>9227683569</v>
      </c>
      <c r="AD634" t="str">
        <f>"9324008276"</f>
        <v>9324008276</v>
      </c>
      <c r="AE634" t="str">
        <f>""</f>
        <v/>
      </c>
    </row>
    <row r="635" spans="1:31" x14ac:dyDescent="0.45">
      <c r="A635" t="str">
        <f>"БОЛТНЕВА ЛЮБОВЬ НИКОЛАЕВНА"</f>
        <v>БОЛТНЕВА ЛЮБОВЬ НИКОЛАЕВНА</v>
      </c>
      <c r="B635" t="str">
        <f>"1960-11-12"</f>
        <v>1960-11-12</v>
      </c>
      <c r="C635" t="str">
        <f>"71 05 412066"</f>
        <v>71 05 412066</v>
      </c>
      <c r="D635" t="str">
        <f>"4279016715401933"</f>
        <v>4279016715401933</v>
      </c>
      <c r="E635" t="str">
        <f>"2021-05-31"</f>
        <v>2021-05-31</v>
      </c>
      <c r="F635" t="str">
        <f t="shared" si="105"/>
        <v>+</v>
      </c>
      <c r="G635" t="str">
        <f t="shared" si="105"/>
        <v>+</v>
      </c>
      <c r="H635" t="str">
        <f>"40817810616992502154"</f>
        <v>40817810616992502154</v>
      </c>
      <c r="I635" t="str">
        <f>"8647"</f>
        <v>8647</v>
      </c>
      <c r="J635" t="str">
        <f>"0026"</f>
        <v>0026</v>
      </c>
      <c r="K635" t="str">
        <f>"89000.00"</f>
        <v>89000.00</v>
      </c>
      <c r="L635" t="str">
        <f>"625000 ОБЛ ТЮМЕНСКАЯ   Г ТЮМЕНЬ   УЛ ЛЕНИНА д. 74"</f>
        <v>625000 ОБЛ ТЮМЕНСКАЯ   Г ТЮМЕНЬ   УЛ ЛЕНИНА д. 74</v>
      </c>
      <c r="M635" t="str">
        <f t="shared" si="101"/>
        <v>2019-08-24</v>
      </c>
      <c r="N635" t="str">
        <f>"ПЕНСИОНЕР"</f>
        <v>ПЕНСИОНЕР</v>
      </c>
      <c r="O635" t="str">
        <f>"625015"</f>
        <v>625015</v>
      </c>
      <c r="P635" t="str">
        <f>"ОБЛ ТЮМЕНСКАЯ"</f>
        <v>ОБЛ ТЮМЕНСКАЯ</v>
      </c>
      <c r="Q635" t="str">
        <f>""</f>
        <v/>
      </c>
      <c r="R635" t="str">
        <f>"Г ТЮМЕНЬ"</f>
        <v>Г ТЮМЕНЬ</v>
      </c>
      <c r="S635" t="str">
        <f>""</f>
        <v/>
      </c>
      <c r="T635" t="str">
        <f>"УЛ ЖУКОВСКОГО"</f>
        <v>УЛ ЖУКОВСКОГО</v>
      </c>
      <c r="U635" s="1" t="str">
        <f>"78"</f>
        <v>78</v>
      </c>
      <c r="V635" s="1" t="str">
        <f>""</f>
        <v/>
      </c>
      <c r="W635" s="1" t="str">
        <f>""</f>
        <v/>
      </c>
      <c r="X635" s="1" t="str">
        <f>""</f>
        <v/>
      </c>
      <c r="Y635" s="1" t="str">
        <f>"52"</f>
        <v>52</v>
      </c>
      <c r="Z635" t="str">
        <f>""</f>
        <v/>
      </c>
      <c r="AA635" t="str">
        <f>"9220050222"</f>
        <v>9220050222</v>
      </c>
      <c r="AB635" t="str">
        <f>"9969467674"</f>
        <v>9969467674</v>
      </c>
      <c r="AC635" t="str">
        <f>"9220050222"</f>
        <v>9220050222</v>
      </c>
      <c r="AD635" t="str">
        <f>"9969467674"</f>
        <v>9969467674</v>
      </c>
      <c r="AE635" t="str">
        <f>""</f>
        <v/>
      </c>
    </row>
    <row r="636" spans="1:31" x14ac:dyDescent="0.45">
      <c r="A636" t="str">
        <f>"РЕЛИНА МАРИНА ДАНИЛОВНА"</f>
        <v>РЕЛИНА МАРИНА ДАНИЛОВНА</v>
      </c>
      <c r="B636" t="str">
        <f>"1958-02-01"</f>
        <v>1958-02-01</v>
      </c>
      <c r="C636" t="str">
        <f>"37 13 559354"</f>
        <v>37 13 559354</v>
      </c>
      <c r="D636" t="str">
        <f>"4854630411683918"</f>
        <v>4854630411683918</v>
      </c>
      <c r="E636" t="str">
        <f>"2021-04-30"</f>
        <v>2021-04-30</v>
      </c>
      <c r="F636" t="str">
        <f>"Q"</f>
        <v>Q</v>
      </c>
      <c r="G636" t="str">
        <f>"Q"</f>
        <v>Q</v>
      </c>
      <c r="H636" t="str">
        <f>"40817810216991427818"</f>
        <v>40817810216991427818</v>
      </c>
      <c r="I636" t="str">
        <f>"8599"</f>
        <v>8599</v>
      </c>
      <c r="J636" t="str">
        <f>"0045"</f>
        <v>0045</v>
      </c>
      <c r="K636" t="str">
        <f t="shared" ref="K636:K637" si="106">"0.00"</f>
        <v>0.00</v>
      </c>
      <c r="L636" t="str">
        <f>"640000 ОБЛ КУРГАНСКАЯ   Г КУРГАН   УЛ М. ГОРЬКОГО д. 75 кв. 6"</f>
        <v>640000 ОБЛ КУРГАНСКАЯ   Г КУРГАН   УЛ М. ГОРЬКОГО д. 75 кв. 6</v>
      </c>
      <c r="M636" t="str">
        <f t="shared" si="101"/>
        <v>2019-08-24</v>
      </c>
      <c r="N636" t="str">
        <f>"ПЕНСИОНЕР"</f>
        <v>ПЕНСИОНЕР</v>
      </c>
      <c r="O636" t="str">
        <f>"640000"</f>
        <v>640000</v>
      </c>
      <c r="P636" t="str">
        <f>"ОБЛ КУРГАНСКАЯ"</f>
        <v>ОБЛ КУРГАНСКАЯ</v>
      </c>
      <c r="Q636" t="str">
        <f>""</f>
        <v/>
      </c>
      <c r="R636" t="str">
        <f>"Г КУРГАН"</f>
        <v>Г КУРГАН</v>
      </c>
      <c r="S636" t="str">
        <f>""</f>
        <v/>
      </c>
      <c r="T636" t="str">
        <f>"УЛ М. ГОРЬКОГО"</f>
        <v>УЛ М. ГОРЬКОГО</v>
      </c>
      <c r="U636" s="1" t="str">
        <f>"75"</f>
        <v>75</v>
      </c>
      <c r="V636" s="1" t="str">
        <f>""</f>
        <v/>
      </c>
      <c r="W636" s="1" t="str">
        <f>""</f>
        <v/>
      </c>
      <c r="X636" s="1" t="str">
        <f>""</f>
        <v/>
      </c>
      <c r="Y636" s="1" t="str">
        <f>"6"</f>
        <v>6</v>
      </c>
      <c r="Z636" t="str">
        <f>"9125721302"</f>
        <v>9125721302</v>
      </c>
      <c r="AA636" t="str">
        <f>"9058508956"</f>
        <v>9058508956</v>
      </c>
      <c r="AB636" t="str">
        <f>"9058508956"</f>
        <v>9058508956</v>
      </c>
      <c r="AC636" t="str">
        <f>"9125721302"</f>
        <v>9125721302</v>
      </c>
      <c r="AD636" t="str">
        <f>"9058508956"</f>
        <v>9058508956</v>
      </c>
      <c r="AE636" t="str">
        <f>""</f>
        <v/>
      </c>
    </row>
    <row r="637" spans="1:31" x14ac:dyDescent="0.45">
      <c r="A637" t="str">
        <f>"ГЛЫЗИН АЛЕКСЕЙ ГРИГОРЬЕВИЧ"</f>
        <v>ГЛЫЗИН АЛЕКСЕЙ ГРИГОРЬЕВИЧ</v>
      </c>
      <c r="B637" t="str">
        <f>"1954-03-30"</f>
        <v>1954-03-30</v>
      </c>
      <c r="C637" t="str">
        <f>"65 18 727111"</f>
        <v>65 18 727111</v>
      </c>
      <c r="D637" t="str">
        <f>"4854630429603759"</f>
        <v>4854630429603759</v>
      </c>
      <c r="E637" t="str">
        <f>"2021-04-30"</f>
        <v>2021-04-30</v>
      </c>
      <c r="F637" t="str">
        <f>"Q"</f>
        <v>Q</v>
      </c>
      <c r="G637" t="str">
        <f>"Q"</f>
        <v>Q</v>
      </c>
      <c r="H637" t="str">
        <f>"40817810067720715585"</f>
        <v>40817810067720715585</v>
      </c>
      <c r="I637" t="str">
        <f>"1791"</f>
        <v>1791</v>
      </c>
      <c r="J637" t="str">
        <f>"0133"</f>
        <v>0133</v>
      </c>
      <c r="K637" t="str">
        <f t="shared" si="106"/>
        <v>0.00</v>
      </c>
      <c r="L637" t="str">
        <f>"620000 ОБЛ СВЕРДЛОВСКАЯ   Г ЕКАТЕРИНБУРГ   УЛ 8 МАРТА д. 4 офис 323"</f>
        <v>620000 ОБЛ СВЕРДЛОВСКАЯ   Г ЕКАТЕРИНБУРГ   УЛ 8 МАРТА д. 4 офис 323</v>
      </c>
      <c r="M637" t="str">
        <f t="shared" si="101"/>
        <v>2019-08-24</v>
      </c>
      <c r="N637" t="s">
        <v>51</v>
      </c>
      <c r="O637" t="str">
        <f>"620000"</f>
        <v>620000</v>
      </c>
      <c r="P637" t="str">
        <f>"ОБЛ СВЕРДЛОВСКАЯ"</f>
        <v>ОБЛ СВЕРДЛОВСКАЯ</v>
      </c>
      <c r="Q637" t="str">
        <f>""</f>
        <v/>
      </c>
      <c r="R637" t="str">
        <f>"Г ЕКАТЕРИНГБУРГ"</f>
        <v>Г ЕКАТЕРИНГБУРГ</v>
      </c>
      <c r="S637" t="str">
        <f>""</f>
        <v/>
      </c>
      <c r="T637" t="str">
        <f>"УЛ П. ЛУМУМБЫ"</f>
        <v>УЛ П. ЛУМУМБЫ</v>
      </c>
      <c r="U637" s="1" t="str">
        <f>"36"</f>
        <v>36</v>
      </c>
      <c r="V637" s="1" t="str">
        <f>""</f>
        <v/>
      </c>
      <c r="W637" s="1" t="str">
        <f>""</f>
        <v/>
      </c>
      <c r="X637" s="1" t="str">
        <f>""</f>
        <v/>
      </c>
      <c r="Y637" s="1" t="str">
        <f>"149"</f>
        <v>149</v>
      </c>
      <c r="Z637" t="str">
        <f>""</f>
        <v/>
      </c>
      <c r="AA637" t="str">
        <f>"9826346234"</f>
        <v>9826346234</v>
      </c>
      <c r="AB637" t="str">
        <f>"9068007874"</f>
        <v>9068007874</v>
      </c>
      <c r="AC637" t="str">
        <f>"9068007874"</f>
        <v>9068007874</v>
      </c>
      <c r="AD637" t="str">
        <f>"9826346234"</f>
        <v>9826346234</v>
      </c>
      <c r="AE637" t="str">
        <f>""</f>
        <v/>
      </c>
    </row>
    <row r="638" spans="1:31" x14ac:dyDescent="0.45">
      <c r="A638" t="str">
        <f>"САПАРОВ АЛЕКСАНДР РАХМЕТУЛОВИЧ"</f>
        <v>САПАРОВ АЛЕКСАНДР РАХМЕТУЛОВИЧ</v>
      </c>
      <c r="B638" t="str">
        <f>"1971-06-27"</f>
        <v>1971-06-27</v>
      </c>
      <c r="C638" t="str">
        <f>"63 15 256178"</f>
        <v>63 15 256178</v>
      </c>
      <c r="D638" t="str">
        <f>"4854630374517731"</f>
        <v>4854630374517731</v>
      </c>
      <c r="E638" t="str">
        <f>"2021-04-30"</f>
        <v>2021-04-30</v>
      </c>
      <c r="F638" t="str">
        <f>"+"</f>
        <v>+</v>
      </c>
      <c r="G638" t="str">
        <f>"+"</f>
        <v>+</v>
      </c>
      <c r="H638" t="str">
        <f>"40817810516992066635"</f>
        <v>40817810516992066635</v>
      </c>
      <c r="I638" t="str">
        <f>"5940"</f>
        <v>5940</v>
      </c>
      <c r="J638" t="str">
        <f>"0138"</f>
        <v>0138</v>
      </c>
      <c r="K638" t="str">
        <f>"165000.00"</f>
        <v>165000.00</v>
      </c>
      <c r="L638" t="str">
        <f>"628600 ОБЛ ТЮМЕНСКАЯ   Г НИЖНЕВАРТОВСК   УЛ 2П2 д. 97 стр. 3"</f>
        <v>628600 ОБЛ ТЮМЕНСКАЯ   Г НИЖНЕВАРТОВСК   УЛ 2П2 д. 97 стр. 3</v>
      </c>
      <c r="M638" t="str">
        <f t="shared" si="101"/>
        <v>2019-08-24</v>
      </c>
      <c r="N638" t="str">
        <f>"ЗАО ЕПРС"</f>
        <v>ЗАО ЕПРС</v>
      </c>
      <c r="O638" t="str">
        <f>"410000"</f>
        <v>410000</v>
      </c>
      <c r="P638" t="str">
        <f>"ОБЛ САРАТОВСКАЯ"</f>
        <v>ОБЛ САРАТОВСКАЯ</v>
      </c>
      <c r="Q638" t="str">
        <f>"Р-Н ЛЫСОГОРСКИЙ"</f>
        <v>Р-Н ЛЫСОГОРСКИЙ</v>
      </c>
      <c r="R638" t="str">
        <f>""</f>
        <v/>
      </c>
      <c r="S638" t="str">
        <f>"С ЧАДАЕВКА"</f>
        <v>С ЧАДАЕВКА</v>
      </c>
      <c r="T638" t="str">
        <f>"УЛ МИРНАЯ"</f>
        <v>УЛ МИРНАЯ</v>
      </c>
      <c r="U638" s="1" t="str">
        <f>"5"</f>
        <v>5</v>
      </c>
      <c r="V638" s="1" t="str">
        <f>""</f>
        <v/>
      </c>
      <c r="W638" s="1" t="str">
        <f>""</f>
        <v/>
      </c>
      <c r="X638" s="1" t="str">
        <f>""</f>
        <v/>
      </c>
      <c r="Y638" s="1" t="str">
        <f>""</f>
        <v/>
      </c>
      <c r="Z638" t="str">
        <f>""</f>
        <v/>
      </c>
      <c r="AA638" t="str">
        <f>"9138678496"</f>
        <v>9138678496</v>
      </c>
      <c r="AB638" t="str">
        <f>"9138678496"</f>
        <v>9138678496</v>
      </c>
      <c r="AC638" t="str">
        <f>"9198397885"</f>
        <v>9198397885</v>
      </c>
      <c r="AD638" t="str">
        <f>"9138678496"</f>
        <v>9138678496</v>
      </c>
      <c r="AE638" t="str">
        <f>""</f>
        <v/>
      </c>
    </row>
    <row r="639" spans="1:31" x14ac:dyDescent="0.45">
      <c r="A639" t="str">
        <f>"ДУБИН ПАВЕЛ ИГОРЕВИЧ"</f>
        <v>ДУБИН ПАВЕЛ ИГОРЕВИЧ</v>
      </c>
      <c r="B639" t="str">
        <f>"1994-06-29"</f>
        <v>1994-06-29</v>
      </c>
      <c r="C639" t="str">
        <f>"65 14 856184"</f>
        <v>65 14 856184</v>
      </c>
      <c r="D639" t="str">
        <f>"4854630407757619"</f>
        <v>4854630407757619</v>
      </c>
      <c r="E639" t="str">
        <f>"2021-04-30"</f>
        <v>2021-04-30</v>
      </c>
      <c r="F639" t="str">
        <f>"Q"</f>
        <v>Q</v>
      </c>
      <c r="G639" t="str">
        <f>"Q"</f>
        <v>Q</v>
      </c>
      <c r="H639" t="str">
        <f>"40817810316991427828"</f>
        <v>40817810316991427828</v>
      </c>
      <c r="I639" t="str">
        <f>"7003"</f>
        <v>7003</v>
      </c>
      <c r="J639" t="str">
        <f>"0582"</f>
        <v>0582</v>
      </c>
      <c r="K639" t="str">
        <f>"0.00"</f>
        <v>0.00</v>
      </c>
      <c r="L639" t="str">
        <f>"620000 ОБЛ СВЕРДЛОВСКАЯ   Г ЕКАТЕРИНБУРГ   УЛ МАМИНА СИБИРЯКА д. 145 кв. 0"</f>
        <v>620000 ОБЛ СВЕРДЛОВСКАЯ   Г ЕКАТЕРИНБУРГ   УЛ МАМИНА СИБИРЯКА д. 145 кв. 0</v>
      </c>
      <c r="M639" t="str">
        <f t="shared" si="101"/>
        <v>2019-08-24</v>
      </c>
      <c r="N639" t="str">
        <f>"НПО АВТОМАТИКА"</f>
        <v>НПО АВТОМАТИКА</v>
      </c>
      <c r="O639" t="str">
        <f>"620000"</f>
        <v>620000</v>
      </c>
      <c r="P639" t="str">
        <f>"ОБЛ СВЕРДЛОВСКАЯ"</f>
        <v>ОБЛ СВЕРДЛОВСКАЯ</v>
      </c>
      <c r="Q639" t="str">
        <f>""</f>
        <v/>
      </c>
      <c r="R639" t="str">
        <f>"Г КАМЕНСК-УРАЛЬСКИЙ"</f>
        <v>Г КАМЕНСК-УРАЛЬСКИЙ</v>
      </c>
      <c r="S639" t="str">
        <f>""</f>
        <v/>
      </c>
      <c r="T639" t="str">
        <f>"ПР-КТ ПОБЕДЫ"</f>
        <v>ПР-КТ ПОБЕДЫ</v>
      </c>
      <c r="U639" s="1" t="str">
        <f>"78"</f>
        <v>78</v>
      </c>
      <c r="V639" s="1" t="str">
        <f>""</f>
        <v/>
      </c>
      <c r="W639" s="1" t="str">
        <f>""</f>
        <v/>
      </c>
      <c r="X639" s="1" t="str">
        <f>""</f>
        <v/>
      </c>
      <c r="Y639" s="1" t="str">
        <f>"12"</f>
        <v>12</v>
      </c>
      <c r="Z639" t="str">
        <f>"9920279186"</f>
        <v>9920279186</v>
      </c>
      <c r="AA639" t="str">
        <f>"9920279186"</f>
        <v>9920279186</v>
      </c>
      <c r="AB639" t="str">
        <f>"9920279186"</f>
        <v>9920279186</v>
      </c>
      <c r="AC639" t="str">
        <f>"9920279186"</f>
        <v>9920279186</v>
      </c>
      <c r="AD639" t="str">
        <f>"9920279186"</f>
        <v>9920279186</v>
      </c>
      <c r="AE639" t="str">
        <f>"9920279186"</f>
        <v>9920279186</v>
      </c>
    </row>
    <row r="640" spans="1:31" x14ac:dyDescent="0.45">
      <c r="A640" t="str">
        <f>"ЗАМЯТИНА ГАЛИНА АЛЕКСАНДРОВНА"</f>
        <v>ЗАМЯТИНА ГАЛИНА АЛЕКСАНДРОВНА</v>
      </c>
      <c r="B640" t="str">
        <f>"1976-05-23"</f>
        <v>1976-05-23</v>
      </c>
      <c r="C640" t="str">
        <f>"71 97 055141"</f>
        <v>71 97 055141</v>
      </c>
      <c r="D640" t="str">
        <f>"4854630398592371"</f>
        <v>4854630398592371</v>
      </c>
      <c r="E640" t="str">
        <f>"2021-04-30"</f>
        <v>2021-04-30</v>
      </c>
      <c r="F640" t="str">
        <f t="shared" ref="F640:G643" si="107">"+"</f>
        <v>+</v>
      </c>
      <c r="G640" t="str">
        <f t="shared" si="107"/>
        <v>+</v>
      </c>
      <c r="H640" t="str">
        <f>"40817810416992454635"</f>
        <v>40817810416992454635</v>
      </c>
      <c r="I640" t="str">
        <f>"8647"</f>
        <v>8647</v>
      </c>
      <c r="J640" t="str">
        <f>"0178"</f>
        <v>0178</v>
      </c>
      <c r="K640" t="str">
        <f>"15000.00"</f>
        <v>15000.00</v>
      </c>
      <c r="L640" t="str">
        <f>"625000 ОБЛ ТЮМЕНСКАЯ   Г ТЮМЕНЬ   УЛ ЩЕРБАКОВА д. 142 кв. 35"</f>
        <v>625000 ОБЛ ТЮМЕНСКАЯ   Г ТЮМЕНЬ   УЛ ЩЕРБАКОВА д. 142 кв. 35</v>
      </c>
      <c r="M640" t="str">
        <f t="shared" si="101"/>
        <v>2019-08-24</v>
      </c>
      <c r="N640" t="str">
        <f>"ИП ЗАМЯТИНА"</f>
        <v>ИП ЗАМЯТИНА</v>
      </c>
      <c r="O640" t="str">
        <f>"625000"</f>
        <v>625000</v>
      </c>
      <c r="P640" t="str">
        <f>"ОБЛ ТЮМЕНСКАЯ"</f>
        <v>ОБЛ ТЮМЕНСКАЯ</v>
      </c>
      <c r="Q640" t="str">
        <f>""</f>
        <v/>
      </c>
      <c r="R640" t="str">
        <f>"Г ТЮМЕНЬ"</f>
        <v>Г ТЮМЕНЬ</v>
      </c>
      <c r="S640" t="str">
        <f>""</f>
        <v/>
      </c>
      <c r="T640" t="str">
        <f>"УЛ ЩЕРБАКОВА"</f>
        <v>УЛ ЩЕРБАКОВА</v>
      </c>
      <c r="U640" s="1" t="str">
        <f>"142"</f>
        <v>142</v>
      </c>
      <c r="V640" s="1" t="str">
        <f>""</f>
        <v/>
      </c>
      <c r="W640" s="1" t="str">
        <f>""</f>
        <v/>
      </c>
      <c r="X640" s="1" t="str">
        <f>""</f>
        <v/>
      </c>
      <c r="Y640" s="1" t="str">
        <f>"35"</f>
        <v>35</v>
      </c>
      <c r="Z640" t="str">
        <f>""</f>
        <v/>
      </c>
      <c r="AA640" t="str">
        <f>"9199574740"</f>
        <v>9199574740</v>
      </c>
      <c r="AB640" t="str">
        <f>"9044989306"</f>
        <v>9044989306</v>
      </c>
      <c r="AC640" t="str">
        <f>"9199574740"</f>
        <v>9199574740</v>
      </c>
      <c r="AD640" t="str">
        <f>"9044989306"</f>
        <v>9044989306</v>
      </c>
      <c r="AE640" t="str">
        <f>""</f>
        <v/>
      </c>
    </row>
    <row r="641" spans="1:31" x14ac:dyDescent="0.45">
      <c r="A641" t="str">
        <f>"ЖУКОВА СВЕТЛАНА ВАСИЛЬЕВНА"</f>
        <v>ЖУКОВА СВЕТЛАНА ВАСИЛЬЕВНА</v>
      </c>
      <c r="B641" t="str">
        <f>"1956-07-03"</f>
        <v>1956-07-03</v>
      </c>
      <c r="C641" t="str">
        <f>"65 00 362292"</f>
        <v>65 00 362292</v>
      </c>
      <c r="D641" t="str">
        <f>"4854630419046134"</f>
        <v>4854630419046134</v>
      </c>
      <c r="E641" t="str">
        <f>"2021-05-31"</f>
        <v>2021-05-31</v>
      </c>
      <c r="F641" t="str">
        <f t="shared" si="107"/>
        <v>+</v>
      </c>
      <c r="G641" t="str">
        <f t="shared" si="107"/>
        <v>+</v>
      </c>
      <c r="H641" t="str">
        <f>"40817810016991464152"</f>
        <v>40817810016991464152</v>
      </c>
      <c r="I641" t="str">
        <f>"7003"</f>
        <v>7003</v>
      </c>
      <c r="J641" t="str">
        <f>"0858"</f>
        <v>0858</v>
      </c>
      <c r="K641" t="str">
        <f>"15000.00"</f>
        <v>15000.00</v>
      </c>
      <c r="L641" t="str">
        <f>"624200 ОБЛ СВЕРДЛОВСКАЯ   Г ЛЕСНОЙ   УЛ БЕЛИНСКОГО д. 28 кв. 18"</f>
        <v>624200 ОБЛ СВЕРДЛОВСКАЯ   Г ЛЕСНОЙ   УЛ БЕЛИНСКОГО д. 28 кв. 18</v>
      </c>
      <c r="M641" t="str">
        <f t="shared" si="101"/>
        <v>2019-08-24</v>
      </c>
      <c r="N641" t="str">
        <f>"МАО ЛИЦЕЙ"</f>
        <v>МАО ЛИЦЕЙ</v>
      </c>
      <c r="O641" t="str">
        <f>"624200"</f>
        <v>624200</v>
      </c>
      <c r="P641" t="str">
        <f>"ОБЛ СВЕРДЛОВСКАЯ"</f>
        <v>ОБЛ СВЕРДЛОВСКАЯ</v>
      </c>
      <c r="Q641" t="str">
        <f>""</f>
        <v/>
      </c>
      <c r="R641" t="str">
        <f>"Г ЛЕСНОЙ"</f>
        <v>Г ЛЕСНОЙ</v>
      </c>
      <c r="S641" t="str">
        <f>""</f>
        <v/>
      </c>
      <c r="T641" t="str">
        <f>"УЛ БЕЛИНСКОГО"</f>
        <v>УЛ БЕЛИНСКОГО</v>
      </c>
      <c r="U641" s="1" t="str">
        <f>"28"</f>
        <v>28</v>
      </c>
      <c r="V641" s="1" t="str">
        <f>""</f>
        <v/>
      </c>
      <c r="W641" s="1" t="str">
        <f>""</f>
        <v/>
      </c>
      <c r="X641" s="1" t="str">
        <f>""</f>
        <v/>
      </c>
      <c r="Y641" s="1" t="str">
        <f>"18"</f>
        <v>18</v>
      </c>
      <c r="Z641" t="str">
        <f>""</f>
        <v/>
      </c>
      <c r="AA641" t="str">
        <f>"3434278052"</f>
        <v>3434278052</v>
      </c>
      <c r="AB641" t="str">
        <f>"9630335305"</f>
        <v>9630335305</v>
      </c>
      <c r="AC641" t="str">
        <f>"3434278052"</f>
        <v>3434278052</v>
      </c>
      <c r="AD641" t="str">
        <f>"9630335305"</f>
        <v>9630335305</v>
      </c>
      <c r="AE641" t="str">
        <f>""</f>
        <v/>
      </c>
    </row>
    <row r="642" spans="1:31" x14ac:dyDescent="0.45">
      <c r="A642" t="str">
        <f>"АЛТЫНБАЕВ РИФ МИНИЯРОВИЧ"</f>
        <v>АЛТЫНБАЕВ РИФ МИНИЯРОВИЧ</v>
      </c>
      <c r="B642" t="str">
        <f>"1965-10-09"</f>
        <v>1965-10-09</v>
      </c>
      <c r="C642" t="str">
        <f>"80 10 175897"</f>
        <v>80 10 175897</v>
      </c>
      <c r="D642" t="str">
        <f>"4854630207046890"</f>
        <v>4854630207046890</v>
      </c>
      <c r="E642" t="str">
        <f>"2021-04-30"</f>
        <v>2021-04-30</v>
      </c>
      <c r="F642" t="str">
        <f t="shared" si="107"/>
        <v>+</v>
      </c>
      <c r="G642" t="str">
        <f t="shared" si="107"/>
        <v>+</v>
      </c>
      <c r="H642" t="str">
        <f>"40817810116991427840"</f>
        <v>40817810116991427840</v>
      </c>
      <c r="I642" t="str">
        <f>"8598"</f>
        <v>8598</v>
      </c>
      <c r="J642" t="str">
        <f>"0788"</f>
        <v>0788</v>
      </c>
      <c r="K642" t="str">
        <f>"70000.00"</f>
        <v>70000.00</v>
      </c>
      <c r="L642" t="str">
        <f>"453100 РЕСП БАШКОРТОСТАН   Г СТЕРЛИТАМАК   УЛ ХАРКОВСКАЯ д. 8"</f>
        <v>453100 РЕСП БАШКОРТОСТАН   Г СТЕРЛИТАМАК   УЛ ХАРКОВСКАЯ д. 8</v>
      </c>
      <c r="M642" t="str">
        <f t="shared" ref="M642:M705" si="108">"2019-08-24"</f>
        <v>2019-08-24</v>
      </c>
      <c r="N642" t="str">
        <f>"ООО БЭМ САЛАВАТ"</f>
        <v>ООО БЭМ САЛАВАТ</v>
      </c>
      <c r="O642" t="str">
        <f>"453100"</f>
        <v>453100</v>
      </c>
      <c r="P642" t="str">
        <f>"РЕСП БАШКОРТОСТАН"</f>
        <v>РЕСП БАШКОРТОСТАН</v>
      </c>
      <c r="Q642" t="str">
        <f>""</f>
        <v/>
      </c>
      <c r="R642" t="str">
        <f>"Г СТЕРЛИТАМАК"</f>
        <v>Г СТЕРЛИТАМАК</v>
      </c>
      <c r="S642" t="str">
        <f>""</f>
        <v/>
      </c>
      <c r="T642" t="str">
        <f>"УЛ КУРЧАТОВА"</f>
        <v>УЛ КУРЧАТОВА</v>
      </c>
      <c r="U642" s="1" t="str">
        <f>"16"</f>
        <v>16</v>
      </c>
      <c r="V642" s="1" t="str">
        <f>""</f>
        <v/>
      </c>
      <c r="W642" s="1" t="str">
        <f>""</f>
        <v/>
      </c>
      <c r="X642" s="1" t="str">
        <f>""</f>
        <v/>
      </c>
      <c r="Y642" s="1" t="str">
        <f>"47"</f>
        <v>47</v>
      </c>
      <c r="Z642" t="str">
        <f>"0000000000"</f>
        <v>0000000000</v>
      </c>
      <c r="AA642" t="str">
        <f>"3473221639"</f>
        <v>3473221639</v>
      </c>
      <c r="AB642" t="str">
        <f>"9173540541"</f>
        <v>9173540541</v>
      </c>
      <c r="AC642" t="str">
        <f>"9173540541"</f>
        <v>9173540541</v>
      </c>
      <c r="AD642" t="str">
        <f>"9173540541"</f>
        <v>9173540541</v>
      </c>
      <c r="AE642" t="str">
        <f>""</f>
        <v/>
      </c>
    </row>
    <row r="643" spans="1:31" x14ac:dyDescent="0.45">
      <c r="A643" t="str">
        <f>"ПРОСКУРЯКОВ ВАЛЕРИЙ ФЕДОРОВИЧ"</f>
        <v>ПРОСКУРЯКОВ ВАЛЕРИЙ ФЕДОРОВИЧ</v>
      </c>
      <c r="B643" t="str">
        <f>"1953-02-21"</f>
        <v>1953-02-21</v>
      </c>
      <c r="C643" t="str">
        <f>"75 01 014663"</f>
        <v>75 01 014663</v>
      </c>
      <c r="D643" t="str">
        <f>"4854630222065370"</f>
        <v>4854630222065370</v>
      </c>
      <c r="E643" t="str">
        <f>"2021-04-30"</f>
        <v>2021-04-30</v>
      </c>
      <c r="F643" t="str">
        <f t="shared" si="107"/>
        <v>+</v>
      </c>
      <c r="G643" t="str">
        <f t="shared" si="107"/>
        <v>+</v>
      </c>
      <c r="H643" t="str">
        <f>"40817810416991464163"</f>
        <v>40817810416991464163</v>
      </c>
      <c r="I643" t="str">
        <f>"8597"</f>
        <v>8597</v>
      </c>
      <c r="J643" t="str">
        <f>"0523"</f>
        <v>0523</v>
      </c>
      <c r="K643" t="str">
        <f>"500000.00"</f>
        <v>500000.00</v>
      </c>
      <c r="L643" t="str">
        <f>"454000 ОБЛ ЧЕЛЯБИНСКАЯ   Г МИАСС   УЛ АКАДЕМИКА ПАВЛОВА д. 23"</f>
        <v>454000 ОБЛ ЧЕЛЯБИНСКАЯ   Г МИАСС   УЛ АКАДЕМИКА ПАВЛОВА д. 23</v>
      </c>
      <c r="M643" t="str">
        <f t="shared" si="108"/>
        <v>2019-08-24</v>
      </c>
      <c r="N643" t="str">
        <f>"СПОРТИВНАЯ ШКОЛА №2"</f>
        <v>СПОРТИВНАЯ ШКОЛА №2</v>
      </c>
      <c r="O643" t="str">
        <f>"454000"</f>
        <v>454000</v>
      </c>
      <c r="P643" t="str">
        <f>"ОБЛ ЧЕЛЯБИНСКАЯ"</f>
        <v>ОБЛ ЧЕЛЯБИНСКАЯ</v>
      </c>
      <c r="Q643" t="str">
        <f>""</f>
        <v/>
      </c>
      <c r="R643" t="str">
        <f>"Г МИАСС"</f>
        <v>Г МИАСС</v>
      </c>
      <c r="S643" t="str">
        <f>""</f>
        <v/>
      </c>
      <c r="T643" t="str">
        <f>"УЛ УРАЛЬСКАЯ"</f>
        <v>УЛ УРАЛЬСКАЯ</v>
      </c>
      <c r="U643" s="1" t="str">
        <f>"14"</f>
        <v>14</v>
      </c>
      <c r="V643" s="1" t="str">
        <f>""</f>
        <v/>
      </c>
      <c r="W643" s="1" t="str">
        <f>""</f>
        <v/>
      </c>
      <c r="X643" s="1" t="str">
        <f>""</f>
        <v/>
      </c>
      <c r="Y643" s="1" t="str">
        <f>"5"</f>
        <v>5</v>
      </c>
      <c r="Z643" t="str">
        <f>"9518068147"</f>
        <v>9518068147</v>
      </c>
      <c r="AA643" t="str">
        <f>"9518068147"</f>
        <v>9518068147</v>
      </c>
      <c r="AB643" t="str">
        <f>"9049782110"</f>
        <v>9049782110</v>
      </c>
      <c r="AC643" t="str">
        <f>"9518068147"</f>
        <v>9518068147</v>
      </c>
      <c r="AD643" t="str">
        <f>"9049782110"</f>
        <v>9049782110</v>
      </c>
      <c r="AE643" t="str">
        <f>"9518068147"</f>
        <v>9518068147</v>
      </c>
    </row>
    <row r="644" spans="1:31" x14ac:dyDescent="0.45">
      <c r="A644" t="str">
        <f>"ФАРХУТДИНОВА АЛЬМИРА АЛЬБЕРТОВНА"</f>
        <v>ФАРХУТДИНОВА АЛЬМИРА АЛЬБЕРТОВНА</v>
      </c>
      <c r="B644" t="str">
        <f>"1969-09-16"</f>
        <v>1969-09-16</v>
      </c>
      <c r="C644" t="str">
        <f>"65 14 802773"</f>
        <v>65 14 802773</v>
      </c>
      <c r="D644" t="str">
        <f>"4854630380124100"</f>
        <v>4854630380124100</v>
      </c>
      <c r="E644" t="str">
        <f>"2021-04-30"</f>
        <v>2021-04-30</v>
      </c>
      <c r="F644" t="str">
        <f>"Y"</f>
        <v>Y</v>
      </c>
      <c r="G644" t="str">
        <f>"Q"</f>
        <v>Q</v>
      </c>
      <c r="H644" t="str">
        <f>"40817810516991464173"</f>
        <v>40817810516991464173</v>
      </c>
      <c r="I644" t="str">
        <f>"7003"</f>
        <v>7003</v>
      </c>
      <c r="J644" t="str">
        <f>"0799"</f>
        <v>0799</v>
      </c>
      <c r="K644" t="str">
        <f>"0.00"</f>
        <v>0.00</v>
      </c>
      <c r="L644" t="str">
        <f>"620000 ОБЛ СВЕРДЛОВСКАЯ   Г БЕРЕЗОВСКИЙ   УЛ КРАСНЫХ ГЕРОЕВ д. 3"</f>
        <v>620000 ОБЛ СВЕРДЛОВСКАЯ   Г БЕРЕЗОВСКИЙ   УЛ КРАСНЫХ ГЕРОЕВ д. 3</v>
      </c>
      <c r="M644" t="str">
        <f t="shared" si="108"/>
        <v>2019-08-24</v>
      </c>
      <c r="N644" t="str">
        <f>"ООО КТК ДОМ КНИГИ"</f>
        <v>ООО КТК ДОМ КНИГИ</v>
      </c>
      <c r="O644" t="str">
        <f>"620000"</f>
        <v>620000</v>
      </c>
      <c r="P644" t="str">
        <f>"ОБЛ СВЕРДЛОВСКАЯ"</f>
        <v>ОБЛ СВЕРДЛОВСКАЯ</v>
      </c>
      <c r="Q644" t="str">
        <f>""</f>
        <v/>
      </c>
      <c r="R644" t="str">
        <f>"Г БЕРЕЗОВСКИЙ"</f>
        <v>Г БЕРЕЗОВСКИЙ</v>
      </c>
      <c r="S644" t="str">
        <f>""</f>
        <v/>
      </c>
      <c r="T644" t="str">
        <f>"УЛ НОВАЯ"</f>
        <v>УЛ НОВАЯ</v>
      </c>
      <c r="U644" s="1" t="str">
        <f>"11А"</f>
        <v>11А</v>
      </c>
      <c r="V644" s="1" t="str">
        <f>""</f>
        <v/>
      </c>
      <c r="W644" s="1" t="str">
        <f>""</f>
        <v/>
      </c>
      <c r="X644" s="1" t="str">
        <f>""</f>
        <v/>
      </c>
      <c r="Y644" s="1" t="str">
        <f>"61"</f>
        <v>61</v>
      </c>
      <c r="Z644" t="str">
        <f>"9533852451"</f>
        <v>9533852451</v>
      </c>
      <c r="AA644" t="str">
        <f>"9533852451"</f>
        <v>9533852451</v>
      </c>
      <c r="AB644" t="str">
        <f>"9533852451"</f>
        <v>9533852451</v>
      </c>
      <c r="AC644" t="str">
        <f>"9533852451"</f>
        <v>9533852451</v>
      </c>
      <c r="AD644" t="str">
        <f>"9533852451"</f>
        <v>9533852451</v>
      </c>
      <c r="AE644" t="str">
        <f>"9533852451"</f>
        <v>9533852451</v>
      </c>
    </row>
    <row r="645" spans="1:31" x14ac:dyDescent="0.45">
      <c r="A645" t="str">
        <f>"ГУЛЯГИНА ОЛЬГА АНАТОЛЬЕВНА"</f>
        <v>ГУЛЯГИНА ОЛЬГА АНАТОЛЬЕВНА</v>
      </c>
      <c r="B645" t="str">
        <f>"1975-08-19"</f>
        <v>1975-08-19</v>
      </c>
      <c r="C645" t="str">
        <f>"75 99 102373"</f>
        <v>75 99 102373</v>
      </c>
      <c r="D645" t="str">
        <f>"4854630193420687"</f>
        <v>4854630193420687</v>
      </c>
      <c r="E645" t="str">
        <f>"2021-11-30"</f>
        <v>2021-11-30</v>
      </c>
      <c r="F645" t="str">
        <f t="shared" ref="F645:G660" si="109">"+"</f>
        <v>+</v>
      </c>
      <c r="G645" t="str">
        <f t="shared" si="109"/>
        <v>+</v>
      </c>
      <c r="H645" t="str">
        <f>"40817810316991424698"</f>
        <v>40817810316991424698</v>
      </c>
      <c r="I645" t="str">
        <f>"8597"</f>
        <v>8597</v>
      </c>
      <c r="J645" t="str">
        <f>"0195"</f>
        <v>0195</v>
      </c>
      <c r="K645" t="str">
        <f>"47000.00"</f>
        <v>47000.00</v>
      </c>
      <c r="L645" t="str">
        <f>"454000 ОБЛ ЧЕЛЯБИНСКАЯ   Г ЧЕЛЯБИНСК   УЛ ВОРОВСКОГО д. 60 стр. А"</f>
        <v>454000 ОБЛ ЧЕЛЯБИНСКАЯ   Г ЧЕЛЯБИНСК   УЛ ВОРОВСКОГО д. 60 стр. А</v>
      </c>
      <c r="M645" t="str">
        <f t="shared" si="108"/>
        <v>2019-08-24</v>
      </c>
      <c r="N645" t="str">
        <f>"МУП ПОВВ"</f>
        <v>МУП ПОВВ</v>
      </c>
      <c r="O645" t="str">
        <f>"454000"</f>
        <v>454000</v>
      </c>
      <c r="P645" t="str">
        <f>"ОБЛ ЧЕЛЯБИНСКАЯ"</f>
        <v>ОБЛ ЧЕЛЯБИНСКАЯ</v>
      </c>
      <c r="Q645" t="str">
        <f>""</f>
        <v/>
      </c>
      <c r="R645" t="str">
        <f>"Г ЧЕЛЯБИНСК"</f>
        <v>Г ЧЕЛЯБИНСК</v>
      </c>
      <c r="S645" t="str">
        <f>""</f>
        <v/>
      </c>
      <c r="T645" t="str">
        <f>"УЛ РОССИЙСКАЯ"</f>
        <v>УЛ РОССИЙСКАЯ</v>
      </c>
      <c r="U645" s="1" t="str">
        <f>"277"</f>
        <v>277</v>
      </c>
      <c r="V645" s="1" t="str">
        <f>""</f>
        <v/>
      </c>
      <c r="W645" s="1" t="str">
        <f>""</f>
        <v/>
      </c>
      <c r="X645" s="1" t="str">
        <f>""</f>
        <v/>
      </c>
      <c r="Y645" s="1" t="str">
        <f>"17"</f>
        <v>17</v>
      </c>
      <c r="Z645" t="str">
        <f>""</f>
        <v/>
      </c>
      <c r="AA645" t="str">
        <f>"3512601147"</f>
        <v>3512601147</v>
      </c>
      <c r="AB645" t="str">
        <f>"9127701886"</f>
        <v>9127701886</v>
      </c>
      <c r="AC645" t="str">
        <f>"3512601147"</f>
        <v>3512601147</v>
      </c>
      <c r="AD645" t="str">
        <f>"9127701886"</f>
        <v>9127701886</v>
      </c>
      <c r="AE645" t="str">
        <f>""</f>
        <v/>
      </c>
    </row>
    <row r="646" spans="1:31" x14ac:dyDescent="0.45">
      <c r="A646" t="str">
        <f>"ВАЛИУЛЛИН СЕРГЕЙ ГАЙФУЛЛОВИЧ"</f>
        <v>ВАЛИУЛЛИН СЕРГЕЙ ГАЙФУЛЛОВИЧ</v>
      </c>
      <c r="B646" t="str">
        <f>"1975-11-25"</f>
        <v>1975-11-25</v>
      </c>
      <c r="C646" t="str">
        <f>"75 03 832210"</f>
        <v>75 03 832210</v>
      </c>
      <c r="D646" t="str">
        <f>"4854630418270628"</f>
        <v>4854630418270628</v>
      </c>
      <c r="E646" t="str">
        <f>"2021-04-30"</f>
        <v>2021-04-30</v>
      </c>
      <c r="F646" t="str">
        <f t="shared" si="109"/>
        <v>+</v>
      </c>
      <c r="G646" t="str">
        <f t="shared" si="109"/>
        <v>+</v>
      </c>
      <c r="H646" t="str">
        <f>"40817810516991427851"</f>
        <v>40817810516991427851</v>
      </c>
      <c r="I646" t="str">
        <f>"8597"</f>
        <v>8597</v>
      </c>
      <c r="J646" t="str">
        <f>"0447"</f>
        <v>0447</v>
      </c>
      <c r="K646" t="str">
        <f>"13000.00"</f>
        <v>13000.00</v>
      </c>
      <c r="L646" t="str">
        <f>"454000 ОБЛ ЧЕЛЯБИНСКАЯ   Г ТРОИЦК   УЛ КРАСНОАРМЕЙСКАЯ д. 1"</f>
        <v>454000 ОБЛ ЧЕЛЯБИНСКАЯ   Г ТРОИЦК   УЛ КРАСНОАРМЕЙСКАЯ д. 1</v>
      </c>
      <c r="M646" t="str">
        <f t="shared" si="108"/>
        <v>2019-08-24</v>
      </c>
      <c r="N646" t="str">
        <f>"РАЙОННЫЙ СУД"</f>
        <v>РАЙОННЫЙ СУД</v>
      </c>
      <c r="O646" t="str">
        <f>"454000"</f>
        <v>454000</v>
      </c>
      <c r="P646" t="str">
        <f>"ОБЛ ЧЕЛЯБИНСКАЯ"</f>
        <v>ОБЛ ЧЕЛЯБИНСКАЯ</v>
      </c>
      <c r="Q646" t="str">
        <f>""</f>
        <v/>
      </c>
      <c r="R646" t="str">
        <f>"Г ТРОИЦК"</f>
        <v>Г ТРОИЦК</v>
      </c>
      <c r="S646" t="str">
        <f>""</f>
        <v/>
      </c>
      <c r="T646" t="str">
        <f>"УЛ ЧАПАЕВА"</f>
        <v>УЛ ЧАПАЕВА</v>
      </c>
      <c r="U646" s="1" t="str">
        <f>"159"</f>
        <v>159</v>
      </c>
      <c r="V646" s="1" t="str">
        <f>""</f>
        <v/>
      </c>
      <c r="W646" s="1" t="str">
        <f>""</f>
        <v/>
      </c>
      <c r="X646" s="1" t="str">
        <f>""</f>
        <v/>
      </c>
      <c r="Y646" s="1" t="str">
        <f>""</f>
        <v/>
      </c>
      <c r="Z646" t="str">
        <f>""</f>
        <v/>
      </c>
      <c r="AA646" t="str">
        <f>"9320102275"</f>
        <v>9320102275</v>
      </c>
      <c r="AB646" t="str">
        <f>"9049768946"</f>
        <v>9049768946</v>
      </c>
      <c r="AC646" t="str">
        <f>"9320102275"</f>
        <v>9320102275</v>
      </c>
      <c r="AD646" t="str">
        <f>"9049768946"</f>
        <v>9049768946</v>
      </c>
      <c r="AE646" t="str">
        <f>""</f>
        <v/>
      </c>
    </row>
    <row r="647" spans="1:31" x14ac:dyDescent="0.45">
      <c r="A647" t="str">
        <f>"ИШМУХАМЕТОВА АЛСУ РИФОВНА"</f>
        <v>ИШМУХАМЕТОВА АЛСУ РИФОВНА</v>
      </c>
      <c r="B647" t="str">
        <f>"1981-05-25"</f>
        <v>1981-05-25</v>
      </c>
      <c r="C647" t="str">
        <f>"80 06 093985"</f>
        <v>80 06 093985</v>
      </c>
      <c r="D647" t="str">
        <f>"4854630375792978"</f>
        <v>4854630375792978</v>
      </c>
      <c r="E647" t="str">
        <f>"2020-11-30"</f>
        <v>2020-11-30</v>
      </c>
      <c r="F647" t="str">
        <f t="shared" si="109"/>
        <v>+</v>
      </c>
      <c r="G647" t="str">
        <f t="shared" si="109"/>
        <v>+</v>
      </c>
      <c r="H647" t="str">
        <f>"40817810716991427855"</f>
        <v>40817810716991427855</v>
      </c>
      <c r="I647" t="str">
        <f>"8598"</f>
        <v>8598</v>
      </c>
      <c r="J647" t="str">
        <f>"0158"</f>
        <v>0158</v>
      </c>
      <c r="K647" t="str">
        <f>"50000.00"</f>
        <v>50000.00</v>
      </c>
      <c r="L647" t="str">
        <f>"450000 РЕСП БАШКОРТОСТАН   Г УФА   УЛ ВЕТОШНИКОВА д. 60"</f>
        <v>450000 РЕСП БАШКОРТОСТАН   Г УФА   УЛ ВЕТОШНИКОВА д. 60</v>
      </c>
      <c r="M647" t="str">
        <f t="shared" si="108"/>
        <v>2019-08-24</v>
      </c>
      <c r="N647" t="s">
        <v>52</v>
      </c>
      <c r="O647" t="str">
        <f>"450000"</f>
        <v>450000</v>
      </c>
      <c r="P647" t="str">
        <f>"РЕСП БАШКОРТОСТАН"</f>
        <v>РЕСП БАШКОРТОСТАН</v>
      </c>
      <c r="Q647" t="str">
        <f>""</f>
        <v/>
      </c>
      <c r="R647" t="str">
        <f>"Г УФА"</f>
        <v>Г УФА</v>
      </c>
      <c r="S647" t="str">
        <f>""</f>
        <v/>
      </c>
      <c r="T647" t="str">
        <f>"УЛ БАРГУЗИНСКАЯ"</f>
        <v>УЛ БАРГУЗИНСКАЯ</v>
      </c>
      <c r="U647" s="1" t="str">
        <f>"6"</f>
        <v>6</v>
      </c>
      <c r="V647" s="1" t="str">
        <f>""</f>
        <v/>
      </c>
      <c r="W647" s="1" t="str">
        <f>""</f>
        <v/>
      </c>
      <c r="X647" s="1" t="str">
        <f>""</f>
        <v/>
      </c>
      <c r="Y647" s="1" t="str">
        <f>"70"</f>
        <v>70</v>
      </c>
      <c r="Z647" t="str">
        <f>"9273437283"</f>
        <v>9273437283</v>
      </c>
      <c r="AA647" t="str">
        <f>"9279664923"</f>
        <v>9279664923</v>
      </c>
      <c r="AB647" t="str">
        <f>"9273437283"</f>
        <v>9273437283</v>
      </c>
      <c r="AC647" t="str">
        <f>"9279664923"</f>
        <v>9279664923</v>
      </c>
      <c r="AD647" t="str">
        <f>"9273437283"</f>
        <v>9273437283</v>
      </c>
      <c r="AE647" t="str">
        <f>""</f>
        <v/>
      </c>
    </row>
    <row r="648" spans="1:31" x14ac:dyDescent="0.45">
      <c r="A648" t="str">
        <f>"ЧЕБАН АНАСТАСИЯ ВИКТОРОВНА"</f>
        <v>ЧЕБАН АНАСТАСИЯ ВИКТОРОВНА</v>
      </c>
      <c r="B648" t="str">
        <f>"1984-03-04"</f>
        <v>1984-03-04</v>
      </c>
      <c r="C648" t="str">
        <f>"75 05 755567"</f>
        <v>75 05 755567</v>
      </c>
      <c r="D648" t="str">
        <f>"4854630418327360"</f>
        <v>4854630418327360</v>
      </c>
      <c r="E648" t="str">
        <f>"2021-04-30"</f>
        <v>2021-04-30</v>
      </c>
      <c r="F648" t="str">
        <f t="shared" si="109"/>
        <v>+</v>
      </c>
      <c r="G648" t="str">
        <f t="shared" si="109"/>
        <v>+</v>
      </c>
      <c r="H648" t="str">
        <f>"40817810016991427856"</f>
        <v>40817810016991427856</v>
      </c>
      <c r="I648" t="str">
        <f>"8597"</f>
        <v>8597</v>
      </c>
      <c r="J648" t="str">
        <f>"0447"</f>
        <v>0447</v>
      </c>
      <c r="K648" t="str">
        <f>"175000.00"</f>
        <v>175000.00</v>
      </c>
      <c r="L648" t="str">
        <f>"454000 ОБЛ ЧЕЛЯБИНСКАЯ Р-Н ЧЕЛЯБИНСКИЙ   П НОВЫЙ КРЕМЕНКУЛЬ Б-Р СОЛНЕЧНЫЙ д. 1"</f>
        <v>454000 ОБЛ ЧЕЛЯБИНСКАЯ Р-Н ЧЕЛЯБИНСКИЙ   П НОВЫЙ КРЕМЕНКУЛЬ Б-Р СОЛНЕЧНЫЙ д. 1</v>
      </c>
      <c r="M648" t="str">
        <f t="shared" si="108"/>
        <v>2019-08-24</v>
      </c>
      <c r="N648" t="str">
        <f>"72001653"</f>
        <v>72001653</v>
      </c>
      <c r="O648" t="str">
        <f>"454000"</f>
        <v>454000</v>
      </c>
      <c r="P648" t="str">
        <f>"ОБЛ ЧЕЛЯБИНСКАЯ"</f>
        <v>ОБЛ ЧЕЛЯБИНСКАЯ</v>
      </c>
      <c r="Q648" t="str">
        <f>""</f>
        <v/>
      </c>
      <c r="R648" t="str">
        <f>"Г ТРОИЦК"</f>
        <v>Г ТРОИЦК</v>
      </c>
      <c r="S648" t="str">
        <f>""</f>
        <v/>
      </c>
      <c r="T648" t="str">
        <f>"УЛ КЛИМОВА"</f>
        <v>УЛ КЛИМОВА</v>
      </c>
      <c r="U648" s="1" t="str">
        <f>"10"</f>
        <v>10</v>
      </c>
      <c r="V648" s="1" t="str">
        <f>""</f>
        <v/>
      </c>
      <c r="W648" s="1" t="str">
        <f>""</f>
        <v/>
      </c>
      <c r="X648" s="1" t="str">
        <f>""</f>
        <v/>
      </c>
      <c r="Y648" s="1" t="str">
        <f>"1"</f>
        <v>1</v>
      </c>
      <c r="Z648" t="str">
        <f>"9517949815"</f>
        <v>9517949815</v>
      </c>
      <c r="AA648" t="str">
        <f>"3516525543"</f>
        <v>3516525543</v>
      </c>
      <c r="AB648" t="str">
        <f>"9517949815"</f>
        <v>9517949815</v>
      </c>
      <c r="AC648" t="str">
        <f>"9517949815"</f>
        <v>9517949815</v>
      </c>
      <c r="AD648" t="str">
        <f>"9517949815"</f>
        <v>9517949815</v>
      </c>
      <c r="AE648" t="str">
        <f>"9517949815"</f>
        <v>9517949815</v>
      </c>
    </row>
    <row r="649" spans="1:31" x14ac:dyDescent="0.45">
      <c r="A649" t="str">
        <f>"РУДАКОВ ПАВЕЛ ВИКТОРОВИЧ"</f>
        <v>РУДАКОВ ПАВЕЛ ВИКТОРОВИЧ</v>
      </c>
      <c r="B649" t="str">
        <f>"1979-07-06"</f>
        <v>1979-07-06</v>
      </c>
      <c r="C649" t="str">
        <f>"50 03 739081"</f>
        <v>50 03 739081</v>
      </c>
      <c r="D649" t="str">
        <f>"4854630121284221"</f>
        <v>4854630121284221</v>
      </c>
      <c r="E649" t="str">
        <f>"2021-11-30"</f>
        <v>2021-11-30</v>
      </c>
      <c r="F649" t="str">
        <f t="shared" si="109"/>
        <v>+</v>
      </c>
      <c r="G649" t="str">
        <f t="shared" si="109"/>
        <v>+</v>
      </c>
      <c r="H649" t="str">
        <f>"40817810816992456259"</f>
        <v>40817810816992456259</v>
      </c>
      <c r="I649" t="str">
        <f>"5940"</f>
        <v>5940</v>
      </c>
      <c r="J649" t="str">
        <f>"0102"</f>
        <v>0102</v>
      </c>
      <c r="K649" t="str">
        <f>"280000.00"</f>
        <v>280000.00</v>
      </c>
      <c r="L649" t="str">
        <f>"628300 ОБЛ ТЮМЕНСКАЯ АО ХАНТЫ-МАНСИЙСКИЙ Г НЕФТЕЮГАНСК   ЗОНА ПИОНЕРНАЯ 5П стр. 15 корп. 14"</f>
        <v>628300 ОБЛ ТЮМЕНСКАЯ АО ХАНТЫ-МАНСИЙСКИЙ Г НЕФТЕЮГАНСК   ЗОНА ПИОНЕРНАЯ 5П стр. 15 корп. 14</v>
      </c>
      <c r="M649" t="str">
        <f t="shared" si="108"/>
        <v>2019-08-24</v>
      </c>
      <c r="N649" t="str">
        <f>"ООО РЕМСЕРВИС"</f>
        <v>ООО РЕМСЕРВИС</v>
      </c>
      <c r="O649" t="str">
        <f>"628000"</f>
        <v>628000</v>
      </c>
      <c r="P649" t="str">
        <f>"ОБЛ НОВОСИБИРСКАЯ"</f>
        <v>ОБЛ НОВОСИБИРСКАЯ</v>
      </c>
      <c r="Q649" t="str">
        <f>"Р-Н ЧИСТООЗЕРНЫЙ"</f>
        <v>Р-Н ЧИСТООЗЕРНЫЙ</v>
      </c>
      <c r="R649" t="str">
        <f>""</f>
        <v/>
      </c>
      <c r="S649" t="str">
        <f>"С ШИПИЦЫНО"</f>
        <v>С ШИПИЦЫНО</v>
      </c>
      <c r="T649" t="str">
        <f>"УЛ ШКОЛЬНАЯ"</f>
        <v>УЛ ШКОЛЬНАЯ</v>
      </c>
      <c r="U649" s="1" t="str">
        <f>"9"</f>
        <v>9</v>
      </c>
      <c r="V649" s="1" t="str">
        <f>""</f>
        <v/>
      </c>
      <c r="W649" s="1" t="str">
        <f>""</f>
        <v/>
      </c>
      <c r="X649" s="1" t="str">
        <f>""</f>
        <v/>
      </c>
      <c r="Y649" s="1" t="str">
        <f>"2"</f>
        <v>2</v>
      </c>
      <c r="Z649" t="str">
        <f>"3463256375"</f>
        <v>3463256375</v>
      </c>
      <c r="AA649" t="str">
        <f>"9833024098"</f>
        <v>9833024098</v>
      </c>
      <c r="AB649" t="str">
        <f>"9825591867"</f>
        <v>9825591867</v>
      </c>
      <c r="AC649" t="str">
        <f>"9833024098"</f>
        <v>9833024098</v>
      </c>
      <c r="AD649" t="str">
        <f>"9825624037"</f>
        <v>9825624037</v>
      </c>
      <c r="AE649" t="str">
        <f>""</f>
        <v/>
      </c>
    </row>
    <row r="650" spans="1:31" x14ac:dyDescent="0.45">
      <c r="A650" t="str">
        <f>"МУРАШОВА ГАЛИНА ЛЕОНИДОВНА"</f>
        <v>МУРАШОВА ГАЛИНА ЛЕОНИДОВНА</v>
      </c>
      <c r="B650" t="str">
        <f>"1962-09-12"</f>
        <v>1962-09-12</v>
      </c>
      <c r="C650" t="str">
        <f>"65 08 388475"</f>
        <v>65 08 388475</v>
      </c>
      <c r="D650" t="str">
        <f>"4854630358956145"</f>
        <v>4854630358956145</v>
      </c>
      <c r="E650" t="str">
        <f>"2021-05-31"</f>
        <v>2021-05-31</v>
      </c>
      <c r="F650" t="str">
        <f t="shared" si="109"/>
        <v>+</v>
      </c>
      <c r="G650" t="str">
        <f t="shared" si="109"/>
        <v>+</v>
      </c>
      <c r="H650" t="str">
        <f>"40817810016991464194"</f>
        <v>40817810016991464194</v>
      </c>
      <c r="I650" t="str">
        <f>"7003"</f>
        <v>7003</v>
      </c>
      <c r="J650" t="str">
        <f>"0457"</f>
        <v>0457</v>
      </c>
      <c r="K650" t="str">
        <f>"30000.00"</f>
        <v>30000.00</v>
      </c>
      <c r="L650" t="str">
        <f>"620000 ОБЛ СВЕРДЛОВСКАЯ   Г ЕКАТЕРИНБУРГ   УЧ-К КОРОТКИЙ д. 1"</f>
        <v>620000 ОБЛ СВЕРДЛОВСКАЯ   Г ЕКАТЕРИНБУРГ   УЧ-К КОРОТКИЙ д. 1</v>
      </c>
      <c r="M650" t="str">
        <f t="shared" si="108"/>
        <v>2019-08-24</v>
      </c>
      <c r="N650" t="str">
        <f>"УРАЛЬСКИЙ ПОЛИТЕХНИКУМ"</f>
        <v>УРАЛЬСКИЙ ПОЛИТЕХНИКУМ</v>
      </c>
      <c r="O650" t="str">
        <f>"620000"</f>
        <v>620000</v>
      </c>
      <c r="P650" t="str">
        <f>"ОБЛ СВЕРДЛОВСКАЯ"</f>
        <v>ОБЛ СВЕРДЛОВСКАЯ</v>
      </c>
      <c r="Q650" t="str">
        <f>""</f>
        <v/>
      </c>
      <c r="R650" t="str">
        <f>"Г ЕКАТЕРИНБУРГ"</f>
        <v>Г ЕКАТЕРИНБУРГ</v>
      </c>
      <c r="S650" t="str">
        <f>""</f>
        <v/>
      </c>
      <c r="T650" t="str">
        <f>"ПЕР КОРОТКИЙ"</f>
        <v>ПЕР КОРОТКИЙ</v>
      </c>
      <c r="U650" s="1" t="str">
        <f>"15/18"</f>
        <v>15/18</v>
      </c>
      <c r="V650" s="1" t="str">
        <f>""</f>
        <v/>
      </c>
      <c r="W650" s="1" t="str">
        <f>""</f>
        <v/>
      </c>
      <c r="X650" s="1" t="str">
        <f>""</f>
        <v/>
      </c>
      <c r="Y650" s="1" t="str">
        <f>"86"</f>
        <v>86</v>
      </c>
      <c r="Z650" t="str">
        <f>"9045466495"</f>
        <v>9045466495</v>
      </c>
      <c r="AA650" t="str">
        <f>"9045466495"</f>
        <v>9045466495</v>
      </c>
      <c r="AB650" t="str">
        <f>"9045466495"</f>
        <v>9045466495</v>
      </c>
      <c r="AC650" t="str">
        <f>"9045466495"</f>
        <v>9045466495</v>
      </c>
      <c r="AD650" t="str">
        <f>"9045466495"</f>
        <v>9045466495</v>
      </c>
      <c r="AE650" t="str">
        <f>"9045466495"</f>
        <v>9045466495</v>
      </c>
    </row>
    <row r="651" spans="1:31" x14ac:dyDescent="0.45">
      <c r="A651" t="str">
        <f>"АСТАФЬЕВА ИРИНА ГЕОРГИЕВНА"</f>
        <v>АСТАФЬЕВА ИРИНА ГЕОРГИЕВНА</v>
      </c>
      <c r="B651" t="str">
        <f>"1989-07-13"</f>
        <v>1989-07-13</v>
      </c>
      <c r="C651" t="str">
        <f>"65 09 687311"</f>
        <v>65 09 687311</v>
      </c>
      <c r="D651" t="str">
        <f>"4854630413645022"</f>
        <v>4854630413645022</v>
      </c>
      <c r="E651" t="str">
        <f>"2021-05-31"</f>
        <v>2021-05-31</v>
      </c>
      <c r="F651" t="str">
        <f t="shared" si="109"/>
        <v>+</v>
      </c>
      <c r="G651" t="str">
        <f t="shared" si="109"/>
        <v>+</v>
      </c>
      <c r="H651" t="str">
        <f>"40817810316991464205"</f>
        <v>40817810316991464205</v>
      </c>
      <c r="I651" t="str">
        <f>"7003"</f>
        <v>7003</v>
      </c>
      <c r="J651" t="str">
        <f>"0294"</f>
        <v>0294</v>
      </c>
      <c r="K651" t="str">
        <f>"160000.00"</f>
        <v>160000.00</v>
      </c>
      <c r="L651" t="str">
        <f>"620000 ОБЛ СВЕРДЛОВСКАЯ   Г ЕКАТЕРИНБУРГ   ПР-КТ ЛЕНИНА д. 97"</f>
        <v>620000 ОБЛ СВЕРДЛОВСКАЯ   Г ЕКАТЕРИНБУРГ   ПР-КТ ЛЕНИНА д. 97</v>
      </c>
      <c r="M651" t="str">
        <f t="shared" si="108"/>
        <v>2019-08-24</v>
      </c>
      <c r="N651" t="str">
        <f>"НП ЦЕНТР СОВРЕМЕННОЙ ДРАМАТУРГИИ"</f>
        <v>НП ЦЕНТР СОВРЕМЕННОЙ ДРАМАТУРГИИ</v>
      </c>
      <c r="O651" t="str">
        <f>"620000"</f>
        <v>620000</v>
      </c>
      <c r="P651" t="str">
        <f>"ОБЛ СВЕРДЛОВСКАЯ"</f>
        <v>ОБЛ СВЕРДЛОВСКАЯ</v>
      </c>
      <c r="Q651" t="str">
        <f>""</f>
        <v/>
      </c>
      <c r="R651" t="str">
        <f>"Г НОВОУРАЛЬСК"</f>
        <v>Г НОВОУРАЛЬСК</v>
      </c>
      <c r="S651" t="str">
        <f>""</f>
        <v/>
      </c>
      <c r="T651" t="str">
        <f>"УЛ ФРУНЗЕ"</f>
        <v>УЛ ФРУНЗЕ</v>
      </c>
      <c r="U651" s="1" t="str">
        <f>"12"</f>
        <v>12</v>
      </c>
      <c r="V651" s="1" t="str">
        <f>""</f>
        <v/>
      </c>
      <c r="W651" s="1" t="str">
        <f>""</f>
        <v/>
      </c>
      <c r="X651" s="1" t="str">
        <f>""</f>
        <v/>
      </c>
      <c r="Y651" s="1" t="str">
        <f>"92"</f>
        <v>92</v>
      </c>
      <c r="Z651" t="str">
        <f>"343 3361606"</f>
        <v>343 3361606</v>
      </c>
      <c r="AA651" t="str">
        <f>"9538249989"</f>
        <v>9538249989</v>
      </c>
      <c r="AB651" t="str">
        <f>"9538249989"</f>
        <v>9538249989</v>
      </c>
      <c r="AC651" t="str">
        <f>"9538249989"</f>
        <v>9538249989</v>
      </c>
      <c r="AD651" t="str">
        <f>"9538249989"</f>
        <v>9538249989</v>
      </c>
      <c r="AE651" t="str">
        <f>""</f>
        <v/>
      </c>
    </row>
    <row r="652" spans="1:31" x14ac:dyDescent="0.45">
      <c r="A652" t="str">
        <f>"НАЙДАНОВ ДМИТРИЙ ЮРЬЕВИЧ"</f>
        <v>НАЙДАНОВ ДМИТРИЙ ЮРЬЕВИЧ</v>
      </c>
      <c r="B652" t="str">
        <f>"1986-01-29"</f>
        <v>1986-01-29</v>
      </c>
      <c r="C652" t="str">
        <f>"37 05 114544"</f>
        <v>37 05 114544</v>
      </c>
      <c r="D652" t="str">
        <f>"4279011667306180"</f>
        <v>4279011667306180</v>
      </c>
      <c r="E652" t="str">
        <f>"2021-05-31"</f>
        <v>2021-05-31</v>
      </c>
      <c r="F652" t="str">
        <f t="shared" si="109"/>
        <v>+</v>
      </c>
      <c r="G652" t="str">
        <f t="shared" si="109"/>
        <v>+</v>
      </c>
      <c r="H652" t="str">
        <f>"40817810616991427874"</f>
        <v>40817810616991427874</v>
      </c>
      <c r="I652" t="str">
        <f>"8597"</f>
        <v>8597</v>
      </c>
      <c r="J652" t="str">
        <f>"0177"</f>
        <v>0177</v>
      </c>
      <c r="K652" t="str">
        <f>"98000.00"</f>
        <v>98000.00</v>
      </c>
      <c r="L652" t="str">
        <f>"454000 ОБЛ ЧЕЛЯБИНСКАЯ   Г ЧЕЛЯБИНСК   УЛ СВОБОДЫ д. 106"</f>
        <v>454000 ОБЛ ЧЕЛЯБИНСКАЯ   Г ЧЕЛЯБИНСК   УЛ СВОБОДЫ д. 106</v>
      </c>
      <c r="M652" t="str">
        <f t="shared" si="108"/>
        <v>2019-08-24</v>
      </c>
      <c r="N652" t="str">
        <f>"ОАО РЖД"</f>
        <v>ОАО РЖД</v>
      </c>
      <c r="O652" t="str">
        <f>"454000"</f>
        <v>454000</v>
      </c>
      <c r="P652" t="str">
        <f>"ОБЛ ЧЕЛЯБИНСКАЯ"</f>
        <v>ОБЛ ЧЕЛЯБИНСКАЯ</v>
      </c>
      <c r="Q652" t="str">
        <f>""</f>
        <v/>
      </c>
      <c r="R652" t="str">
        <f>"Г ЧЕЛЯБИНСК"</f>
        <v>Г ЧЕЛЯБИНСК</v>
      </c>
      <c r="S652" t="str">
        <f>""</f>
        <v/>
      </c>
      <c r="T652" t="str">
        <f>"УЛ ВАГНЕРА"</f>
        <v>УЛ ВАГНЕРА</v>
      </c>
      <c r="U652" s="1" t="str">
        <f>"66А"</f>
        <v>66А</v>
      </c>
      <c r="V652" s="1" t="str">
        <f>""</f>
        <v/>
      </c>
      <c r="W652" s="1" t="str">
        <f>""</f>
        <v/>
      </c>
      <c r="X652" s="1" t="str">
        <f>""</f>
        <v/>
      </c>
      <c r="Y652" s="1" t="str">
        <f>"73"</f>
        <v>73</v>
      </c>
      <c r="Z652" t="str">
        <f>""</f>
        <v/>
      </c>
      <c r="AA652" t="str">
        <f>"9822861335"</f>
        <v>9822861335</v>
      </c>
      <c r="AB652" t="str">
        <f>"+7 (912) 7719389"</f>
        <v>+7 (912) 7719389</v>
      </c>
      <c r="AC652" t="str">
        <f>"9822861335"</f>
        <v>9822861335</v>
      </c>
      <c r="AD652" t="str">
        <f>"9193402375"</f>
        <v>9193402375</v>
      </c>
      <c r="AE652" t="str">
        <f>""</f>
        <v/>
      </c>
    </row>
    <row r="653" spans="1:31" x14ac:dyDescent="0.45">
      <c r="A653" t="str">
        <f>"ПОКРОВКА ТАТЬЯНА БОРИСОВНА"</f>
        <v>ПОКРОВКА ТАТЬЯНА БОРИСОВНА</v>
      </c>
      <c r="B653" t="str">
        <f>"1965-09-02"</f>
        <v>1965-09-02</v>
      </c>
      <c r="C653" t="str">
        <f>"67 10 039427"</f>
        <v>67 10 039427</v>
      </c>
      <c r="D653" t="str">
        <f>"5484016705677748"</f>
        <v>5484016705677748</v>
      </c>
      <c r="E653" t="str">
        <f>"2021-05-31"</f>
        <v>2021-05-31</v>
      </c>
      <c r="F653" t="str">
        <f t="shared" si="109"/>
        <v>+</v>
      </c>
      <c r="G653" t="str">
        <f t="shared" si="109"/>
        <v>+</v>
      </c>
      <c r="H653" t="str">
        <f>"40817810016992201660"</f>
        <v>40817810016992201660</v>
      </c>
      <c r="I653" t="str">
        <f>"1791"</f>
        <v>1791</v>
      </c>
      <c r="J653" t="str">
        <f>"0081"</f>
        <v>0081</v>
      </c>
      <c r="K653" t="str">
        <f>"20000.00"</f>
        <v>20000.00</v>
      </c>
      <c r="L653" t="str">
        <f>"628285 ОБЛ ТЮМЕНСКАЯ   Г УРАЙ   МКР ЗАПАДНЫЙ д. 19 кв. 54"</f>
        <v>628285 ОБЛ ТЮМЕНСКАЯ   Г УРАЙ   МКР ЗАПАДНЫЙ д. 19 кв. 54</v>
      </c>
      <c r="M653" t="str">
        <f t="shared" si="108"/>
        <v>2019-08-24</v>
      </c>
      <c r="N653" t="str">
        <f>"ПЕНСИОНЕР"</f>
        <v>ПЕНСИОНЕР</v>
      </c>
      <c r="O653" t="str">
        <f>"628285"</f>
        <v>628285</v>
      </c>
      <c r="P653" t="str">
        <f>"ОБЛ ТЮМЕНСКАЯ"</f>
        <v>ОБЛ ТЮМЕНСКАЯ</v>
      </c>
      <c r="Q653" t="str">
        <f>""</f>
        <v/>
      </c>
      <c r="R653" t="str">
        <f>"Г УРАЙ"</f>
        <v>Г УРАЙ</v>
      </c>
      <c r="S653" t="str">
        <f>""</f>
        <v/>
      </c>
      <c r="T653" t="str">
        <f>"МКР ЗАПАДНЫЙ"</f>
        <v>МКР ЗАПАДНЫЙ</v>
      </c>
      <c r="U653" s="1" t="str">
        <f>"19"</f>
        <v>19</v>
      </c>
      <c r="V653" s="1" t="str">
        <f>""</f>
        <v/>
      </c>
      <c r="W653" s="1" t="str">
        <f>""</f>
        <v/>
      </c>
      <c r="X653" s="1" t="str">
        <f>""</f>
        <v/>
      </c>
      <c r="Y653" s="1" t="str">
        <f>"54"</f>
        <v>54</v>
      </c>
      <c r="Z653" t="str">
        <f>""</f>
        <v/>
      </c>
      <c r="AA653" t="str">
        <f>"3467620758"</f>
        <v>3467620758</v>
      </c>
      <c r="AB653" t="str">
        <f>"9825133962"</f>
        <v>9825133962</v>
      </c>
      <c r="AC653" t="str">
        <f>"3467620758"</f>
        <v>3467620758</v>
      </c>
      <c r="AD653" t="str">
        <f>"9825133962"</f>
        <v>9825133962</v>
      </c>
      <c r="AE653" t="str">
        <f>""</f>
        <v/>
      </c>
    </row>
    <row r="654" spans="1:31" x14ac:dyDescent="0.45">
      <c r="A654" t="str">
        <f>"АЗАНОВ АЗАТ РАДИКОВИЧ"</f>
        <v>АЗАНОВ АЗАТ РАДИКОВИЧ</v>
      </c>
      <c r="B654" t="str">
        <f>"1996-01-16"</f>
        <v>1996-01-16</v>
      </c>
      <c r="C654" t="str">
        <f>"71 15 196573"</f>
        <v>71 15 196573</v>
      </c>
      <c r="D654" t="str">
        <f>"5469016704999324"</f>
        <v>5469016704999324</v>
      </c>
      <c r="E654" t="str">
        <f>"2021-05-31"</f>
        <v>2021-05-31</v>
      </c>
      <c r="F654" t="str">
        <f t="shared" si="109"/>
        <v>+</v>
      </c>
      <c r="G654" t="str">
        <f t="shared" si="109"/>
        <v>+</v>
      </c>
      <c r="H654" t="str">
        <f>"40817810716992200796"</f>
        <v>40817810716992200796</v>
      </c>
      <c r="I654" t="str">
        <f>"8647"</f>
        <v>8647</v>
      </c>
      <c r="J654" t="str">
        <f>"0308"</f>
        <v>0308</v>
      </c>
      <c r="K654" t="str">
        <f>"50000.00"</f>
        <v>50000.00</v>
      </c>
      <c r="L654" t="str">
        <f>"626240 ОБЛ ТЮМЕНСКАЯ Р-Н ВАГАЙСКИЙ   С ВАГАЙ УЛ МИРА д. 20"</f>
        <v>626240 ОБЛ ТЮМЕНСКАЯ Р-Н ВАГАЙСКИЙ   С ВАГАЙ УЛ МИРА д. 20</v>
      </c>
      <c r="M654" t="str">
        <f t="shared" si="108"/>
        <v>2019-08-24</v>
      </c>
      <c r="N654" t="str">
        <f>"МО МВД РОССИИ ТОБОЛЬСКИЙ"</f>
        <v>МО МВД РОССИИ ТОБОЛЬСКИЙ</v>
      </c>
      <c r="O654" t="str">
        <f>"626272"</f>
        <v>626272</v>
      </c>
      <c r="P654" t="str">
        <f>"ОБЛ ТЮМЕНСКАЯ"</f>
        <v>ОБЛ ТЮМЕНСКАЯ</v>
      </c>
      <c r="Q654" t="str">
        <f>"Р-Н ВАГАЙСКИЙ"</f>
        <v>Р-Н ВАГАЙСКИЙ</v>
      </c>
      <c r="R654" t="str">
        <f>""</f>
        <v/>
      </c>
      <c r="S654" t="str">
        <f>"Д КУЛЬМАМЕТСКАЯ"</f>
        <v>Д КУЛЬМАМЕТСКАЯ</v>
      </c>
      <c r="T654" t="str">
        <f>"УЛ ОКТЯБРЬСКАЯ"</f>
        <v>УЛ ОКТЯБРЬСКАЯ</v>
      </c>
      <c r="U654" s="1" t="str">
        <f>"10А"</f>
        <v>10А</v>
      </c>
      <c r="V654" s="1" t="str">
        <f>""</f>
        <v/>
      </c>
      <c r="W654" s="1" t="str">
        <f>""</f>
        <v/>
      </c>
      <c r="X654" s="1" t="str">
        <f>""</f>
        <v/>
      </c>
      <c r="Y654" s="1" t="str">
        <f>""</f>
        <v/>
      </c>
      <c r="Z654" t="str">
        <f>""</f>
        <v/>
      </c>
      <c r="AA654" t="str">
        <f>"9995481684"</f>
        <v>9995481684</v>
      </c>
      <c r="AB654" t="str">
        <f>"9995481684"</f>
        <v>9995481684</v>
      </c>
      <c r="AC654" t="str">
        <f>"9829475711"</f>
        <v>9829475711</v>
      </c>
      <c r="AD654" t="str">
        <f>"9995481684"</f>
        <v>9995481684</v>
      </c>
      <c r="AE654" t="str">
        <f>""</f>
        <v/>
      </c>
    </row>
    <row r="655" spans="1:31" x14ac:dyDescent="0.45">
      <c r="A655" t="str">
        <f>"СКВОРЦОВА ТАТЬЯНА АЛЕКСАНДРОВНА"</f>
        <v>СКВОРЦОВА ТАТЬЯНА АЛЕКСАНДРОВНА</v>
      </c>
      <c r="B655" t="str">
        <f>"1954-03-31"</f>
        <v>1954-03-31</v>
      </c>
      <c r="C655" t="str">
        <f>"75 03 549161"</f>
        <v>75 03 549161</v>
      </c>
      <c r="D655" t="str">
        <f>"4854630222908249"</f>
        <v>4854630222908249</v>
      </c>
      <c r="E655" t="str">
        <f>"2021-04-30"</f>
        <v>2021-04-30</v>
      </c>
      <c r="F655" t="str">
        <f t="shared" si="109"/>
        <v>+</v>
      </c>
      <c r="G655" t="str">
        <f t="shared" si="109"/>
        <v>+</v>
      </c>
      <c r="H655" t="str">
        <f>"40817810616991464125"</f>
        <v>40817810616991464125</v>
      </c>
      <c r="I655" t="str">
        <f>"8597"</f>
        <v>8597</v>
      </c>
      <c r="J655" t="str">
        <f>"0548"</f>
        <v>0548</v>
      </c>
      <c r="K655" t="str">
        <f>"60000.00"</f>
        <v>60000.00</v>
      </c>
      <c r="L655" t="str">
        <f>"454000 ОБЛ ЧЕЛЯБИНСКАЯ   Г ЧЕБАРКУЛЬ   УЛ ЧАПАЕВА д. 25"</f>
        <v>454000 ОБЛ ЧЕЛЯБИНСКАЯ   Г ЧЕБАРКУЛЬ   УЛ ЧАПАЕВА д. 25</v>
      </c>
      <c r="M655" t="str">
        <f t="shared" si="108"/>
        <v>2019-08-24</v>
      </c>
      <c r="N655" t="str">
        <f>"ПЕНСИОНЕР"</f>
        <v>ПЕНСИОНЕР</v>
      </c>
      <c r="O655" t="str">
        <f>"454000"</f>
        <v>454000</v>
      </c>
      <c r="P655" t="str">
        <f>"ОБЛ ЧЕЛЯБИНСКАЯ"</f>
        <v>ОБЛ ЧЕЛЯБИНСКАЯ</v>
      </c>
      <c r="Q655" t="str">
        <f>""</f>
        <v/>
      </c>
      <c r="R655" t="str">
        <f>"Г ЧЕБАРКУЛЬ"</f>
        <v>Г ЧЕБАРКУЛЬ</v>
      </c>
      <c r="S655" t="str">
        <f>""</f>
        <v/>
      </c>
      <c r="T655" t="str">
        <f>"УЛ ЧАПАЕВА"</f>
        <v>УЛ ЧАПАЕВА</v>
      </c>
      <c r="U655" s="1" t="str">
        <f>"25"</f>
        <v>25</v>
      </c>
      <c r="V655" s="1" t="str">
        <f>""</f>
        <v/>
      </c>
      <c r="W655" s="1" t="str">
        <f>""</f>
        <v/>
      </c>
      <c r="X655" s="1" t="str">
        <f>""</f>
        <v/>
      </c>
      <c r="Y655" s="1" t="str">
        <f>""</f>
        <v/>
      </c>
      <c r="Z655" t="str">
        <f>""</f>
        <v/>
      </c>
      <c r="AA655" t="str">
        <f>"9085838960"</f>
        <v>9085838960</v>
      </c>
      <c r="AB655" t="str">
        <f>"9087045676"</f>
        <v>9087045676</v>
      </c>
      <c r="AC655" t="str">
        <f>"9085838960"</f>
        <v>9085838960</v>
      </c>
      <c r="AD655" t="str">
        <f>"9087045676"</f>
        <v>9087045676</v>
      </c>
      <c r="AE655" t="str">
        <f>""</f>
        <v/>
      </c>
    </row>
    <row r="656" spans="1:31" x14ac:dyDescent="0.45">
      <c r="A656" t="str">
        <f>"ШАКУРОВА ИЛСУЯ ИСЛАМГАЛИЕВНА"</f>
        <v>ШАКУРОВА ИЛСУЯ ИСЛАМГАЛИЕВНА</v>
      </c>
      <c r="B656" t="str">
        <f>"1964-03-13"</f>
        <v>1964-03-13</v>
      </c>
      <c r="C656" t="str">
        <f>"65 11 225260"</f>
        <v>65 11 225260</v>
      </c>
      <c r="D656" t="str">
        <f>"4854630358864620"</f>
        <v>4854630358864620</v>
      </c>
      <c r="E656" t="str">
        <f>"2021-05-31"</f>
        <v>2021-05-31</v>
      </c>
      <c r="F656" t="str">
        <f t="shared" si="109"/>
        <v>+</v>
      </c>
      <c r="G656" t="str">
        <f t="shared" si="109"/>
        <v>+</v>
      </c>
      <c r="H656" t="str">
        <f>"40817810916991464126"</f>
        <v>40817810916991464126</v>
      </c>
      <c r="I656" t="str">
        <f>"7003"</f>
        <v>7003</v>
      </c>
      <c r="J656" t="str">
        <f>"0457"</f>
        <v>0457</v>
      </c>
      <c r="K656" t="str">
        <f>"15000.00"</f>
        <v>15000.00</v>
      </c>
      <c r="L656" t="str">
        <f>"620000 ОБЛ СВЕРДЛОВСКАЯ   Г ЕКАТЕРИНБУРГ   УЛ УШАКОВА д. 36"</f>
        <v>620000 ОБЛ СВЕРДЛОВСКАЯ   Г ЕКАТЕРИНБУРГ   УЛ УШАКОВА д. 36</v>
      </c>
      <c r="M656" t="str">
        <f t="shared" si="108"/>
        <v>2019-08-24</v>
      </c>
      <c r="N656" t="str">
        <f>"ООО СИТИ ПАРК"</f>
        <v>ООО СИТИ ПАРК</v>
      </c>
      <c r="O656" t="str">
        <f>"620000"</f>
        <v>620000</v>
      </c>
      <c r="P656" t="str">
        <f>"ОБЛ СВЕРДЛОВСКАЯ"</f>
        <v>ОБЛ СВЕРДЛОВСКАЯ</v>
      </c>
      <c r="Q656" t="str">
        <f>""</f>
        <v/>
      </c>
      <c r="R656" t="str">
        <f>"Г ЕКАТЕРИНБУРГ"</f>
        <v>Г ЕКАТЕРИНБУРГ</v>
      </c>
      <c r="S656" t="str">
        <f>""</f>
        <v/>
      </c>
      <c r="T656" t="str">
        <f>"УЛ ДОШКОЛЬНАЯ"</f>
        <v>УЛ ДОШКОЛЬНАЯ</v>
      </c>
      <c r="U656" s="1" t="str">
        <f>"2"</f>
        <v>2</v>
      </c>
      <c r="V656" s="1" t="str">
        <f>""</f>
        <v/>
      </c>
      <c r="W656" s="1" t="str">
        <f>""</f>
        <v/>
      </c>
      <c r="X656" s="1" t="str">
        <f>""</f>
        <v/>
      </c>
      <c r="Y656" s="1" t="str">
        <f>"7"</f>
        <v>7</v>
      </c>
      <c r="Z656" t="str">
        <f>"3432639747"</f>
        <v>3432639747</v>
      </c>
      <c r="AA656" t="str">
        <f>"9530397657"</f>
        <v>9530397657</v>
      </c>
      <c r="AB656" t="str">
        <f>"9086306920"</f>
        <v>9086306920</v>
      </c>
      <c r="AC656" t="str">
        <f>"9530397657"</f>
        <v>9530397657</v>
      </c>
      <c r="AD656" t="str">
        <f>"9530397657"</f>
        <v>9530397657</v>
      </c>
      <c r="AE656" t="str">
        <f>"9530397657"</f>
        <v>9530397657</v>
      </c>
    </row>
    <row r="657" spans="1:31" x14ac:dyDescent="0.45">
      <c r="A657" t="str">
        <f>"СЕМЕНОВА ЕЛЕНА ВЛАДИМИРОВНА"</f>
        <v>СЕМЕНОВА ЕЛЕНА ВЛАДИМИРОВНА</v>
      </c>
      <c r="B657" t="str">
        <f>"1988-02-28"</f>
        <v>1988-02-28</v>
      </c>
      <c r="C657" t="str">
        <f>"65 15 055819"</f>
        <v>65 15 055819</v>
      </c>
      <c r="D657" t="str">
        <f>"4854630216224629"</f>
        <v>4854630216224629</v>
      </c>
      <c r="E657" t="str">
        <f>"2021-04-30"</f>
        <v>2021-04-30</v>
      </c>
      <c r="F657" t="str">
        <f t="shared" si="109"/>
        <v>+</v>
      </c>
      <c r="G657" t="str">
        <f t="shared" si="109"/>
        <v>+</v>
      </c>
      <c r="H657" t="str">
        <f>"40817810516991427835"</f>
        <v>40817810516991427835</v>
      </c>
      <c r="I657" t="str">
        <f>"7003"</f>
        <v>7003</v>
      </c>
      <c r="J657" t="str">
        <f>"0465"</f>
        <v>0465</v>
      </c>
      <c r="K657" t="str">
        <f>"68000.00"</f>
        <v>68000.00</v>
      </c>
      <c r="L657" t="str">
        <f>"620000 ОБЛ СВЕРДЛОВСКАЯ   Г ЕКАТЕРИНБУРГ   УЛ 8 МАРТА д. 78А корп. Б"</f>
        <v>620000 ОБЛ СВЕРДЛОВСКАЯ   Г ЕКАТЕРИНБУРГ   УЛ 8 МАРТА д. 78А корп. Б</v>
      </c>
      <c r="M657" t="str">
        <f t="shared" si="108"/>
        <v>2019-08-24</v>
      </c>
      <c r="N657" t="str">
        <f>"МАУ ГОРОДСКОЙ ЦЕНТР МЕДИЦИНСКОЙ ПРОФИЛАКТИКИ"</f>
        <v>МАУ ГОРОДСКОЙ ЦЕНТР МЕДИЦИНСКОЙ ПРОФИЛАКТИКИ</v>
      </c>
      <c r="O657" t="str">
        <f>"620000"</f>
        <v>620000</v>
      </c>
      <c r="P657" t="str">
        <f>"ОБЛ СВЕРДЛОВСКАЯ"</f>
        <v>ОБЛ СВЕРДЛОВСКАЯ</v>
      </c>
      <c r="Q657" t="str">
        <f>""</f>
        <v/>
      </c>
      <c r="R657" t="str">
        <f>"Г ЕКАТЕРИНБУРГ"</f>
        <v>Г ЕКАТЕРИНБУРГ</v>
      </c>
      <c r="S657" t="str">
        <f>""</f>
        <v/>
      </c>
      <c r="T657" t="str">
        <f>"УЛ ВИЛЬГЕЛЬМА ДЕ ГЕННИНА"</f>
        <v>УЛ ВИЛЬГЕЛЬМА ДЕ ГЕННИНА</v>
      </c>
      <c r="U657" s="1" t="str">
        <f>"45"</f>
        <v>45</v>
      </c>
      <c r="V657" s="1" t="str">
        <f>""</f>
        <v/>
      </c>
      <c r="W657" s="1" t="str">
        <f>""</f>
        <v/>
      </c>
      <c r="X657" s="1" t="str">
        <f>""</f>
        <v/>
      </c>
      <c r="Y657" s="1" t="str">
        <f>"390"</f>
        <v>390</v>
      </c>
      <c r="Z657" t="str">
        <f>""</f>
        <v/>
      </c>
      <c r="AA657" t="str">
        <f>"9090001007"</f>
        <v>9090001007</v>
      </c>
      <c r="AB657" t="str">
        <f>"9090001007"</f>
        <v>9090001007</v>
      </c>
      <c r="AC657" t="str">
        <f>"9090001007"</f>
        <v>9090001007</v>
      </c>
      <c r="AD657" t="str">
        <f>"9090001007"</f>
        <v>9090001007</v>
      </c>
      <c r="AE657" t="str">
        <f>""</f>
        <v/>
      </c>
    </row>
    <row r="658" spans="1:31" x14ac:dyDescent="0.45">
      <c r="A658" t="str">
        <f>"ИСАКОВА ОЛЬГА НИКОЛАЕВНА"</f>
        <v>ИСАКОВА ОЛЬГА НИКОЛАЕВНА</v>
      </c>
      <c r="B658" t="str">
        <f>"1958-05-22"</f>
        <v>1958-05-22</v>
      </c>
      <c r="C658" t="str">
        <f>"65 04 520791"</f>
        <v>65 04 520791</v>
      </c>
      <c r="D658" t="str">
        <f>"4854630239200580"</f>
        <v>4854630239200580</v>
      </c>
      <c r="E658" t="str">
        <f>"2020-11-30"</f>
        <v>2020-11-30</v>
      </c>
      <c r="F658" t="str">
        <f>"M"</f>
        <v>M</v>
      </c>
      <c r="G658" t="str">
        <f t="shared" si="109"/>
        <v>+</v>
      </c>
      <c r="H658" t="str">
        <f>"40817810216991424691"</f>
        <v>40817810216991424691</v>
      </c>
      <c r="I658" t="str">
        <f>"7003"</f>
        <v>7003</v>
      </c>
      <c r="J658" t="str">
        <f>"0461"</f>
        <v>0461</v>
      </c>
      <c r="K658" t="str">
        <f>"31000.00"</f>
        <v>31000.00</v>
      </c>
      <c r="L658" t="str">
        <f>"620027 ОБЛ СВЕРДЛОВСКАЯ   Г ЕКАТЕРИНБУРГ   УЛ АЗИНА д. 10"</f>
        <v>620027 ОБЛ СВЕРДЛОВСКАЯ   Г ЕКАТЕРИНБУРГ   УЛ АЗИНА д. 10</v>
      </c>
      <c r="M658" t="str">
        <f t="shared" si="108"/>
        <v>2019-08-24</v>
      </c>
      <c r="N658" t="str">
        <f>"ПЕНСИОНЕР"</f>
        <v>ПЕНСИОНЕР</v>
      </c>
      <c r="O658" t="str">
        <f>"620014"</f>
        <v>620014</v>
      </c>
      <c r="P658" t="str">
        <f>"ОБЛ СВЕРДЛОВСКАЯ"</f>
        <v>ОБЛ СВЕРДЛОВСКАЯ</v>
      </c>
      <c r="Q658" t="str">
        <f>""</f>
        <v/>
      </c>
      <c r="R658" t="str">
        <f>"Г ЕКАТЕРИНБУРГ"</f>
        <v>Г ЕКАТЕРИНБУРГ</v>
      </c>
      <c r="S658" t="str">
        <f>""</f>
        <v/>
      </c>
      <c r="T658" t="str">
        <f>"УЛ САККО И ВАНЦЕТТИ"</f>
        <v>УЛ САККО И ВАНЦЕТТИ</v>
      </c>
      <c r="U658" s="1" t="str">
        <f>"100"</f>
        <v>100</v>
      </c>
      <c r="V658" s="1" t="str">
        <f>""</f>
        <v/>
      </c>
      <c r="W658" s="1" t="str">
        <f>""</f>
        <v/>
      </c>
      <c r="X658" s="1" t="str">
        <f>""</f>
        <v/>
      </c>
      <c r="Y658" s="1" t="str">
        <f>"1"</f>
        <v>1</v>
      </c>
      <c r="Z658" t="str">
        <f>""</f>
        <v/>
      </c>
      <c r="AA658" t="str">
        <f>"9028788403"</f>
        <v>9028788403</v>
      </c>
      <c r="AB658" t="str">
        <f>"9028788403"</f>
        <v>9028788403</v>
      </c>
      <c r="AC658" t="str">
        <f>"9028788403"</f>
        <v>9028788403</v>
      </c>
      <c r="AD658" t="str">
        <f>"9028788403"</f>
        <v>9028788403</v>
      </c>
      <c r="AE658" t="str">
        <f>""</f>
        <v/>
      </c>
    </row>
    <row r="659" spans="1:31" x14ac:dyDescent="0.45">
      <c r="A659" t="str">
        <f>"АФАНАСЬЕВ ВЛАДИМИР ИВАНОВИЧ"</f>
        <v>АФАНАСЬЕВ ВЛАДИМИР ИВАНОВИЧ</v>
      </c>
      <c r="B659" t="str">
        <f>"1961-12-02"</f>
        <v>1961-12-02</v>
      </c>
      <c r="C659" t="str">
        <f>"65 07 024893"</f>
        <v>65 07 024893</v>
      </c>
      <c r="D659" t="str">
        <f>"4854630298568844"</f>
        <v>4854630298568844</v>
      </c>
      <c r="E659" t="str">
        <f>"2020-04-30"</f>
        <v>2020-04-30</v>
      </c>
      <c r="F659" t="str">
        <f>"+"</f>
        <v>+</v>
      </c>
      <c r="G659" t="str">
        <f t="shared" si="109"/>
        <v>+</v>
      </c>
      <c r="H659" t="str">
        <f>"40817810516991424692"</f>
        <v>40817810516991424692</v>
      </c>
      <c r="I659" t="str">
        <f>"7003"</f>
        <v>7003</v>
      </c>
      <c r="J659" t="str">
        <f>"0393"</f>
        <v>0393</v>
      </c>
      <c r="K659" t="str">
        <f>"10000.00"</f>
        <v>10000.00</v>
      </c>
      <c r="L659" t="str">
        <f>"620027 ОБЛ СВЕРДЛОВСКАЯ   Г ЕКАТЕРИНБУРГ   УЛ АЗИНА д. 24"</f>
        <v>620027 ОБЛ СВЕРДЛОВСКАЯ   Г ЕКАТЕРИНБУРГ   УЛ АЗИНА д. 24</v>
      </c>
      <c r="M659" t="str">
        <f t="shared" si="108"/>
        <v>2019-08-24</v>
      </c>
      <c r="N659" t="str">
        <f>"ПЕНСИОНЕР"</f>
        <v>ПЕНСИОНЕР</v>
      </c>
      <c r="O659" t="str">
        <f>"620141"</f>
        <v>620141</v>
      </c>
      <c r="P659" t="str">
        <f>"ОБЛ СВЕРДЛОВСКАЯ"</f>
        <v>ОБЛ СВЕРДЛОВСКАЯ</v>
      </c>
      <c r="Q659" t="str">
        <f>""</f>
        <v/>
      </c>
      <c r="R659" t="str">
        <f>"Г ЕКАТЕРИНБУРГ"</f>
        <v>Г ЕКАТЕРИНБУРГ</v>
      </c>
      <c r="S659" t="str">
        <f>""</f>
        <v/>
      </c>
      <c r="T659" t="str">
        <f>"УЛ ПЕХОТИНЦЕВ"</f>
        <v>УЛ ПЕХОТИНЦЕВ</v>
      </c>
      <c r="U659" s="1" t="str">
        <f>"2"</f>
        <v>2</v>
      </c>
      <c r="V659" s="1" t="str">
        <f>""</f>
        <v/>
      </c>
      <c r="W659" s="1" t="str">
        <f>"3"</f>
        <v>3</v>
      </c>
      <c r="X659" s="1" t="str">
        <f>""</f>
        <v/>
      </c>
      <c r="Y659" s="1" t="str">
        <f>"8"</f>
        <v>8</v>
      </c>
      <c r="Z659" t="str">
        <f>""</f>
        <v/>
      </c>
      <c r="AA659" t="str">
        <f>"+7 (982) 6028832"</f>
        <v>+7 (982) 6028832</v>
      </c>
      <c r="AB659" t="str">
        <f>"+7 (901) 4303898"</f>
        <v>+7 (901) 4303898</v>
      </c>
      <c r="AC659" t="str">
        <f>"9826028832"</f>
        <v>9826028832</v>
      </c>
      <c r="AD659" t="str">
        <f>"9506442365"</f>
        <v>9506442365</v>
      </c>
      <c r="AE659" t="str">
        <f>""</f>
        <v/>
      </c>
    </row>
    <row r="660" spans="1:31" x14ac:dyDescent="0.45">
      <c r="A660" t="str">
        <f>"ДОКУЧАЕВ СЕРГЕЙ ВАЛЕНТИНОВИЧ"</f>
        <v>ДОКУЧАЕВ СЕРГЕЙ ВАЛЕНТИНОВИЧ</v>
      </c>
      <c r="B660" t="str">
        <f>"1960-07-30"</f>
        <v>1960-07-30</v>
      </c>
      <c r="C660" t="str">
        <f>"37 05 065594"</f>
        <v>37 05 065594</v>
      </c>
      <c r="D660" t="str">
        <f>"4854630407833832"</f>
        <v>4854630407833832</v>
      </c>
      <c r="E660" t="str">
        <f>"2021-04-30"</f>
        <v>2021-04-30</v>
      </c>
      <c r="F660" t="str">
        <f>"+"</f>
        <v>+</v>
      </c>
      <c r="G660" t="str">
        <f t="shared" si="109"/>
        <v>+</v>
      </c>
      <c r="H660" t="str">
        <f>"40817810716991464164"</f>
        <v>40817810716991464164</v>
      </c>
      <c r="I660" t="str">
        <f>"8599"</f>
        <v>8599</v>
      </c>
      <c r="J660" t="str">
        <f>"0290"</f>
        <v>0290</v>
      </c>
      <c r="K660" t="str">
        <f>"16000.00"</f>
        <v>16000.00</v>
      </c>
      <c r="L660" t="str">
        <f>"641000 ОБЛ КУРГАНСКАЯ   Г КУРГАН   УЛ 4-АЯ БОЛЬНИЧНАЯ д. 17"</f>
        <v>641000 ОБЛ КУРГАНСКАЯ   Г КУРГАН   УЛ 4-АЯ БОЛЬНИЧНАЯ д. 17</v>
      </c>
      <c r="M660" t="str">
        <f t="shared" si="108"/>
        <v>2019-08-24</v>
      </c>
      <c r="N660" t="str">
        <f>"ПФР РОССИИ"</f>
        <v>ПФР РОССИИ</v>
      </c>
      <c r="O660" t="str">
        <f>"641000"</f>
        <v>641000</v>
      </c>
      <c r="P660" t="str">
        <f>"ОБЛ КУРГАНСКАЯ"</f>
        <v>ОБЛ КУРГАНСКАЯ</v>
      </c>
      <c r="Q660" t="str">
        <f>"Р-Н КЕТОВСКИЙ"</f>
        <v>Р-Н КЕТОВСКИЙ</v>
      </c>
      <c r="R660" t="str">
        <f>""</f>
        <v/>
      </c>
      <c r="S660" t="str">
        <f>"С КОСТОУСОВО"</f>
        <v>С КОСТОУСОВО</v>
      </c>
      <c r="T660" t="str">
        <f>"УЛ БЕРЕГОВАЯ"</f>
        <v>УЛ БЕРЕГОВАЯ</v>
      </c>
      <c r="U660" s="1" t="str">
        <f>"57"</f>
        <v>57</v>
      </c>
      <c r="V660" s="1" t="str">
        <f>""</f>
        <v/>
      </c>
      <c r="W660" s="1" t="str">
        <f>""</f>
        <v/>
      </c>
      <c r="X660" s="1" t="str">
        <f>""</f>
        <v/>
      </c>
      <c r="Y660" s="1" t="str">
        <f>""</f>
        <v/>
      </c>
      <c r="Z660" t="str">
        <f>""</f>
        <v/>
      </c>
      <c r="AA660" t="str">
        <f>"9125236661"</f>
        <v>9125236661</v>
      </c>
      <c r="AB660" t="str">
        <f>"9125236661"</f>
        <v>9125236661</v>
      </c>
      <c r="AC660" t="str">
        <f>"9125236661"</f>
        <v>9125236661</v>
      </c>
      <c r="AD660" t="str">
        <f>"9125236661"</f>
        <v>9125236661</v>
      </c>
      <c r="AE660" t="str">
        <f>""</f>
        <v/>
      </c>
    </row>
    <row r="661" spans="1:31" x14ac:dyDescent="0.45">
      <c r="A661" t="str">
        <f>"СЕДНЕВЕЦ АЛИСА НИКОЛАЕВНА"</f>
        <v>СЕДНЕВЕЦ АЛИСА НИКОЛАЕВНА</v>
      </c>
      <c r="B661" t="str">
        <f>"1994-10-20"</f>
        <v>1994-10-20</v>
      </c>
      <c r="C661" t="str">
        <f>"74 14 874280"</f>
        <v>74 14 874280</v>
      </c>
      <c r="D661" t="str">
        <f>"5484016702317595"</f>
        <v>5484016702317595</v>
      </c>
      <c r="E661" t="str">
        <f>"2021-05-31"</f>
        <v>2021-05-31</v>
      </c>
      <c r="F661" t="str">
        <f>"K"</f>
        <v>K</v>
      </c>
      <c r="G661" t="str">
        <f t="shared" ref="G661:G665" si="110">"+"</f>
        <v>+</v>
      </c>
      <c r="H661" t="str">
        <f>"40817810716992200987"</f>
        <v>40817810716992200987</v>
      </c>
      <c r="I661" t="str">
        <f>"8369"</f>
        <v>8369</v>
      </c>
      <c r="J661" t="str">
        <f>"7770"</f>
        <v>7770</v>
      </c>
      <c r="K661" t="str">
        <f>"50000.00"</f>
        <v>50000.00</v>
      </c>
      <c r="L661" t="str">
        <f>"629300 ОБЛ ТЮМЕНСКАЯ АО ЯНАО Г НОВЫЙ УРЕНГОЙ   МКР ВОСТОЧНЫЙ д. 1 корп. 1"</f>
        <v>629300 ОБЛ ТЮМЕНСКАЯ АО ЯНАО Г НОВЫЙ УРЕНГОЙ   МКР ВОСТОЧНЫЙ д. 1 корп. 1</v>
      </c>
      <c r="M661" t="str">
        <f t="shared" si="108"/>
        <v>2019-08-24</v>
      </c>
      <c r="N661" t="str">
        <f>"67400085 ЯМАЛТРАНСАВТО"</f>
        <v>67400085 ЯМАЛТРАНСАВТО</v>
      </c>
      <c r="O661" t="str">
        <f>"629300"</f>
        <v>629300</v>
      </c>
      <c r="P661" t="str">
        <f>"ОБЛ ТЮМЕНСКАЯ"</f>
        <v>ОБЛ ТЮМЕНСКАЯ</v>
      </c>
      <c r="Q661" t="str">
        <f>"АО ЯНАО"</f>
        <v>АО ЯНАО</v>
      </c>
      <c r="R661" t="str">
        <f>"Г НОВЫЙ УРЕНГОЙ"</f>
        <v>Г НОВЫЙ УРЕНГОЙ</v>
      </c>
      <c r="S661" t="str">
        <f>""</f>
        <v/>
      </c>
      <c r="T661" t="str">
        <f>"УЛ СИБИРСКАЯ"</f>
        <v>УЛ СИБИРСКАЯ</v>
      </c>
      <c r="U661" s="1" t="str">
        <f>"21"</f>
        <v>21</v>
      </c>
      <c r="V661" s="1" t="str">
        <f>""</f>
        <v/>
      </c>
      <c r="W661" s="1" t="str">
        <f>""</f>
        <v/>
      </c>
      <c r="X661" s="1" t="str">
        <f>""</f>
        <v/>
      </c>
      <c r="Y661" s="1" t="str">
        <f>"65"</f>
        <v>65</v>
      </c>
      <c r="Z661" t="str">
        <f>"83147 33949"</f>
        <v>83147 33949</v>
      </c>
      <c r="AA661" t="str">
        <f>"3494921133"</f>
        <v>3494921133</v>
      </c>
      <c r="AB661" t="str">
        <f>"9044558767"</f>
        <v>9044558767</v>
      </c>
      <c r="AC661" t="str">
        <f>"3494921133"</f>
        <v>3494921133</v>
      </c>
      <c r="AD661" t="str">
        <f>"9044558767"</f>
        <v>9044558767</v>
      </c>
      <c r="AE661" t="str">
        <f>""</f>
        <v/>
      </c>
    </row>
    <row r="662" spans="1:31" x14ac:dyDescent="0.45">
      <c r="A662" t="str">
        <f>"РЫЖЕНКОВА ОЛЬГА МИХАЙЛОВНА"</f>
        <v>РЫЖЕНКОВА ОЛЬГА МИХАЙЛОВНА</v>
      </c>
      <c r="B662" t="str">
        <f>"1960-07-08"</f>
        <v>1960-07-08</v>
      </c>
      <c r="C662" t="str">
        <f>"75 04 549400"</f>
        <v>75 04 549400</v>
      </c>
      <c r="D662" t="str">
        <f>"4854630420569702"</f>
        <v>4854630420569702</v>
      </c>
      <c r="E662" t="str">
        <f>"2021-04-30"</f>
        <v>2021-04-30</v>
      </c>
      <c r="F662" t="str">
        <f>"+"</f>
        <v>+</v>
      </c>
      <c r="G662" t="str">
        <f t="shared" si="110"/>
        <v>+</v>
      </c>
      <c r="H662" t="str">
        <f>"40817810816991464174"</f>
        <v>40817810816991464174</v>
      </c>
      <c r="I662" t="str">
        <f>"8597"</f>
        <v>8597</v>
      </c>
      <c r="J662" t="str">
        <f>"0476"</f>
        <v>0476</v>
      </c>
      <c r="K662" t="str">
        <f>"15000.00"</f>
        <v>15000.00</v>
      </c>
      <c r="L662" t="str">
        <f>"454000 ОБЛ ЧЕЛЯБИНСКАЯ Р-Н КОРКИНСКИЙ   Г КОРКИНО ПР-КТ ГОРНЯКОВ д. 8"</f>
        <v>454000 ОБЛ ЧЕЛЯБИНСКАЯ Р-Н КОРКИНСКИЙ   Г КОРКИНО ПР-КТ ГОРНЯКОВ д. 8</v>
      </c>
      <c r="M662" t="str">
        <f t="shared" si="108"/>
        <v>2019-08-24</v>
      </c>
      <c r="N662" t="str">
        <f>"УПФР"</f>
        <v>УПФР</v>
      </c>
      <c r="O662" t="str">
        <f>"454000"</f>
        <v>454000</v>
      </c>
      <c r="P662" t="str">
        <f>"ОБЛ ЧЕЛЯБИНСКАЯ"</f>
        <v>ОБЛ ЧЕЛЯБИНСКАЯ</v>
      </c>
      <c r="Q662" t="str">
        <f>"Р-Н КОРКИНСКИЙ"</f>
        <v>Р-Н КОРКИНСКИЙ</v>
      </c>
      <c r="R662" t="str">
        <f>""</f>
        <v/>
      </c>
      <c r="S662" t="str">
        <f>"П ПЕРВОМАЙСКИЙ"</f>
        <v>П ПЕРВОМАЙСКИЙ</v>
      </c>
      <c r="T662" t="str">
        <f>"УЛ СТАДИОННАЯ"</f>
        <v>УЛ СТАДИОННАЯ</v>
      </c>
      <c r="U662" s="1" t="str">
        <f>"4"</f>
        <v>4</v>
      </c>
      <c r="V662" s="1" t="str">
        <f>""</f>
        <v/>
      </c>
      <c r="W662" s="1" t="str">
        <f>""</f>
        <v/>
      </c>
      <c r="X662" s="1" t="str">
        <f>""</f>
        <v/>
      </c>
      <c r="Y662" s="1" t="str">
        <f>"55"</f>
        <v>55</v>
      </c>
      <c r="Z662" t="str">
        <f>""</f>
        <v/>
      </c>
      <c r="AA662" t="str">
        <f>"+7 (912) 3280643"</f>
        <v>+7 (912) 3280643</v>
      </c>
      <c r="AB662" t="str">
        <f>"+7 (912) 3280643"</f>
        <v>+7 (912) 3280643</v>
      </c>
      <c r="AC662" t="str">
        <f>"9128077025"</f>
        <v>9128077025</v>
      </c>
      <c r="AD662" t="str">
        <f>"9123280643"</f>
        <v>9123280643</v>
      </c>
      <c r="AE662" t="str">
        <f>""</f>
        <v/>
      </c>
    </row>
    <row r="663" spans="1:31" x14ac:dyDescent="0.45">
      <c r="A663" t="str">
        <f>"ЕВДОКИМОВА НАДЕЖДА ВЛАДИМИРОВНА"</f>
        <v>ЕВДОКИМОВА НАДЕЖДА ВЛАДИМИРОВНА</v>
      </c>
      <c r="B663" t="str">
        <f>"1989-12-06"</f>
        <v>1989-12-06</v>
      </c>
      <c r="C663" t="str">
        <f>"67 16 559259"</f>
        <v>67 16 559259</v>
      </c>
      <c r="D663" t="str">
        <f>"4279016736181092"</f>
        <v>4279016736181092</v>
      </c>
      <c r="E663" t="str">
        <f>"2021-05-31"</f>
        <v>2021-05-31</v>
      </c>
      <c r="F663" t="str">
        <f>"+"</f>
        <v>+</v>
      </c>
      <c r="G663" t="str">
        <f t="shared" si="110"/>
        <v>+</v>
      </c>
      <c r="H663" t="str">
        <f>"40817810116992201939"</f>
        <v>40817810116992201939</v>
      </c>
      <c r="I663" t="str">
        <f>"5940"</f>
        <v>5940</v>
      </c>
      <c r="J663" t="str">
        <f>"0041"</f>
        <v>0041</v>
      </c>
      <c r="K663" t="str">
        <f>"19000.00"</f>
        <v>19000.00</v>
      </c>
      <c r="L663" t="str">
        <f>"628400 ОБЛ ТЮМЕНСКАЯ   Г СУРГУТ   УЛ ПРОИЗВОДСТВЕННАЯ д. 2"</f>
        <v>628400 ОБЛ ТЮМЕНСКАЯ   Г СУРГУТ   УЛ ПРОИЗВОДСТВЕННАЯ д. 2</v>
      </c>
      <c r="M663" t="str">
        <f t="shared" si="108"/>
        <v>2019-08-24</v>
      </c>
      <c r="N663" t="str">
        <f>"ОАО СНГ"</f>
        <v>ОАО СНГ</v>
      </c>
      <c r="O663" t="str">
        <f>"628400"</f>
        <v>628400</v>
      </c>
      <c r="P663" t="str">
        <f>"ОБЛ ТЮМЕНСКАЯ"</f>
        <v>ОБЛ ТЮМЕНСКАЯ</v>
      </c>
      <c r="Q663" t="str">
        <f>""</f>
        <v/>
      </c>
      <c r="R663" t="str">
        <f>"Г СУРГУТ"</f>
        <v>Г СУРГУТ</v>
      </c>
      <c r="S663" t="str">
        <f>""</f>
        <v/>
      </c>
      <c r="T663" t="str">
        <f>"УЛ МИРА"</f>
        <v>УЛ МИРА</v>
      </c>
      <c r="U663" s="1" t="str">
        <f>"6"</f>
        <v>6</v>
      </c>
      <c r="V663" s="1" t="str">
        <f>""</f>
        <v/>
      </c>
      <c r="W663" s="1" t="str">
        <f>""</f>
        <v/>
      </c>
      <c r="X663" s="1" t="str">
        <f>""</f>
        <v/>
      </c>
      <c r="Y663" s="1" t="str">
        <f>"48"</f>
        <v>48</v>
      </c>
      <c r="Z663" t="str">
        <f>""</f>
        <v/>
      </c>
      <c r="AA663" t="str">
        <f>"9224222233"</f>
        <v>9224222233</v>
      </c>
      <c r="AB663" t="str">
        <f>"9224068859"</f>
        <v>9224068859</v>
      </c>
      <c r="AC663" t="str">
        <f>"9224222233"</f>
        <v>9224222233</v>
      </c>
      <c r="AD663" t="str">
        <f>"9224301316"</f>
        <v>9224301316</v>
      </c>
      <c r="AE663" t="str">
        <f>""</f>
        <v/>
      </c>
    </row>
    <row r="664" spans="1:31" x14ac:dyDescent="0.45">
      <c r="A664" t="str">
        <f>"ШАФИКОВА МАРИЯ АЛЕКСАНДРОВНА"</f>
        <v>ШАФИКОВА МАРИЯ АЛЕКСАНДРОВНА</v>
      </c>
      <c r="B664" t="str">
        <f>"1984-05-28"</f>
        <v>1984-05-28</v>
      </c>
      <c r="C664" t="str">
        <f>"75 18 108484"</f>
        <v>75 18 108484</v>
      </c>
      <c r="D664" t="str">
        <f>"4854630405409874"</f>
        <v>4854630405409874</v>
      </c>
      <c r="E664" t="str">
        <f>"2021-04-30"</f>
        <v>2021-04-30</v>
      </c>
      <c r="F664" t="str">
        <f>"+"</f>
        <v>+</v>
      </c>
      <c r="G664" t="str">
        <f t="shared" si="110"/>
        <v>+</v>
      </c>
      <c r="H664" t="str">
        <f>"40817810016991464178"</f>
        <v>40817810016991464178</v>
      </c>
      <c r="I664" t="str">
        <f>"8597"</f>
        <v>8597</v>
      </c>
      <c r="J664" t="str">
        <f>"0132"</f>
        <v>0132</v>
      </c>
      <c r="K664" t="str">
        <f>"130000.00"</f>
        <v>130000.00</v>
      </c>
      <c r="L664" t="str">
        <f>"454000 ОБЛ ЧЕЛЯБИНСКАЯ Р-Н СОСНОВСКИЙ   С ДОЛГОДЕРЕВЕНСКОЕ УЛ ЛЕНИНА д. 28"</f>
        <v>454000 ОБЛ ЧЕЛЯБИНСКАЯ Р-Н СОСНОВСКИЙ   С ДОЛГОДЕРЕВЕНСКОЕ УЛ ЛЕНИНА д. 28</v>
      </c>
      <c r="M664" t="str">
        <f t="shared" si="108"/>
        <v>2019-08-24</v>
      </c>
      <c r="N664" t="str">
        <f>"ООО АГРОТОРГ"</f>
        <v>ООО АГРОТОРГ</v>
      </c>
      <c r="O664" t="str">
        <f>"454000"</f>
        <v>454000</v>
      </c>
      <c r="P664" t="str">
        <f>"ОБЛ ЧЕЛЯБИНСКАЯ"</f>
        <v>ОБЛ ЧЕЛЯБИНСКАЯ</v>
      </c>
      <c r="Q664" t="str">
        <f>"Р-Н СОСНОВСКИЙ"</f>
        <v>Р-Н СОСНОВСКИЙ</v>
      </c>
      <c r="R664" t="str">
        <f>""</f>
        <v/>
      </c>
      <c r="S664" t="str">
        <f>"Д КАЗАНЦЕВО"</f>
        <v>Д КАЗАНЦЕВО</v>
      </c>
      <c r="T664" t="str">
        <f>"УЛ СТРОИТЕЛЬНАЯ"</f>
        <v>УЛ СТРОИТЕЛЬНАЯ</v>
      </c>
      <c r="U664" s="1" t="str">
        <f>"20"</f>
        <v>20</v>
      </c>
      <c r="V664" s="1" t="str">
        <f>""</f>
        <v/>
      </c>
      <c r="W664" s="1" t="str">
        <f>""</f>
        <v/>
      </c>
      <c r="X664" s="1" t="str">
        <f>""</f>
        <v/>
      </c>
      <c r="Y664" s="1" t="str">
        <f>"97"</f>
        <v>97</v>
      </c>
      <c r="Z664" t="str">
        <f>""</f>
        <v/>
      </c>
      <c r="AA664" t="str">
        <f>"3510000000"</f>
        <v>3510000000</v>
      </c>
      <c r="AB664" t="str">
        <f>"9085789034"</f>
        <v>9085789034</v>
      </c>
      <c r="AC664" t="str">
        <f>"3510000000"</f>
        <v>3510000000</v>
      </c>
      <c r="AD664" t="str">
        <f>"9085789034"</f>
        <v>9085789034</v>
      </c>
      <c r="AE664" t="str">
        <f>""</f>
        <v/>
      </c>
    </row>
    <row r="665" spans="1:31" x14ac:dyDescent="0.45">
      <c r="A665" t="str">
        <f>"ВАЛЕЕВ РАФАИЛЬ ХУСНУТДИНОВИЧ"</f>
        <v>ВАЛЕЕВ РАФАИЛЬ ХУСНУТДИНОВИЧ</v>
      </c>
      <c r="B665" t="str">
        <f>"1967-01-12"</f>
        <v>1967-01-12</v>
      </c>
      <c r="C665" t="str">
        <f>"67 12 213614"</f>
        <v>67 12 213614</v>
      </c>
      <c r="D665" t="str">
        <f>"4854630373650616"</f>
        <v>4854630373650616</v>
      </c>
      <c r="E665" t="str">
        <f>"2021-04-30"</f>
        <v>2021-04-30</v>
      </c>
      <c r="F665" t="str">
        <f>"+"</f>
        <v>+</v>
      </c>
      <c r="G665" t="str">
        <f t="shared" si="110"/>
        <v>+</v>
      </c>
      <c r="H665" t="str">
        <f>"40817810816992092752"</f>
        <v>40817810816992092752</v>
      </c>
      <c r="I665" t="str">
        <f>"5940"</f>
        <v>5940</v>
      </c>
      <c r="J665" t="str">
        <f>"0138"</f>
        <v>0138</v>
      </c>
      <c r="K665" t="str">
        <f>"40000.00"</f>
        <v>40000.00</v>
      </c>
      <c r="L665" t="str">
        <f>"628600 ОБЛ ТЮМЕНСКАЯ     С ВЫСОКИЙ УЛ ЛЕНИНА д. 30 корп. 3 кв. 9"</f>
        <v>628600 ОБЛ ТЮМЕНСКАЯ     С ВЫСОКИЙ УЛ ЛЕНИНА д. 30 корп. 3 кв. 9</v>
      </c>
      <c r="M665" t="str">
        <f t="shared" si="108"/>
        <v>2019-08-24</v>
      </c>
      <c r="N665" t="str">
        <f>"ПЕНСИОНЕР"</f>
        <v>ПЕНСИОНЕР</v>
      </c>
      <c r="O665" t="str">
        <f>"628600"</f>
        <v>628600</v>
      </c>
      <c r="P665" t="str">
        <f>"ОБЛ ТЮМЕНСКАЯ"</f>
        <v>ОБЛ ТЮМЕНСКАЯ</v>
      </c>
      <c r="Q665" t="str">
        <f>""</f>
        <v/>
      </c>
      <c r="R665" t="str">
        <f>""</f>
        <v/>
      </c>
      <c r="S665" t="str">
        <f>"П ВЫСОКИЙ"</f>
        <v>П ВЫСОКИЙ</v>
      </c>
      <c r="T665" t="str">
        <f>"УЛ ЛЕНИНА"</f>
        <v>УЛ ЛЕНИНА</v>
      </c>
      <c r="U665" s="1" t="str">
        <f>"30"</f>
        <v>30</v>
      </c>
      <c r="V665" s="1" t="str">
        <f>""</f>
        <v/>
      </c>
      <c r="W665" s="1" t="str">
        <f>"3"</f>
        <v>3</v>
      </c>
      <c r="X665" s="1" t="str">
        <f>""</f>
        <v/>
      </c>
      <c r="Y665" s="1" t="str">
        <f>"9"</f>
        <v>9</v>
      </c>
      <c r="Z665" t="str">
        <f>"9324072124"</f>
        <v>9324072124</v>
      </c>
      <c r="AA665" t="str">
        <f>"9825899215"</f>
        <v>9825899215</v>
      </c>
      <c r="AB665" t="str">
        <f>"9825899215"</f>
        <v>9825899215</v>
      </c>
      <c r="AC665" t="str">
        <f>"9324072124"</f>
        <v>9324072124</v>
      </c>
      <c r="AD665" t="str">
        <f>"9825899215"</f>
        <v>9825899215</v>
      </c>
      <c r="AE665" t="str">
        <f>"9324072124"</f>
        <v>9324072124</v>
      </c>
    </row>
    <row r="666" spans="1:31" x14ac:dyDescent="0.45">
      <c r="A666" t="str">
        <f>"МАТУСЕЕВА АНЖЕЛИКА НИКОЛАЕВНА"</f>
        <v>МАТУСЕЕВА АНЖЕЛИКА НИКОЛАЕВНА</v>
      </c>
      <c r="B666" t="str">
        <f>"1988-10-20"</f>
        <v>1988-10-20</v>
      </c>
      <c r="C666" t="str">
        <f>"65 08 604399"</f>
        <v>65 08 604399</v>
      </c>
      <c r="D666" t="str">
        <f>"5313100863829114"</f>
        <v>5313100863829114</v>
      </c>
      <c r="E666" t="str">
        <f>"2019-03-31"</f>
        <v>2019-03-31</v>
      </c>
      <c r="F666" t="str">
        <f>"Q"</f>
        <v>Q</v>
      </c>
      <c r="G666" t="str">
        <f>"Q"</f>
        <v>Q</v>
      </c>
      <c r="H666" t="str">
        <f>"40817810616991464206"</f>
        <v>40817810616991464206</v>
      </c>
      <c r="I666" t="str">
        <f>"7003"</f>
        <v>7003</v>
      </c>
      <c r="J666" t="str">
        <f>"0778"</f>
        <v>0778</v>
      </c>
      <c r="K666" t="str">
        <f>"0.00"</f>
        <v>0.00</v>
      </c>
      <c r="L666" t="str">
        <f>"999999 Г НЕ УКАЗАН         д. 1"</f>
        <v>999999 Г НЕ УКАЗАН         д. 1</v>
      </c>
      <c r="M666" t="str">
        <f t="shared" si="108"/>
        <v>2019-08-24</v>
      </c>
      <c r="N666" t="str">
        <f>"НЕ УКАЗАНО"</f>
        <v>НЕ УКАЗАНО</v>
      </c>
      <c r="O666" t="str">
        <f>"623905"</f>
        <v>623905</v>
      </c>
      <c r="P666" t="str">
        <f>"ОБЛ СВЕРДЛОВСКАЯ"</f>
        <v>ОБЛ СВЕРДЛОВСКАЯ</v>
      </c>
      <c r="Q666" t="str">
        <f>"Р-Н ТУРИНСКИЙ"</f>
        <v>Р-Н ТУРИНСКИЙ</v>
      </c>
      <c r="R666" t="str">
        <f>"Г ТУРИНСК"</f>
        <v>Г ТУРИНСК</v>
      </c>
      <c r="S666" t="str">
        <f>""</f>
        <v/>
      </c>
      <c r="T666" t="str">
        <f>"ПЕР РАБОЧИЙ"</f>
        <v>ПЕР РАБОЧИЙ</v>
      </c>
      <c r="U666" s="1" t="str">
        <f>"4"</f>
        <v>4</v>
      </c>
      <c r="V666" s="1" t="str">
        <f>""</f>
        <v/>
      </c>
      <c r="W666" s="1" t="str">
        <f>""</f>
        <v/>
      </c>
      <c r="X666" s="1" t="str">
        <f>""</f>
        <v/>
      </c>
      <c r="Y666" s="1" t="str">
        <f>""</f>
        <v/>
      </c>
      <c r="Z666" t="str">
        <f>"9090119220"</f>
        <v>9090119220</v>
      </c>
      <c r="AA666" t="str">
        <f>"9220030160"</f>
        <v>9220030160</v>
      </c>
      <c r="AB666" t="str">
        <f>"9090119220"</f>
        <v>9090119220</v>
      </c>
      <c r="AC666" t="str">
        <f>"9220030160"</f>
        <v>9220030160</v>
      </c>
      <c r="AD666" t="str">
        <f>"9090119220"</f>
        <v>9090119220</v>
      </c>
      <c r="AE666" t="str">
        <f>""</f>
        <v/>
      </c>
    </row>
    <row r="667" spans="1:31" x14ac:dyDescent="0.45">
      <c r="A667" t="str">
        <f>"ПЕТРОСЯН ЮЛИЯ РУСТАМОВНА"</f>
        <v>ПЕТРОСЯН ЮЛИЯ РУСТАМОВНА</v>
      </c>
      <c r="B667" t="str">
        <f>"1985-03-08"</f>
        <v>1985-03-08</v>
      </c>
      <c r="C667" t="str">
        <f>"80 10 174043"</f>
        <v>80 10 174043</v>
      </c>
      <c r="D667" t="str">
        <f>"4276011638095873"</f>
        <v>4276011638095873</v>
      </c>
      <c r="E667" t="str">
        <f>"2021-05-31"</f>
        <v>2021-05-31</v>
      </c>
      <c r="F667" t="str">
        <f t="shared" ref="F667:G682" si="111">"+"</f>
        <v>+</v>
      </c>
      <c r="G667" t="str">
        <f t="shared" si="111"/>
        <v>+</v>
      </c>
      <c r="H667" t="str">
        <f>"40817810916991427875"</f>
        <v>40817810916991427875</v>
      </c>
      <c r="I667" t="str">
        <f>"8598"</f>
        <v>8598</v>
      </c>
      <c r="J667" t="str">
        <f>"0194"</f>
        <v>0194</v>
      </c>
      <c r="K667" t="str">
        <f>"15000.00"</f>
        <v>15000.00</v>
      </c>
      <c r="L667" t="str">
        <f>"450000 РЕСП БАШКОРТОСТАН   Г УФА   УЛ АЙСКАЯ д. 67"</f>
        <v>450000 РЕСП БАШКОРТОСТАН   Г УФА   УЛ АЙСКАЯ д. 67</v>
      </c>
      <c r="M667" t="str">
        <f t="shared" si="108"/>
        <v>2019-08-24</v>
      </c>
      <c r="N667" t="str">
        <f>"БАНК ОТКРЫТИЕ"</f>
        <v>БАНК ОТКРЫТИЕ</v>
      </c>
      <c r="O667" t="str">
        <f>"450000"</f>
        <v>450000</v>
      </c>
      <c r="P667" t="str">
        <f>"РЕСП БАШКОРТОСТАН"</f>
        <v>РЕСП БАШКОРТОСТАН</v>
      </c>
      <c r="Q667" t="str">
        <f>""</f>
        <v/>
      </c>
      <c r="R667" t="str">
        <f>"Г УФА"</f>
        <v>Г УФА</v>
      </c>
      <c r="S667" t="str">
        <f>""</f>
        <v/>
      </c>
      <c r="T667" t="str">
        <f>"УЛ ВЛАДИВОСТОКСКАЯ"</f>
        <v>УЛ ВЛАДИВОСТОКСКАЯ</v>
      </c>
      <c r="U667" s="1" t="str">
        <f>"12"</f>
        <v>12</v>
      </c>
      <c r="V667" s="1" t="str">
        <f>""</f>
        <v/>
      </c>
      <c r="W667" s="1" t="str">
        <f>""</f>
        <v/>
      </c>
      <c r="X667" s="1" t="str">
        <f>""</f>
        <v/>
      </c>
      <c r="Y667" s="1" t="str">
        <f>"462"</f>
        <v>462</v>
      </c>
      <c r="Z667" t="str">
        <f>""</f>
        <v/>
      </c>
      <c r="AA667" t="str">
        <f>"9871072518"</f>
        <v>9871072518</v>
      </c>
      <c r="AB667" t="str">
        <f>"9871072518"</f>
        <v>9871072518</v>
      </c>
      <c r="AC667" t="str">
        <f>""</f>
        <v/>
      </c>
      <c r="AD667" t="str">
        <f>"9871072518"</f>
        <v>9871072518</v>
      </c>
      <c r="AE667" t="str">
        <f>""</f>
        <v/>
      </c>
    </row>
    <row r="668" spans="1:31" x14ac:dyDescent="0.45">
      <c r="A668" t="str">
        <f>"ГРОМОВА АКСАНА АЛЕКСАНДРОВНА"</f>
        <v>ГРОМОВА АКСАНА АЛЕКСАНДРОВНА</v>
      </c>
      <c r="B668" t="str">
        <f>"1979-09-12"</f>
        <v>1979-09-12</v>
      </c>
      <c r="C668" t="str">
        <f>"50 11 902808"</f>
        <v>50 11 902808</v>
      </c>
      <c r="D668" t="str">
        <f>"4279011630414962"</f>
        <v>4279011630414962</v>
      </c>
      <c r="E668" t="str">
        <f>"2021-05-31"</f>
        <v>2021-05-31</v>
      </c>
      <c r="F668" t="str">
        <f t="shared" si="111"/>
        <v>+</v>
      </c>
      <c r="G668" t="str">
        <f t="shared" si="111"/>
        <v>+</v>
      </c>
      <c r="H668" t="str">
        <f>"40817810716991427884"</f>
        <v>40817810716991427884</v>
      </c>
      <c r="I668" t="str">
        <f>"8598"</f>
        <v>8598</v>
      </c>
      <c r="J668" t="str">
        <f>"0372"</f>
        <v>0372</v>
      </c>
      <c r="K668" t="str">
        <f>"100000.00"</f>
        <v>100000.00</v>
      </c>
      <c r="L668" t="str">
        <f>"450000 РЕСП БАШКОРТОСТАН   Г СТЕРЛИТАМАК   УЛ КРАСНОГВАРДЕЙСКАЯ д. 5"</f>
        <v>450000 РЕСП БАШКОРТОСТАН   Г СТЕРЛИТАМАК   УЛ КРАСНОГВАРДЕЙСКАЯ д. 5</v>
      </c>
      <c r="M668" t="str">
        <f t="shared" si="108"/>
        <v>2019-08-24</v>
      </c>
      <c r="N668" t="str">
        <f>"ИП ГУДКОВА"</f>
        <v>ИП ГУДКОВА</v>
      </c>
      <c r="O668" t="str">
        <f>"450000"</f>
        <v>450000</v>
      </c>
      <c r="P668" t="str">
        <f>"РЕСП БАШКОРТОСТАН"</f>
        <v>РЕСП БАШКОРТОСТАН</v>
      </c>
      <c r="Q668" t="str">
        <f>""</f>
        <v/>
      </c>
      <c r="R668" t="str">
        <f>"Г СТЕРЛИТАМАК"</f>
        <v>Г СТЕРЛИТАМАК</v>
      </c>
      <c r="S668" t="str">
        <f>""</f>
        <v/>
      </c>
      <c r="T668" t="str">
        <f>"УЛ НАГУМАНОВА"</f>
        <v>УЛ НАГУМАНОВА</v>
      </c>
      <c r="U668" s="1" t="str">
        <f>"25"</f>
        <v>25</v>
      </c>
      <c r="V668" s="1" t="str">
        <f>""</f>
        <v/>
      </c>
      <c r="W668" s="1" t="str">
        <f>"Е"</f>
        <v>Е</v>
      </c>
      <c r="X668" s="1" t="str">
        <f>""</f>
        <v/>
      </c>
      <c r="Y668" s="1" t="str">
        <f>"103"</f>
        <v>103</v>
      </c>
      <c r="Z668" t="str">
        <f>"9275369629"</f>
        <v>9275369629</v>
      </c>
      <c r="AA668" t="str">
        <f>"9275369629"</f>
        <v>9275369629</v>
      </c>
      <c r="AB668" t="str">
        <f>"9275369629"</f>
        <v>9275369629</v>
      </c>
      <c r="AC668" t="str">
        <f>"9275369629"</f>
        <v>9275369629</v>
      </c>
      <c r="AD668" t="str">
        <f>"9275369629"</f>
        <v>9275369629</v>
      </c>
      <c r="AE668" t="str">
        <f>"9275369629"</f>
        <v>9275369629</v>
      </c>
    </row>
    <row r="669" spans="1:31" x14ac:dyDescent="0.45">
      <c r="A669" t="str">
        <f>"ХУЗИН РЕНАТ ХАЛИЛЕВИЧ"</f>
        <v>ХУЗИН РЕНАТ ХАЛИЛЕВИЧ</v>
      </c>
      <c r="B669" t="str">
        <f>"1981-08-06"</f>
        <v>1981-08-06</v>
      </c>
      <c r="C669" t="str">
        <f>"67 02 744630"</f>
        <v>67 02 744630</v>
      </c>
      <c r="D669" t="str">
        <f>"4854630381731259"</f>
        <v>4854630381731259</v>
      </c>
      <c r="E669" t="str">
        <f>"2021-04-30"</f>
        <v>2021-04-30</v>
      </c>
      <c r="F669" t="str">
        <f t="shared" si="111"/>
        <v>+</v>
      </c>
      <c r="G669" t="str">
        <f t="shared" si="111"/>
        <v>+</v>
      </c>
      <c r="H669" t="str">
        <f>"40817810116992066307"</f>
        <v>40817810116992066307</v>
      </c>
      <c r="I669" t="str">
        <f>"1791"</f>
        <v>1791</v>
      </c>
      <c r="J669" t="str">
        <f>"0102"</f>
        <v>0102</v>
      </c>
      <c r="K669" t="str">
        <f>"50000.00"</f>
        <v>50000.00</v>
      </c>
      <c r="L669" t="str">
        <f>"628183 ОБЛ ТЮМЕНСКАЯ   Г НЯГАНЬ   УЛ СИБИРСКАЯ д. 18"</f>
        <v>628183 ОБЛ ТЮМЕНСКАЯ   Г НЯГАНЬ   УЛ СИБИРСКАЯ д. 18</v>
      </c>
      <c r="M669" t="str">
        <f t="shared" si="108"/>
        <v>2019-08-24</v>
      </c>
      <c r="N669" t="str">
        <f>"АО УТТ"</f>
        <v>АО УТТ</v>
      </c>
      <c r="O669" t="str">
        <f>"628181"</f>
        <v>628181</v>
      </c>
      <c r="P669" t="str">
        <f>"ОБЛ ТЮМЕНСКАЯ"</f>
        <v>ОБЛ ТЮМЕНСКАЯ</v>
      </c>
      <c r="Q669" t="str">
        <f>""</f>
        <v/>
      </c>
      <c r="R669" t="str">
        <f>"Г НЯГАНЬ"</f>
        <v>Г НЯГАНЬ</v>
      </c>
      <c r="S669" t="str">
        <f>""</f>
        <v/>
      </c>
      <c r="T669" t="str">
        <f>"УЛ 2 МИКРОРАЙОН"</f>
        <v>УЛ 2 МИКРОРАЙОН</v>
      </c>
      <c r="U669" s="1" t="str">
        <f>"6"</f>
        <v>6</v>
      </c>
      <c r="V669" s="1" t="str">
        <f>""</f>
        <v/>
      </c>
      <c r="W669" s="1" t="str">
        <f>""</f>
        <v/>
      </c>
      <c r="X669" s="1" t="str">
        <f>""</f>
        <v/>
      </c>
      <c r="Y669" s="1" t="str">
        <f>"40"</f>
        <v>40</v>
      </c>
      <c r="Z669" t="str">
        <f>"9044503860"</f>
        <v>9044503860</v>
      </c>
      <c r="AA669" t="str">
        <f>"9822070516"</f>
        <v>9822070516</v>
      </c>
      <c r="AB669" t="str">
        <f>"9505338799"</f>
        <v>9505338799</v>
      </c>
      <c r="AC669" t="str">
        <f>"9822070516"</f>
        <v>9822070516</v>
      </c>
      <c r="AD669" t="str">
        <f>"9505338799"</f>
        <v>9505338799</v>
      </c>
      <c r="AE669" t="str">
        <f>"9044503860"</f>
        <v>9044503860</v>
      </c>
    </row>
    <row r="670" spans="1:31" x14ac:dyDescent="0.45">
      <c r="A670" t="str">
        <f>"ПАЛКИНА ВАЛЕНТИНА ВЛАДИМИРОВНА"</f>
        <v>ПАЛКИНА ВАЛЕНТИНА ВЛАДИМИРОВНА</v>
      </c>
      <c r="B670" t="str">
        <f>"1953-09-27"</f>
        <v>1953-09-27</v>
      </c>
      <c r="C670" t="str">
        <f>"74 03 362262"</f>
        <v>74 03 362262</v>
      </c>
      <c r="D670" t="str">
        <f>"4854630213157780"</f>
        <v>4854630213157780</v>
      </c>
      <c r="E670" t="str">
        <f>"2021-04-30"</f>
        <v>2021-04-30</v>
      </c>
      <c r="F670" t="str">
        <f t="shared" si="111"/>
        <v>+</v>
      </c>
      <c r="G670" t="str">
        <f t="shared" si="111"/>
        <v>+</v>
      </c>
      <c r="H670" t="str">
        <f>"40817810016992066452"</f>
        <v>40817810016992066452</v>
      </c>
      <c r="I670" t="str">
        <f>"8369"</f>
        <v>8369</v>
      </c>
      <c r="J670" t="str">
        <f>"0032"</f>
        <v>0032</v>
      </c>
      <c r="K670" t="str">
        <f>"200000.00"</f>
        <v>200000.00</v>
      </c>
      <c r="L670" t="str">
        <f>"629603 ОБЛ ТЮМЕНСКАЯ АО ЯНАО Г МУРАВЛЕНКО   УЛ МУРАВЛЕНКО д. 31"</f>
        <v>629603 ОБЛ ТЮМЕНСКАЯ АО ЯНАО Г МУРАВЛЕНКО   УЛ МУРАВЛЕНКО д. 31</v>
      </c>
      <c r="M670" t="str">
        <f t="shared" si="108"/>
        <v>2019-08-24</v>
      </c>
      <c r="N670" t="str">
        <f>"ПЕНСИОНЕР"</f>
        <v>ПЕНСИОНЕР</v>
      </c>
      <c r="O670" t="str">
        <f>"629600"</f>
        <v>629600</v>
      </c>
      <c r="P670" t="str">
        <f>"ОБЛ ТЮМЕНСКАЯ"</f>
        <v>ОБЛ ТЮМЕНСКАЯ</v>
      </c>
      <c r="Q670" t="str">
        <f>"АО ЯНАО"</f>
        <v>АО ЯНАО</v>
      </c>
      <c r="R670" t="str">
        <f>"Г МУРАВЛЕНКО"</f>
        <v>Г МУРАВЛЕНКО</v>
      </c>
      <c r="S670" t="str">
        <f>""</f>
        <v/>
      </c>
      <c r="T670" t="str">
        <f>"ПЕР НЕФТЯНИКОВ"</f>
        <v>ПЕР НЕФТЯНИКОВ</v>
      </c>
      <c r="U670" s="1" t="str">
        <f>"11"</f>
        <v>11</v>
      </c>
      <c r="V670" s="1" t="str">
        <f>""</f>
        <v/>
      </c>
      <c r="W670" s="1" t="str">
        <f>""</f>
        <v/>
      </c>
      <c r="X670" s="1" t="str">
        <f>""</f>
        <v/>
      </c>
      <c r="Y670" s="1" t="str">
        <f>"12"</f>
        <v>12</v>
      </c>
      <c r="Z670" t="str">
        <f>"9220595988"</f>
        <v>9220595988</v>
      </c>
      <c r="AA670" t="str">
        <f>"9320939781"</f>
        <v>9320939781</v>
      </c>
      <c r="AB670" t="str">
        <f>"9320939781"</f>
        <v>9320939781</v>
      </c>
      <c r="AC670" t="str">
        <f>"9320939781"</f>
        <v>9320939781</v>
      </c>
      <c r="AD670" t="str">
        <f>"9320939781"</f>
        <v>9320939781</v>
      </c>
      <c r="AE670" t="str">
        <f>"9220595988"</f>
        <v>9220595988</v>
      </c>
    </row>
    <row r="671" spans="1:31" x14ac:dyDescent="0.45">
      <c r="A671" t="str">
        <f>"МОИСЕЕВА ЛЮДМИЛА КУЗЬМОВНА"</f>
        <v>МОИСЕЕВА ЛЮДМИЛА КУЗЬМОВНА</v>
      </c>
      <c r="B671" t="str">
        <f>"1960-05-30"</f>
        <v>1960-05-30</v>
      </c>
      <c r="C671" t="str">
        <f>"37 05 034478"</f>
        <v>37 05 034478</v>
      </c>
      <c r="D671" t="str">
        <f>"4854630315183049"</f>
        <v>4854630315183049</v>
      </c>
      <c r="E671" t="str">
        <f>"2020-02-29"</f>
        <v>2020-02-29</v>
      </c>
      <c r="F671" t="str">
        <f t="shared" si="111"/>
        <v>+</v>
      </c>
      <c r="G671" t="str">
        <f t="shared" si="111"/>
        <v>+</v>
      </c>
      <c r="H671" t="str">
        <f>"40817810816991464116"</f>
        <v>40817810816991464116</v>
      </c>
      <c r="I671" t="str">
        <f>"8599"</f>
        <v>8599</v>
      </c>
      <c r="J671" t="str">
        <f>"0062"</f>
        <v>0062</v>
      </c>
      <c r="K671" t="str">
        <f>"15000.00"</f>
        <v>15000.00</v>
      </c>
      <c r="L671" t="str">
        <f>"641000 ОБЛ КУРГАНСКАЯ   Г КУРГАН   УЛ ТОМИНА д. 61"</f>
        <v>641000 ОБЛ КУРГАНСКАЯ   Г КУРГАН   УЛ ТОМИНА д. 61</v>
      </c>
      <c r="M671" t="str">
        <f t="shared" si="108"/>
        <v>2019-08-24</v>
      </c>
      <c r="N671" t="str">
        <f>"ПЕНСИОНЕР"</f>
        <v>ПЕНСИОНЕР</v>
      </c>
      <c r="O671" t="str">
        <f>"641000"</f>
        <v>641000</v>
      </c>
      <c r="P671" t="str">
        <f>"ОБЛ КУРГАНСКАЯ"</f>
        <v>ОБЛ КУРГАНСКАЯ</v>
      </c>
      <c r="Q671" t="str">
        <f>""</f>
        <v/>
      </c>
      <c r="R671" t="str">
        <f>"Г КУРГАН"</f>
        <v>Г КУРГАН</v>
      </c>
      <c r="S671" t="str">
        <f>"П ЗАТОБОЛЬНЫЙ"</f>
        <v>П ЗАТОБОЛЬНЫЙ</v>
      </c>
      <c r="T671" t="str">
        <f>"УЛ ЗАРЕЧНАЯ"</f>
        <v>УЛ ЗАРЕЧНАЯ</v>
      </c>
      <c r="U671" s="1" t="str">
        <f>"6"</f>
        <v>6</v>
      </c>
      <c r="V671" s="1" t="str">
        <f>""</f>
        <v/>
      </c>
      <c r="W671" s="1" t="str">
        <f>""</f>
        <v/>
      </c>
      <c r="X671" s="1" t="str">
        <f>""</f>
        <v/>
      </c>
      <c r="Y671" s="1" t="str">
        <f>"10"</f>
        <v>10</v>
      </c>
      <c r="Z671" t="str">
        <f>""</f>
        <v/>
      </c>
      <c r="AA671" t="str">
        <f>"9195932002"</f>
        <v>9195932002</v>
      </c>
      <c r="AB671" t="str">
        <f>"9097231675"</f>
        <v>9097231675</v>
      </c>
      <c r="AC671" t="str">
        <f>"9195932002"</f>
        <v>9195932002</v>
      </c>
      <c r="AD671" t="str">
        <f>"9097231675"</f>
        <v>9097231675</v>
      </c>
      <c r="AE671" t="str">
        <f>""</f>
        <v/>
      </c>
    </row>
    <row r="672" spans="1:31" x14ac:dyDescent="0.45">
      <c r="A672" t="str">
        <f>"ЗАИКИН СТАНИСЛАВ ЮРЬЕВИЧ"</f>
        <v>ЗАИКИН СТАНИСЛАВ ЮРЬЕВИЧ</v>
      </c>
      <c r="B672" t="str">
        <f>"1991-08-21"</f>
        <v>1991-08-21</v>
      </c>
      <c r="C672" t="str">
        <f>"67 11 157642"</f>
        <v>67 11 157642</v>
      </c>
      <c r="D672" t="str">
        <f>"5313100575532824"</f>
        <v>5313100575532824</v>
      </c>
      <c r="E672" t="str">
        <f>"2020-09-30"</f>
        <v>2020-09-30</v>
      </c>
      <c r="F672" t="str">
        <f t="shared" si="111"/>
        <v>+</v>
      </c>
      <c r="G672" t="str">
        <f t="shared" si="111"/>
        <v>+</v>
      </c>
      <c r="H672" t="str">
        <f>"40817810016992454828"</f>
        <v>40817810016992454828</v>
      </c>
      <c r="I672" t="str">
        <f>"8647"</f>
        <v>8647</v>
      </c>
      <c r="J672" t="str">
        <f>"0112"</f>
        <v>0112</v>
      </c>
      <c r="K672" t="str">
        <f>"70000.00"</f>
        <v>70000.00</v>
      </c>
      <c r="L672" t="str">
        <f>"628300 АО ХАНТЫ   Г НЕФТЕЮГАНСК   УЛ ЛЕНИНА корп. 26"</f>
        <v>628300 АО ХАНТЫ   Г НЕФТЕЮГАНСК   УЛ ЛЕНИНА корп. 26</v>
      </c>
      <c r="M672" t="str">
        <f t="shared" si="108"/>
        <v>2019-08-24</v>
      </c>
      <c r="N672" t="str">
        <f>"ООО РН-ЮГАНСКНЕФТЕГАЗ"</f>
        <v>ООО РН-ЮГАНСКНЕФТЕГАЗ</v>
      </c>
      <c r="O672" t="str">
        <f>"625000"</f>
        <v>625000</v>
      </c>
      <c r="P672" t="str">
        <f>"ОБЛ ТЮМЕНСКАЯ"</f>
        <v>ОБЛ ТЮМЕНСКАЯ</v>
      </c>
      <c r="Q672" t="str">
        <f>"Р-Н ХМАО"</f>
        <v>Р-Н ХМАО</v>
      </c>
      <c r="R672" t="str">
        <f>"Г НЕФТЕЮГАНСК"</f>
        <v>Г НЕФТЕЮГАНСК</v>
      </c>
      <c r="S672" t="str">
        <f>""</f>
        <v/>
      </c>
      <c r="T672" t="str">
        <f>"МКР 5"</f>
        <v>МКР 5</v>
      </c>
      <c r="U672" s="1" t="str">
        <f>"10"</f>
        <v>10</v>
      </c>
      <c r="V672" s="1" t="str">
        <f>"А"</f>
        <v>А</v>
      </c>
      <c r="W672" s="1" t="str">
        <f>""</f>
        <v/>
      </c>
      <c r="X672" s="1" t="str">
        <f>""</f>
        <v/>
      </c>
      <c r="Y672" s="1" t="str">
        <f>"3"</f>
        <v>3</v>
      </c>
      <c r="Z672" t="str">
        <f>"3463315184"</f>
        <v>3463315184</v>
      </c>
      <c r="AA672" t="str">
        <f>"9120796027"</f>
        <v>9120796027</v>
      </c>
      <c r="AB672" t="str">
        <f>"9120798670"</f>
        <v>9120798670</v>
      </c>
      <c r="AC672" t="str">
        <f>"9120796027"</f>
        <v>9120796027</v>
      </c>
      <c r="AD672" t="str">
        <f>"9120798670"</f>
        <v>9120798670</v>
      </c>
      <c r="AE672" t="str">
        <f>""</f>
        <v/>
      </c>
    </row>
    <row r="673" spans="1:31" x14ac:dyDescent="0.45">
      <c r="A673" t="str">
        <f>"ЯКИНА МАРИЯ КОНСТАНТИНОВНА"</f>
        <v>ЯКИНА МАРИЯ КОНСТАНТИНОВНА</v>
      </c>
      <c r="B673" t="str">
        <f>"1988-12-10"</f>
        <v>1988-12-10</v>
      </c>
      <c r="C673" t="str">
        <f>"75 13 316743"</f>
        <v>75 13 316743</v>
      </c>
      <c r="D673" t="str">
        <f>"5313100416967841"</f>
        <v>5313100416967841</v>
      </c>
      <c r="E673" t="str">
        <f>"2021-03-31"</f>
        <v>2021-03-31</v>
      </c>
      <c r="F673" t="str">
        <f t="shared" si="111"/>
        <v>+</v>
      </c>
      <c r="G673" t="str">
        <f t="shared" si="111"/>
        <v>+</v>
      </c>
      <c r="H673" t="str">
        <f>"40817810316991464137"</f>
        <v>40817810316991464137</v>
      </c>
      <c r="I673" t="str">
        <f>"8597"</f>
        <v>8597</v>
      </c>
      <c r="J673" t="str">
        <f>"0266"</f>
        <v>0266</v>
      </c>
      <c r="K673" t="str">
        <f>"10000.00"</f>
        <v>10000.00</v>
      </c>
      <c r="L673" t="str">
        <f>"454000 ОБЛ ЧЕЛЯБИНСКАЯ   Г ЧЕЛЯБИНСК   УЛ КРАСНАЯ д. 4"</f>
        <v>454000 ОБЛ ЧЕЛЯБИНСКАЯ   Г ЧЕЛЯБИНСК   УЛ КРАСНАЯ д. 4</v>
      </c>
      <c r="M673" t="str">
        <f t="shared" si="108"/>
        <v>2019-08-24</v>
      </c>
      <c r="N673" t="str">
        <f>"АО СОГАЗМЕД"</f>
        <v>АО СОГАЗМЕД</v>
      </c>
      <c r="O673" t="str">
        <f>"454000"</f>
        <v>454000</v>
      </c>
      <c r="P673" t="str">
        <f>"ОБЛ ЧЕЛЯБИНСКАЯ"</f>
        <v>ОБЛ ЧЕЛЯБИНСКАЯ</v>
      </c>
      <c r="Q673" t="str">
        <f>"Р-Н СОСНОВСКИЙ"</f>
        <v>Р-Н СОСНОВСКИЙ</v>
      </c>
      <c r="R673" t="str">
        <f>""</f>
        <v/>
      </c>
      <c r="S673" t="str">
        <f>"Д БУТАКИ"</f>
        <v>Д БУТАКИ</v>
      </c>
      <c r="T673" t="str">
        <f>"УЛ ТРУДА"</f>
        <v>УЛ ТРУДА</v>
      </c>
      <c r="U673" s="1" t="str">
        <f>"11"</f>
        <v>11</v>
      </c>
      <c r="V673" s="1" t="str">
        <f>""</f>
        <v/>
      </c>
      <c r="W673" s="1" t="str">
        <f>""</f>
        <v/>
      </c>
      <c r="X673" s="1" t="str">
        <f>""</f>
        <v/>
      </c>
      <c r="Y673" s="1" t="str">
        <f>""</f>
        <v/>
      </c>
      <c r="Z673" t="str">
        <f>""</f>
        <v/>
      </c>
      <c r="AA673" t="str">
        <f>"9517771610"</f>
        <v>9517771610</v>
      </c>
      <c r="AB673" t="str">
        <f>"9514275460"</f>
        <v>9514275460</v>
      </c>
      <c r="AC673" t="str">
        <f>"9517771610"</f>
        <v>9517771610</v>
      </c>
      <c r="AD673" t="str">
        <f>"9514275460"</f>
        <v>9514275460</v>
      </c>
      <c r="AE673" t="str">
        <f>""</f>
        <v/>
      </c>
    </row>
    <row r="674" spans="1:31" x14ac:dyDescent="0.45">
      <c r="A674" t="str">
        <f>"ЯФАЕВ АЙДАР ЗАКИРОВИЧ"</f>
        <v>ЯФАЕВ АЙДАР ЗАКИРОВИЧ</v>
      </c>
      <c r="B674" t="str">
        <f>"1993-01-17"</f>
        <v>1993-01-17</v>
      </c>
      <c r="C674" t="str">
        <f>"80 12 638445"</f>
        <v>80 12 638445</v>
      </c>
      <c r="D674" t="str">
        <f>"4854630356840747"</f>
        <v>4854630356840747</v>
      </c>
      <c r="E674" t="str">
        <f>"2021-04-30"</f>
        <v>2021-04-30</v>
      </c>
      <c r="F674" t="str">
        <f t="shared" si="111"/>
        <v>+</v>
      </c>
      <c r="G674" t="str">
        <f t="shared" si="111"/>
        <v>+</v>
      </c>
      <c r="H674" t="str">
        <f>"40817810916991427833"</f>
        <v>40817810916991427833</v>
      </c>
      <c r="I674" t="str">
        <f>"8598"</f>
        <v>8598</v>
      </c>
      <c r="J674" t="str">
        <f>"0195"</f>
        <v>0195</v>
      </c>
      <c r="K674" t="str">
        <f>"61000.00"</f>
        <v>61000.00</v>
      </c>
      <c r="L674" t="str">
        <f>"420000 РЕСП ТАТАРСТАН   Г ЕЛАБУГА   УЛ Ш-1 д. 1/3"</f>
        <v>420000 РЕСП ТАТАРСТАН   Г ЕЛАБУГА   УЛ Ш-1 д. 1/3</v>
      </c>
      <c r="M674" t="str">
        <f t="shared" si="108"/>
        <v>2019-08-24</v>
      </c>
      <c r="N674" t="str">
        <f>"БЕЛАЯ ДАЧА АЛАБУГА"</f>
        <v>БЕЛАЯ ДАЧА АЛАБУГА</v>
      </c>
      <c r="O674" t="str">
        <f>"450000"</f>
        <v>450000</v>
      </c>
      <c r="P674" t="str">
        <f>"РЕСП БАШКОРТОСТАН"</f>
        <v>РЕСП БАШКОРТОСТАН</v>
      </c>
      <c r="Q674" t="str">
        <f>""</f>
        <v/>
      </c>
      <c r="R674" t="str">
        <f>""</f>
        <v/>
      </c>
      <c r="S674" t="str">
        <f>"С СТАРЫЙ БУЗДЯК"</f>
        <v>С СТАРЫЙ БУЗДЯК</v>
      </c>
      <c r="T674" t="str">
        <f>"УЛ САЛАВАТА ЮЛАЕВА"</f>
        <v>УЛ САЛАВАТА ЮЛАЕВА</v>
      </c>
      <c r="U674" s="1" t="str">
        <f>"39"</f>
        <v>39</v>
      </c>
      <c r="V674" s="1" t="str">
        <f>""</f>
        <v/>
      </c>
      <c r="W674" s="1" t="str">
        <f>""</f>
        <v/>
      </c>
      <c r="X674" s="1" t="str">
        <f>""</f>
        <v/>
      </c>
      <c r="Y674" s="1" t="str">
        <f>""</f>
        <v/>
      </c>
      <c r="Z674" t="str">
        <f>"3472000000"</f>
        <v>3472000000</v>
      </c>
      <c r="AA674" t="str">
        <f>"3472000000"</f>
        <v>3472000000</v>
      </c>
      <c r="AB674" t="str">
        <f>"9373005800"</f>
        <v>9373005800</v>
      </c>
      <c r="AC674" t="str">
        <f>"3472000000"</f>
        <v>3472000000</v>
      </c>
      <c r="AD674" t="str">
        <f>"9373005800"</f>
        <v>9373005800</v>
      </c>
      <c r="AE674" t="str">
        <f>"3472000000"</f>
        <v>3472000000</v>
      </c>
    </row>
    <row r="675" spans="1:31" x14ac:dyDescent="0.45">
      <c r="A675" t="str">
        <f>"ЧЕРЕПАНОВ АЛЕКСАНДР ЮРЬЕВИЧ"</f>
        <v>ЧЕРЕПАНОВ АЛЕКСАНДР ЮРЬЕВИЧ</v>
      </c>
      <c r="B675" t="str">
        <f>"1969-11-06"</f>
        <v>1969-11-06</v>
      </c>
      <c r="C675" t="str">
        <f>"65 14 955326"</f>
        <v>65 14 955326</v>
      </c>
      <c r="D675" t="str">
        <f>"4854630428287919"</f>
        <v>4854630428287919</v>
      </c>
      <c r="E675" t="str">
        <f>"2021-05-31"</f>
        <v>2021-05-31</v>
      </c>
      <c r="F675" t="str">
        <f t="shared" si="111"/>
        <v>+</v>
      </c>
      <c r="G675" t="str">
        <f t="shared" si="111"/>
        <v>+</v>
      </c>
      <c r="H675" t="str">
        <f>"40817810316991464153"</f>
        <v>40817810316991464153</v>
      </c>
      <c r="I675" t="str">
        <f>"7003"</f>
        <v>7003</v>
      </c>
      <c r="J675" t="str">
        <f>"0681"</f>
        <v>0681</v>
      </c>
      <c r="K675" t="str">
        <f>"15000.00"</f>
        <v>15000.00</v>
      </c>
      <c r="L675" t="str">
        <f>"620107 ОБЛ СВЕРДЛОВСКАЯ   Г ЕКАТЕРИНБУРГ   УЛ СТРЕЛОЧНИКОВ д. 39"</f>
        <v>620107 ОБЛ СВЕРДЛОВСКАЯ   Г ЕКАТЕРИНБУРГ   УЛ СТРЕЛОЧНИКОВ д. 39</v>
      </c>
      <c r="M675" t="str">
        <f t="shared" si="108"/>
        <v>2019-08-24</v>
      </c>
      <c r="N675" t="str">
        <f>"16006082"</f>
        <v>16006082</v>
      </c>
      <c r="O675" t="str">
        <f>"623108"</f>
        <v>623108</v>
      </c>
      <c r="P675" t="str">
        <f>"ОБЛ СВЕРДЛОВСКАЯ"</f>
        <v>ОБЛ СВЕРДЛОВСКАЯ</v>
      </c>
      <c r="Q675" t="str">
        <f>""</f>
        <v/>
      </c>
      <c r="R675" t="str">
        <f>"Г ПЕРВОУРАЛЬСК"</f>
        <v>Г ПЕРВОУРАЛЬСК</v>
      </c>
      <c r="S675" t="str">
        <f>""</f>
        <v/>
      </c>
      <c r="T675" t="str">
        <f>"УЛ САНТЕХИЗДЕЛИЙ"</f>
        <v>УЛ САНТЕХИЗДЕЛИЙ</v>
      </c>
      <c r="U675" s="1" t="str">
        <f>"23"</f>
        <v>23</v>
      </c>
      <c r="V675" s="1" t="str">
        <f>""</f>
        <v/>
      </c>
      <c r="W675" s="1" t="str">
        <f>""</f>
        <v/>
      </c>
      <c r="X675" s="1" t="str">
        <f>""</f>
        <v/>
      </c>
      <c r="Y675" s="1" t="str">
        <f>"6"</f>
        <v>6</v>
      </c>
      <c r="Z675" t="str">
        <f>""</f>
        <v/>
      </c>
      <c r="AA675" t="str">
        <f>"9126254730"</f>
        <v>9126254730</v>
      </c>
      <c r="AB675" t="str">
        <f>"9126254730"</f>
        <v>9126254730</v>
      </c>
      <c r="AC675" t="str">
        <f>"9126254730"</f>
        <v>9126254730</v>
      </c>
      <c r="AD675" t="str">
        <f>"9126254730"</f>
        <v>9126254730</v>
      </c>
      <c r="AE675" t="str">
        <f>""</f>
        <v/>
      </c>
    </row>
    <row r="676" spans="1:31" x14ac:dyDescent="0.45">
      <c r="A676" t="str">
        <f>"ИСАКОВА ТАТЬЯНА АНАТОЛЬЕВНА"</f>
        <v>ИСАКОВА ТАТЬЯНА АНАТОЛЬЕВНА</v>
      </c>
      <c r="B676" t="str">
        <f>"1967-06-05"</f>
        <v>1967-06-05</v>
      </c>
      <c r="C676" t="str">
        <f>"67 12 241103"</f>
        <v>67 12 241103</v>
      </c>
      <c r="D676" t="str">
        <f>"4279016717333795"</f>
        <v>4279016717333795</v>
      </c>
      <c r="E676" t="str">
        <f>"2021-05-31"</f>
        <v>2021-05-31</v>
      </c>
      <c r="F676" t="str">
        <f t="shared" si="111"/>
        <v>+</v>
      </c>
      <c r="G676" t="str">
        <f t="shared" si="111"/>
        <v>+</v>
      </c>
      <c r="H676" t="str">
        <f>"40817810716992503697"</f>
        <v>40817810716992503697</v>
      </c>
      <c r="I676" t="str">
        <f>"1791"</f>
        <v>1791</v>
      </c>
      <c r="J676" t="str">
        <f>"0116"</f>
        <v>0116</v>
      </c>
      <c r="K676" t="str">
        <f>"50000.00"</f>
        <v>50000.00</v>
      </c>
      <c r="L676" t="str">
        <f>"628260 ОБЛ ТЮМЕНСКАЯ   Г ЮГОРСК   УЛ ПОПОВА д. 14"</f>
        <v>628260 ОБЛ ТЮМЕНСКАЯ   Г ЮГОРСК   УЛ ПОПОВА д. 14</v>
      </c>
      <c r="M676" t="str">
        <f t="shared" si="108"/>
        <v>2019-08-24</v>
      </c>
      <c r="N676" t="str">
        <f>"ООО ГАЗПРОМ ТРАНСГАЗ ЮГОРСК"</f>
        <v>ООО ГАЗПРОМ ТРАНСГАЗ ЮГОРСК</v>
      </c>
      <c r="O676" t="str">
        <f>"628260"</f>
        <v>628260</v>
      </c>
      <c r="P676" t="str">
        <f>"ОБЛ ТЮМЕНСКАЯ"</f>
        <v>ОБЛ ТЮМЕНСКАЯ</v>
      </c>
      <c r="Q676" t="str">
        <f>""</f>
        <v/>
      </c>
      <c r="R676" t="str">
        <f>"Г ЮГОРСК"</f>
        <v>Г ЮГОРСК</v>
      </c>
      <c r="S676" t="str">
        <f>""</f>
        <v/>
      </c>
      <c r="T676" t="str">
        <f>"УЛ МИРА"</f>
        <v>УЛ МИРА</v>
      </c>
      <c r="U676" s="1" t="str">
        <f>"9"</f>
        <v>9</v>
      </c>
      <c r="V676" s="1" t="str">
        <f>""</f>
        <v/>
      </c>
      <c r="W676" s="1" t="str">
        <f>""</f>
        <v/>
      </c>
      <c r="X676" s="1" t="str">
        <f>""</f>
        <v/>
      </c>
      <c r="Y676" s="1" t="str">
        <f>"60"</f>
        <v>60</v>
      </c>
      <c r="Z676" t="str">
        <f>""</f>
        <v/>
      </c>
      <c r="AA676" t="str">
        <f>"3467525847"</f>
        <v>3467525847</v>
      </c>
      <c r="AB676" t="str">
        <f>"9227705528"</f>
        <v>9227705528</v>
      </c>
      <c r="AC676" t="str">
        <f>"3467525847"</f>
        <v>3467525847</v>
      </c>
      <c r="AD676" t="str">
        <f>"9227705528"</f>
        <v>9227705528</v>
      </c>
      <c r="AE676" t="str">
        <f>""</f>
        <v/>
      </c>
    </row>
    <row r="677" spans="1:31" x14ac:dyDescent="0.45">
      <c r="A677" t="str">
        <f>"СТАНЧЕВА АКСЕНИЯ ИВАНОВНА"</f>
        <v>СТАНЧЕВА АКСЕНИЯ ИВАНОВНА</v>
      </c>
      <c r="B677" t="str">
        <f>"1965-07-01"</f>
        <v>1965-07-01</v>
      </c>
      <c r="C677" t="str">
        <f>"67 10 054085"</f>
        <v>67 10 054085</v>
      </c>
      <c r="D677" t="str">
        <f>"4854630376378231"</f>
        <v>4854630376378231</v>
      </c>
      <c r="E677" t="str">
        <f>"2021-04-30"</f>
        <v>2021-04-30</v>
      </c>
      <c r="F677" t="str">
        <f t="shared" si="111"/>
        <v>+</v>
      </c>
      <c r="G677" t="str">
        <f t="shared" si="111"/>
        <v>+</v>
      </c>
      <c r="H677" t="str">
        <f>"40817810516992455550"</f>
        <v>40817810516992455550</v>
      </c>
      <c r="I677" t="str">
        <f>"1791"</f>
        <v>1791</v>
      </c>
      <c r="J677" t="str">
        <f>"0072"</f>
        <v>0072</v>
      </c>
      <c r="K677" t="str">
        <f>"200000.00"</f>
        <v>200000.00</v>
      </c>
      <c r="L677" t="str">
        <f>"628146 ОБЛ ТЮМЕНСКАЯ Р-Н БЕРЕЗОВСКИЙ   П ИГРИМ УЛ ГУБКИНА д. 25"</f>
        <v>628146 ОБЛ ТЮМЕНСКАЯ Р-Н БЕРЕЗОВСКИЙ   П ИГРИМ УЛ ГУБКИНА д. 25</v>
      </c>
      <c r="M677" t="str">
        <f t="shared" si="108"/>
        <v>2019-08-24</v>
      </c>
      <c r="N677" t="str">
        <f>"ГАЗПРОМ ТРАНСГАЗ ЮГОРСК"</f>
        <v>ГАЗПРОМ ТРАНСГАЗ ЮГОРСК</v>
      </c>
      <c r="O677" t="str">
        <f>"628146"</f>
        <v>628146</v>
      </c>
      <c r="P677" t="str">
        <f>"ОБЛ ТЮМЕНСКАЯ"</f>
        <v>ОБЛ ТЮМЕНСКАЯ</v>
      </c>
      <c r="Q677" t="str">
        <f>"Р-Н БЕРЕЗОВСКИЙ"</f>
        <v>Р-Н БЕРЕЗОВСКИЙ</v>
      </c>
      <c r="R677" t="str">
        <f>""</f>
        <v/>
      </c>
      <c r="S677" t="str">
        <f>"П ИГРИМ"</f>
        <v>П ИГРИМ</v>
      </c>
      <c r="T677" t="str">
        <f>"ПЕР СОСНОВЫЙ"</f>
        <v>ПЕР СОСНОВЫЙ</v>
      </c>
      <c r="U677" s="1" t="str">
        <f>"7"</f>
        <v>7</v>
      </c>
      <c r="V677" s="1" t="str">
        <f>""</f>
        <v/>
      </c>
      <c r="W677" s="1" t="str">
        <f>""</f>
        <v/>
      </c>
      <c r="X677" s="1" t="str">
        <f>""</f>
        <v/>
      </c>
      <c r="Y677" s="1" t="str">
        <f>""</f>
        <v/>
      </c>
      <c r="Z677" t="str">
        <f>"3467432423"</f>
        <v>3467432423</v>
      </c>
      <c r="AA677" t="str">
        <f>"3467461170"</f>
        <v>3467461170</v>
      </c>
      <c r="AB677" t="str">
        <f>"9224304136"</f>
        <v>9224304136</v>
      </c>
      <c r="AC677" t="str">
        <f>"3467461170"</f>
        <v>3467461170</v>
      </c>
      <c r="AD677" t="str">
        <f>"9224304136"</f>
        <v>9224304136</v>
      </c>
      <c r="AE677" t="str">
        <f>"3467432423"</f>
        <v>3467432423</v>
      </c>
    </row>
    <row r="678" spans="1:31" x14ac:dyDescent="0.45">
      <c r="A678" t="str">
        <f>"БУРАКОВСКИЙ АНДРЕЙ НИКОЛАЕВИЧ"</f>
        <v>БУРАКОВСКИЙ АНДРЕЙ НИКОЛАЕВИЧ</v>
      </c>
      <c r="B678" t="str">
        <f>"1985-08-14"</f>
        <v>1985-08-14</v>
      </c>
      <c r="C678" t="str">
        <f>"65 05 581538"</f>
        <v>65 05 581538</v>
      </c>
      <c r="D678" t="str">
        <f>"4854630379664231"</f>
        <v>4854630379664231</v>
      </c>
      <c r="E678" t="str">
        <f>"2021-04-30"</f>
        <v>2021-04-30</v>
      </c>
      <c r="F678" t="str">
        <f t="shared" si="111"/>
        <v>+</v>
      </c>
      <c r="G678" t="str">
        <f t="shared" si="111"/>
        <v>+</v>
      </c>
      <c r="H678" t="str">
        <f>"40817810616991424699"</f>
        <v>40817810616991424699</v>
      </c>
      <c r="I678" t="str">
        <f>"7003"</f>
        <v>7003</v>
      </c>
      <c r="J678" t="str">
        <f>"0793"</f>
        <v>0793</v>
      </c>
      <c r="K678" t="str">
        <f>"30000.00"</f>
        <v>30000.00</v>
      </c>
      <c r="L678" t="str">
        <f>"620000 ОБЛ СВЕРДЛОВСКАЯ   Г БЕРЕЗОВСКИЙ   УЛ ГАГАРИНА д. 16 офис 248"</f>
        <v>620000 ОБЛ СВЕРДЛОВСКАЯ   Г БЕРЕЗОВСКИЙ   УЛ ГАГАРИНА д. 16 офис 248</v>
      </c>
      <c r="M678" t="str">
        <f t="shared" si="108"/>
        <v>2019-08-24</v>
      </c>
      <c r="N678" t="str">
        <f>"ООО ИНТЕРНЕТСТРОЙСЕРВИС"</f>
        <v>ООО ИНТЕРНЕТСТРОЙСЕРВИС</v>
      </c>
      <c r="O678" t="str">
        <f>"620000"</f>
        <v>620000</v>
      </c>
      <c r="P678" t="str">
        <f>"ОБЛ СВЕРДЛОВСКАЯ"</f>
        <v>ОБЛ СВЕРДЛОВСКАЯ</v>
      </c>
      <c r="Q678" t="str">
        <f>""</f>
        <v/>
      </c>
      <c r="R678" t="str">
        <f>"Г БЕРЕЗОВСКИЙ"</f>
        <v>Г БЕРЕЗОВСКИЙ</v>
      </c>
      <c r="S678" t="str">
        <f>""</f>
        <v/>
      </c>
      <c r="T678" t="str">
        <f>"УЛ ТЕАТРАЛЬНАЯ"</f>
        <v>УЛ ТЕАТРАЛЬНАЯ</v>
      </c>
      <c r="U678" s="1" t="str">
        <f>"1"</f>
        <v>1</v>
      </c>
      <c r="V678" s="1" t="str">
        <f>""</f>
        <v/>
      </c>
      <c r="W678" s="1" t="str">
        <f>""</f>
        <v/>
      </c>
      <c r="X678" s="1" t="str">
        <f>""</f>
        <v/>
      </c>
      <c r="Y678" s="1" t="str">
        <f>"97"</f>
        <v>97</v>
      </c>
      <c r="Z678" t="str">
        <f>""</f>
        <v/>
      </c>
      <c r="AA678" t="str">
        <f>"9089061207"</f>
        <v>9089061207</v>
      </c>
      <c r="AB678" t="str">
        <f>"9089061207"</f>
        <v>9089061207</v>
      </c>
      <c r="AC678" t="str">
        <f>"9089061207"</f>
        <v>9089061207</v>
      </c>
      <c r="AD678" t="str">
        <f>"9089061207"</f>
        <v>9089061207</v>
      </c>
      <c r="AE678" t="str">
        <f>""</f>
        <v/>
      </c>
    </row>
    <row r="679" spans="1:31" x14ac:dyDescent="0.45">
      <c r="A679" t="str">
        <f>"ЕМЕЛЬЯНОВА ТАТЬЯНА ГРИГОРЬЕВНА"</f>
        <v>ЕМЕЛЬЯНОВА ТАТЬЯНА ГРИГОРЬЕВНА</v>
      </c>
      <c r="B679" t="str">
        <f>"1980-12-12"</f>
        <v>1980-12-12</v>
      </c>
      <c r="C679" t="str">
        <f>"80 02 559439"</f>
        <v>80 02 559439</v>
      </c>
      <c r="D679" t="str">
        <f>"4854630358237447"</f>
        <v>4854630358237447</v>
      </c>
      <c r="E679" t="str">
        <f>"2021-04-30"</f>
        <v>2021-04-30</v>
      </c>
      <c r="F679" t="str">
        <f t="shared" si="111"/>
        <v>+</v>
      </c>
      <c r="G679" t="str">
        <f t="shared" si="111"/>
        <v>+</v>
      </c>
      <c r="H679" t="str">
        <f>"40817810916991424700"</f>
        <v>40817810916991424700</v>
      </c>
      <c r="I679" t="str">
        <f>"8598"</f>
        <v>8598</v>
      </c>
      <c r="J679" t="str">
        <f>"0172"</f>
        <v>0172</v>
      </c>
      <c r="K679" t="str">
        <f>"15000.00"</f>
        <v>15000.00</v>
      </c>
      <c r="L679" t="str">
        <f>"450095 РЕСП БАШКОРТОСТАН   Г УФА   УЛ ПРАВДЫ д. 6 кв. 12"</f>
        <v>450095 РЕСП БАШКОРТОСТАН   Г УФА   УЛ ПРАВДЫ д. 6 кв. 12</v>
      </c>
      <c r="M679" t="str">
        <f t="shared" si="108"/>
        <v>2019-08-24</v>
      </c>
      <c r="N679" t="str">
        <f>"ДОМОХОЗЯЙКА"</f>
        <v>ДОМОХОЗЯЙКА</v>
      </c>
      <c r="O679" t="str">
        <f>"450095"</f>
        <v>450095</v>
      </c>
      <c r="P679" t="str">
        <f>"РЕСП БАШКОРТОСТАН"</f>
        <v>РЕСП БАШКОРТОСТАН</v>
      </c>
      <c r="Q679" t="str">
        <f>""</f>
        <v/>
      </c>
      <c r="R679" t="str">
        <f>"Г УФА"</f>
        <v>Г УФА</v>
      </c>
      <c r="S679" t="str">
        <f>""</f>
        <v/>
      </c>
      <c r="T679" t="str">
        <f>"УЛ ПРАВДЫ"</f>
        <v>УЛ ПРАВДЫ</v>
      </c>
      <c r="U679" s="1" t="str">
        <f>"6"</f>
        <v>6</v>
      </c>
      <c r="V679" s="1" t="str">
        <f>""</f>
        <v/>
      </c>
      <c r="W679" s="1" t="str">
        <f>""</f>
        <v/>
      </c>
      <c r="X679" s="1" t="str">
        <f>""</f>
        <v/>
      </c>
      <c r="Y679" s="1" t="str">
        <f>"12"</f>
        <v>12</v>
      </c>
      <c r="Z679" t="str">
        <f>""</f>
        <v/>
      </c>
      <c r="AA679" t="str">
        <f>"9279419415"</f>
        <v>9279419415</v>
      </c>
      <c r="AB679" t="str">
        <f>"9279419415"</f>
        <v>9279419415</v>
      </c>
      <c r="AC679" t="str">
        <f>"9279419415"</f>
        <v>9279419415</v>
      </c>
      <c r="AD679" t="str">
        <f>"9279419415"</f>
        <v>9279419415</v>
      </c>
      <c r="AE679" t="str">
        <f>""</f>
        <v/>
      </c>
    </row>
    <row r="680" spans="1:31" x14ac:dyDescent="0.45">
      <c r="A680" t="str">
        <f>"ДЕМИНА ОЛЕСЯ НИКОЛАЕВНА"</f>
        <v>ДЕМИНА ОЛЕСЯ НИКОЛАЕВНА</v>
      </c>
      <c r="B680" t="str">
        <f>"1973-05-24"</f>
        <v>1973-05-24</v>
      </c>
      <c r="C680" t="str">
        <f>"80 18 781196"</f>
        <v>80 18 781196</v>
      </c>
      <c r="D680" t="str">
        <f>"4854630357876716"</f>
        <v>4854630357876716</v>
      </c>
      <c r="E680" t="str">
        <f>"2021-04-30"</f>
        <v>2021-04-30</v>
      </c>
      <c r="F680" t="str">
        <f t="shared" si="111"/>
        <v>+</v>
      </c>
      <c r="G680" t="str">
        <f t="shared" si="111"/>
        <v>+</v>
      </c>
      <c r="H680" t="str">
        <f>"40817810216991424701"</f>
        <v>40817810216991424701</v>
      </c>
      <c r="I680" t="str">
        <f>"8598"</f>
        <v>8598</v>
      </c>
      <c r="J680" t="str">
        <f>"0198"</f>
        <v>0198</v>
      </c>
      <c r="K680" t="str">
        <f>"110000.00"</f>
        <v>110000.00</v>
      </c>
      <c r="L680" t="str">
        <f>"450000 РЕСП БАШКОРТОСТАН   Г УФА   УЛ ПРОСПЕКТ САЛАВАТА ЮЛАЕВА д. 47 стр. А"</f>
        <v>450000 РЕСП БАШКОРТОСТАН   Г УФА   УЛ ПРОСПЕКТ САЛАВАТА ЮЛАЕВА д. 47 стр. А</v>
      </c>
      <c r="M680" t="str">
        <f t="shared" si="108"/>
        <v>2019-08-24</v>
      </c>
      <c r="N680" t="str">
        <f>"ИП ЯКШИМБЕТОВА"</f>
        <v>ИП ЯКШИМБЕТОВА</v>
      </c>
      <c r="O680" t="str">
        <f>"450000"</f>
        <v>450000</v>
      </c>
      <c r="P680" t="str">
        <f>"РЕСП БАШКОРТОСТАН"</f>
        <v>РЕСП БАШКОРТОСТАН</v>
      </c>
      <c r="Q680" t="str">
        <f>""</f>
        <v/>
      </c>
      <c r="R680" t="str">
        <f>"Г УФА"</f>
        <v>Г УФА</v>
      </c>
      <c r="S680" t="str">
        <f>""</f>
        <v/>
      </c>
      <c r="T680" t="str">
        <f>"УЛ СТ КУВЫКИНА"</f>
        <v>УЛ СТ КУВЫКИНА</v>
      </c>
      <c r="U680" s="1" t="str">
        <f>"14"</f>
        <v>14</v>
      </c>
      <c r="V680" s="1" t="str">
        <f>""</f>
        <v/>
      </c>
      <c r="W680" s="1" t="str">
        <f>""</f>
        <v/>
      </c>
      <c r="X680" s="1" t="str">
        <f>""</f>
        <v/>
      </c>
      <c r="Y680" s="1" t="str">
        <f>"127"</f>
        <v>127</v>
      </c>
      <c r="Z680" t="str">
        <f>"9053577774"</f>
        <v>9053577774</v>
      </c>
      <c r="AA680" t="str">
        <f>"9174294813"</f>
        <v>9174294813</v>
      </c>
      <c r="AB680" t="str">
        <f>"9174294813"</f>
        <v>9174294813</v>
      </c>
      <c r="AC680" t="str">
        <f>"9053577774"</f>
        <v>9053577774</v>
      </c>
      <c r="AD680" t="str">
        <f>"9174294813"</f>
        <v>9174294813</v>
      </c>
      <c r="AE680" t="str">
        <f>"9053577774"</f>
        <v>9053577774</v>
      </c>
    </row>
    <row r="681" spans="1:31" x14ac:dyDescent="0.45">
      <c r="A681" t="str">
        <f>"МИРЗАГИТОВА АНАСТАСИЯ РАСИМОВНА"</f>
        <v>МИРЗАГИТОВА АНАСТАСИЯ РАСИМОВНА</v>
      </c>
      <c r="B681" t="str">
        <f>"1989-03-03"</f>
        <v>1989-03-03</v>
      </c>
      <c r="C681" t="str">
        <f>"65 09 741512"</f>
        <v>65 09 741512</v>
      </c>
      <c r="D681" t="str">
        <f>"4854630218142324"</f>
        <v>4854630218142324</v>
      </c>
      <c r="E681" t="str">
        <f>"2021-04-30"</f>
        <v>2021-04-30</v>
      </c>
      <c r="F681" t="str">
        <f>"K"</f>
        <v>K</v>
      </c>
      <c r="G681" t="str">
        <f t="shared" si="111"/>
        <v>+</v>
      </c>
      <c r="H681" t="str">
        <f>"40817810316991464195"</f>
        <v>40817810316991464195</v>
      </c>
      <c r="I681" t="str">
        <f>"7003"</f>
        <v>7003</v>
      </c>
      <c r="J681" t="str">
        <f>"0381"</f>
        <v>0381</v>
      </c>
      <c r="K681" t="str">
        <f>"50000.00"</f>
        <v>50000.00</v>
      </c>
      <c r="L681" t="str">
        <f>"620000 ОБЛ СВЕРДЛОВСКАЯ   Г ЕКАТЕРИНБУРГ   УЛ РАССВЕТНАЯ д. 8 корп. 1 кв. 324"</f>
        <v>620000 ОБЛ СВЕРДЛОВСКАЯ   Г ЕКАТЕРИНБУРГ   УЛ РАССВЕТНАЯ д. 8 корп. 1 кв. 324</v>
      </c>
      <c r="M681" t="str">
        <f t="shared" si="108"/>
        <v>2019-08-24</v>
      </c>
      <c r="N681" t="str">
        <f>"ИП МИРЗАГИТОВА А.Р."</f>
        <v>ИП МИРЗАГИТОВА А.Р.</v>
      </c>
      <c r="O681" t="str">
        <f>"620000"</f>
        <v>620000</v>
      </c>
      <c r="P681" t="str">
        <f>"ОБЛ СВЕРДЛОВСКАЯ"</f>
        <v>ОБЛ СВЕРДЛОВСКАЯ</v>
      </c>
      <c r="Q681" t="str">
        <f>""</f>
        <v/>
      </c>
      <c r="R681" t="str">
        <f>"Г ЕКАТЕРИНБУРГ"</f>
        <v>Г ЕКАТЕРИНБУРГ</v>
      </c>
      <c r="S681" t="str">
        <f>""</f>
        <v/>
      </c>
      <c r="T681" t="str">
        <f>"УЛ РАССВЕТНАЯ"</f>
        <v>УЛ РАССВЕТНАЯ</v>
      </c>
      <c r="U681" s="1" t="str">
        <f>"8"</f>
        <v>8</v>
      </c>
      <c r="V681" s="1" t="str">
        <f>""</f>
        <v/>
      </c>
      <c r="W681" s="1" t="str">
        <f>"1"</f>
        <v>1</v>
      </c>
      <c r="X681" s="1" t="str">
        <f>""</f>
        <v/>
      </c>
      <c r="Y681" s="1" t="str">
        <f>"324"</f>
        <v>324</v>
      </c>
      <c r="Z681" t="str">
        <f>"9221242563"</f>
        <v>9221242563</v>
      </c>
      <c r="AA681" t="str">
        <f>"9221242563"</f>
        <v>9221242563</v>
      </c>
      <c r="AB681" t="str">
        <f>"9221242563"</f>
        <v>9221242563</v>
      </c>
      <c r="AC681" t="str">
        <f>"9221242563"</f>
        <v>9221242563</v>
      </c>
      <c r="AD681" t="str">
        <f>"9221242563"</f>
        <v>9221242563</v>
      </c>
      <c r="AE681" t="str">
        <f>"9221242563"</f>
        <v>9221242563</v>
      </c>
    </row>
    <row r="682" spans="1:31" x14ac:dyDescent="0.45">
      <c r="A682" t="str">
        <f>"ЛУКИЯНЧУК ЮРИЙ ИВАНОВИЧ"</f>
        <v>ЛУКИЯНЧУК ЮРИЙ ИВАНОВИЧ</v>
      </c>
      <c r="B682" t="str">
        <f>"1972-04-19"</f>
        <v>1972-04-19</v>
      </c>
      <c r="C682" t="str">
        <f>"67 17 642642"</f>
        <v>67 17 642642</v>
      </c>
      <c r="D682" t="str">
        <f>"4854630321214416"</f>
        <v>4854630321214416</v>
      </c>
      <c r="E682" t="str">
        <f>"2022-04-30"</f>
        <v>2022-04-30</v>
      </c>
      <c r="F682" t="str">
        <f t="shared" ref="F682:G687" si="112">"+"</f>
        <v>+</v>
      </c>
      <c r="G682" t="str">
        <f t="shared" si="111"/>
        <v>+</v>
      </c>
      <c r="H682" t="str">
        <f>"40817810516992456274"</f>
        <v>40817810516992456274</v>
      </c>
      <c r="I682" t="str">
        <f>"5940"</f>
        <v>5940</v>
      </c>
      <c r="J682" t="str">
        <f>"0082"</f>
        <v>0082</v>
      </c>
      <c r="K682" t="str">
        <f>"570000.00"</f>
        <v>570000.00</v>
      </c>
      <c r="L682" t="str">
        <f>"628400 ОБЛ ТЮМЕНСКАЯ Р-Н СУРГУТСКИЙ   П БАРСОВО ДНТ БАРСОВСКОЕ УЛ 4 ЛЕВАЯ д. 32"</f>
        <v>628400 ОБЛ ТЮМЕНСКАЯ Р-Н СУРГУТСКИЙ   П БАРСОВО ДНТ БАРСОВСКОЕ УЛ 4 ЛЕВАЯ д. 32</v>
      </c>
      <c r="M682" t="str">
        <f t="shared" si="108"/>
        <v>2019-08-24</v>
      </c>
      <c r="N682" t="str">
        <f>"ИП ЛУКИЯНЧУК Ю.И."</f>
        <v>ИП ЛУКИЯНЧУК Ю.И.</v>
      </c>
      <c r="O682" t="str">
        <f>"628400"</f>
        <v>628400</v>
      </c>
      <c r="P682" t="str">
        <f>"ОБЛ ТЮМЕНСКАЯ"</f>
        <v>ОБЛ ТЮМЕНСКАЯ</v>
      </c>
      <c r="Q682" t="str">
        <f>"Р-Н СУРГУТСКИЙ"</f>
        <v>Р-Н СУРГУТСКИЙ</v>
      </c>
      <c r="R682" t="str">
        <f>""</f>
        <v/>
      </c>
      <c r="S682" t="str">
        <f>""</f>
        <v/>
      </c>
      <c r="T682" t="str">
        <f>"П БАРСОВО ДНТ БАРСОВСКОЕ"</f>
        <v>П БАРСОВО ДНТ БАРСОВСКОЕ</v>
      </c>
      <c r="U682" s="1" t="str">
        <f>"32"</f>
        <v>32</v>
      </c>
      <c r="V682" s="1" t="str">
        <f>""</f>
        <v/>
      </c>
      <c r="W682" s="1" t="str">
        <f>""</f>
        <v/>
      </c>
      <c r="X682" s="1" t="str">
        <f>""</f>
        <v/>
      </c>
      <c r="Y682" s="1" t="str">
        <f>""</f>
        <v/>
      </c>
      <c r="Z682" t="str">
        <f>""</f>
        <v/>
      </c>
      <c r="AA682" t="str">
        <f>"9222546500"</f>
        <v>9222546500</v>
      </c>
      <c r="AB682" t="str">
        <f>"9224343634"</f>
        <v>9224343634</v>
      </c>
      <c r="AC682" t="str">
        <f>"9222546500"</f>
        <v>9222546500</v>
      </c>
      <c r="AD682" t="str">
        <f>"9224343634"</f>
        <v>9224343634</v>
      </c>
      <c r="AE682" t="str">
        <f>""</f>
        <v/>
      </c>
    </row>
    <row r="683" spans="1:31" x14ac:dyDescent="0.45">
      <c r="A683" t="str">
        <f>"ЧУМАКИНА ЛЮБОВЬ ВЕЛИТОНОВНА"</f>
        <v>ЧУМАКИНА ЛЮБОВЬ ВЕЛИТОНОВНА</v>
      </c>
      <c r="B683" t="str">
        <f>"1970-12-29"</f>
        <v>1970-12-29</v>
      </c>
      <c r="C683" t="str">
        <f>"75 15 666106"</f>
        <v>75 15 666106</v>
      </c>
      <c r="D683" t="str">
        <f>"4854630367305771"</f>
        <v>4854630367305771</v>
      </c>
      <c r="E683" t="str">
        <f>"2021-04-30"</f>
        <v>2021-04-30</v>
      </c>
      <c r="F683" t="str">
        <f t="shared" si="112"/>
        <v>+</v>
      </c>
      <c r="G683" t="str">
        <f t="shared" si="112"/>
        <v>+</v>
      </c>
      <c r="H683" t="str">
        <f>"40817810916991464207"</f>
        <v>40817810916991464207</v>
      </c>
      <c r="I683" t="str">
        <f>"8597"</f>
        <v>8597</v>
      </c>
      <c r="J683" t="str">
        <f>"0314"</f>
        <v>0314</v>
      </c>
      <c r="K683" t="str">
        <f>"290000.00"</f>
        <v>290000.00</v>
      </c>
      <c r="L683" t="str">
        <f>"456010 ОБЛ ЧЕЛЯБИНСКАЯ Р-Н АШИНСКИЙ Г АША   УЛ ЛЕБЕДЕВА д. 4"</f>
        <v>456010 ОБЛ ЧЕЛЯБИНСКАЯ Р-Н АШИНСКИЙ Г АША   УЛ ЛЕБЕДЕВА д. 4</v>
      </c>
      <c r="M683" t="str">
        <f t="shared" si="108"/>
        <v>2019-08-24</v>
      </c>
      <c r="N683" t="s">
        <v>53</v>
      </c>
      <c r="O683" t="str">
        <f>"456010"</f>
        <v>456010</v>
      </c>
      <c r="P683" t="str">
        <f>"ОБЛ ЧЕЛЯБИНСКАЯ"</f>
        <v>ОБЛ ЧЕЛЯБИНСКАЯ</v>
      </c>
      <c r="Q683" t="str">
        <f>"Р-Н АШИНСКИЙ"</f>
        <v>Р-Н АШИНСКИЙ</v>
      </c>
      <c r="R683" t="str">
        <f>"Г АША"</f>
        <v>Г АША</v>
      </c>
      <c r="S683" t="str">
        <f>""</f>
        <v/>
      </c>
      <c r="T683" t="str">
        <f>"УЛ ПУШКИНА"</f>
        <v>УЛ ПУШКИНА</v>
      </c>
      <c r="U683" s="1" t="str">
        <f>"27"</f>
        <v>27</v>
      </c>
      <c r="V683" s="1" t="str">
        <f>""</f>
        <v/>
      </c>
      <c r="W683" s="1" t="str">
        <f>""</f>
        <v/>
      </c>
      <c r="X683" s="1" t="str">
        <f>""</f>
        <v/>
      </c>
      <c r="Y683" s="1" t="str">
        <f>"1"</f>
        <v>1</v>
      </c>
      <c r="Z683" t="str">
        <f>""</f>
        <v/>
      </c>
      <c r="AA683" t="str">
        <f>"9517930589"</f>
        <v>9517930589</v>
      </c>
      <c r="AB683" t="str">
        <f>"9823478806"</f>
        <v>9823478806</v>
      </c>
      <c r="AC683" t="str">
        <f>"9517930589"</f>
        <v>9517930589</v>
      </c>
      <c r="AD683" t="str">
        <f>"9823478806"</f>
        <v>9823478806</v>
      </c>
      <c r="AE683" t="str">
        <f>""</f>
        <v/>
      </c>
    </row>
    <row r="684" spans="1:31" x14ac:dyDescent="0.45">
      <c r="A684" t="str">
        <f>"НЕСТЕРОВА НАДЕЖДА ВИКТОРОВНА"</f>
        <v>НЕСТЕРОВА НАДЕЖДА ВИКТОРОВНА</v>
      </c>
      <c r="B684" t="str">
        <f>"1973-12-27"</f>
        <v>1973-12-27</v>
      </c>
      <c r="C684" t="str">
        <f>"80 18 892144"</f>
        <v>80 18 892144</v>
      </c>
      <c r="D684" t="str">
        <f>"4279011613546137"</f>
        <v>4279011613546137</v>
      </c>
      <c r="E684" t="str">
        <f>"2021-05-31"</f>
        <v>2021-05-31</v>
      </c>
      <c r="F684" t="str">
        <f t="shared" si="112"/>
        <v>+</v>
      </c>
      <c r="G684" t="str">
        <f t="shared" si="112"/>
        <v>+</v>
      </c>
      <c r="H684" t="str">
        <f>"40817810016991427885"</f>
        <v>40817810016991427885</v>
      </c>
      <c r="I684" t="str">
        <f>"8598"</f>
        <v>8598</v>
      </c>
      <c r="J684" t="str">
        <f>"0246"</f>
        <v>0246</v>
      </c>
      <c r="K684" t="str">
        <f>"145000.00"</f>
        <v>145000.00</v>
      </c>
      <c r="L684" t="str">
        <f>"450000 ОБЛ БЕЛГОРОДСКАЯ   Г УФА   УЛ ФЕРИНА д. 2"</f>
        <v>450000 ОБЛ БЕЛГОРОДСКАЯ   Г УФА   УЛ ФЕРИНА д. 2</v>
      </c>
      <c r="M684" t="str">
        <f t="shared" si="108"/>
        <v>2019-08-24</v>
      </c>
      <c r="N684" t="str">
        <f>"ПАО УМПО"</f>
        <v>ПАО УМПО</v>
      </c>
      <c r="O684" t="str">
        <f>"450068"</f>
        <v>450068</v>
      </c>
      <c r="P684" t="str">
        <f>"РЕСП БАШКОРТОСТАН"</f>
        <v>РЕСП БАШКОРТОСТАН</v>
      </c>
      <c r="Q684" t="str">
        <f>""</f>
        <v/>
      </c>
      <c r="R684" t="str">
        <f>"Г УФА"</f>
        <v>Г УФА</v>
      </c>
      <c r="S684" t="str">
        <f>""</f>
        <v/>
      </c>
      <c r="T684" t="str">
        <f>"УЛ Б.ХМЕЛЬНИЦКОГО"</f>
        <v>УЛ Б.ХМЕЛЬНИЦКОГО</v>
      </c>
      <c r="U684" s="1" t="str">
        <f>"60"</f>
        <v>60</v>
      </c>
      <c r="V684" s="1" t="str">
        <f>""</f>
        <v/>
      </c>
      <c r="W684" s="1" t="str">
        <f>""</f>
        <v/>
      </c>
      <c r="X684" s="1" t="str">
        <f>""</f>
        <v/>
      </c>
      <c r="Y684" s="1" t="str">
        <f>"1"</f>
        <v>1</v>
      </c>
      <c r="Z684" t="str">
        <f>"0000000000"</f>
        <v>0000000000</v>
      </c>
      <c r="AA684" t="str">
        <f>"9874821275"</f>
        <v>9874821275</v>
      </c>
      <c r="AB684" t="str">
        <f>"9874821276"</f>
        <v>9874821276</v>
      </c>
      <c r="AC684" t="str">
        <f>"9874821275"</f>
        <v>9874821275</v>
      </c>
      <c r="AD684" t="str">
        <f>"9874821276"</f>
        <v>9874821276</v>
      </c>
      <c r="AE684" t="str">
        <f>""</f>
        <v/>
      </c>
    </row>
    <row r="685" spans="1:31" x14ac:dyDescent="0.45">
      <c r="A685" t="str">
        <f>"ЭРГАРДТ ЭДУАРД ГЕННАДЬЕВИЧ"</f>
        <v>ЭРГАРДТ ЭДУАРД ГЕННАДЬЕВИЧ</v>
      </c>
      <c r="B685" t="str">
        <f>"1996-05-09"</f>
        <v>1996-05-09</v>
      </c>
      <c r="C685" t="str">
        <f>"65 16 246965"</f>
        <v>65 16 246965</v>
      </c>
      <c r="D685" t="str">
        <f>"4276011632409054"</f>
        <v>4276011632409054</v>
      </c>
      <c r="E685" t="str">
        <f>"2021-05-31"</f>
        <v>2021-05-31</v>
      </c>
      <c r="F685" t="str">
        <f t="shared" si="112"/>
        <v>+</v>
      </c>
      <c r="G685" t="str">
        <f t="shared" si="112"/>
        <v>+</v>
      </c>
      <c r="H685" t="str">
        <f>"40817810616991427887"</f>
        <v>40817810616991427887</v>
      </c>
      <c r="I685" t="str">
        <f>"7003"</f>
        <v>7003</v>
      </c>
      <c r="J685" t="str">
        <f>"0359"</f>
        <v>0359</v>
      </c>
      <c r="K685" t="str">
        <f>"50000.00"</f>
        <v>50000.00</v>
      </c>
      <c r="L685" t="str">
        <f>"620000 ОБЛ СВЕРДЛОВСКАЯ   Г ЕКАТЕРИНБУРГ   ПР-КТ КОСМОНАВТОВ д. 15"</f>
        <v>620000 ОБЛ СВЕРДЛОВСКАЯ   Г ЕКАТЕРИНБУРГ   ПР-КТ КОСМОНАВТОВ д. 15</v>
      </c>
      <c r="M685" t="str">
        <f t="shared" si="108"/>
        <v>2019-08-24</v>
      </c>
      <c r="N685" t="str">
        <f>"ООО СЕРВИС"</f>
        <v>ООО СЕРВИС</v>
      </c>
      <c r="O685" t="str">
        <f>"620012"</f>
        <v>620012</v>
      </c>
      <c r="P685" t="str">
        <f>"ОБЛ СВЕРДЛОВСКАЯ"</f>
        <v>ОБЛ СВЕРДЛОВСКАЯ</v>
      </c>
      <c r="Q685" t="str">
        <f>""</f>
        <v/>
      </c>
      <c r="R685" t="str">
        <f>"Г ЕКАТЕРИНБУРГ"</f>
        <v>Г ЕКАТЕРИНБУРГ</v>
      </c>
      <c r="S685" t="str">
        <f>""</f>
        <v/>
      </c>
      <c r="T685" t="str">
        <f>"УЛ СТАХАНОВСКАЯ"</f>
        <v>УЛ СТАХАНОВСКАЯ</v>
      </c>
      <c r="U685" s="1" t="str">
        <f>"22"</f>
        <v>22</v>
      </c>
      <c r="V685" s="1" t="str">
        <f>""</f>
        <v/>
      </c>
      <c r="W685" s="1" t="str">
        <f>""</f>
        <v/>
      </c>
      <c r="X685" s="1" t="str">
        <f>""</f>
        <v/>
      </c>
      <c r="Y685" s="1" t="str">
        <f>"73"</f>
        <v>73</v>
      </c>
      <c r="Z685" t="str">
        <f>"9022655545"</f>
        <v>9022655545</v>
      </c>
      <c r="AA685" t="str">
        <f>""</f>
        <v/>
      </c>
      <c r="AB685" t="str">
        <f>"9221368008"</f>
        <v>9221368008</v>
      </c>
      <c r="AC685" t="str">
        <f>""</f>
        <v/>
      </c>
      <c r="AD685" t="str">
        <f>"9221368008"</f>
        <v>9221368008</v>
      </c>
      <c r="AE685" t="str">
        <f>"9022655545"</f>
        <v>9022655545</v>
      </c>
    </row>
    <row r="686" spans="1:31" x14ac:dyDescent="0.45">
      <c r="A686" t="str">
        <f>"ГАЛИН ВИКТОР ГЕОРГИЕВИЧ"</f>
        <v>ГАЛИН ВИКТОР ГЕОРГИЕВИЧ</v>
      </c>
      <c r="B686" t="str">
        <f>"1963-08-31"</f>
        <v>1963-08-31</v>
      </c>
      <c r="C686" t="str">
        <f>"65 08 611355"</f>
        <v>65 08 611355</v>
      </c>
      <c r="D686" t="str">
        <f>"4854630427442358"</f>
        <v>4854630427442358</v>
      </c>
      <c r="E686" t="str">
        <f>"2021-05-31"</f>
        <v>2021-05-31</v>
      </c>
      <c r="F686" t="str">
        <f t="shared" si="112"/>
        <v>+</v>
      </c>
      <c r="G686" t="str">
        <f t="shared" si="112"/>
        <v>+</v>
      </c>
      <c r="H686" t="str">
        <f>"40817810216991464101"</f>
        <v>40817810216991464101</v>
      </c>
      <c r="I686" t="str">
        <f>"7003"</f>
        <v>7003</v>
      </c>
      <c r="J686" t="str">
        <f>"0670"</f>
        <v>0670</v>
      </c>
      <c r="K686" t="str">
        <f>"70000.00"</f>
        <v>70000.00</v>
      </c>
      <c r="L686" t="str">
        <f>"623340 ОБЛ СВЕРДЛОВСКАЯ Р-Н АРТИНСКИЙ   П АРТИ УЛ ДЕРЯБИНА д. 13"</f>
        <v>623340 ОБЛ СВЕРДЛОВСКАЯ Р-Н АРТИНСКИЙ   П АРТИ УЛ ДЕРЯБИНА д. 13</v>
      </c>
      <c r="M686" t="str">
        <f t="shared" si="108"/>
        <v>2019-08-24</v>
      </c>
      <c r="N686" t="str">
        <f>"МБОУ АСОШ № 6"</f>
        <v>МБОУ АСОШ № 6</v>
      </c>
      <c r="O686" t="str">
        <f>"623340"</f>
        <v>623340</v>
      </c>
      <c r="P686" t="str">
        <f>"ОБЛ СВЕРДЛОВСКАЯ"</f>
        <v>ОБЛ СВЕРДЛОВСКАЯ</v>
      </c>
      <c r="Q686" t="str">
        <f>"Р-Н АРТИНСКИЙ"</f>
        <v>Р-Н АРТИНСКИЙ</v>
      </c>
      <c r="R686" t="str">
        <f>""</f>
        <v/>
      </c>
      <c r="S686" t="str">
        <f>"П АРТИ"</f>
        <v>П АРТИ</v>
      </c>
      <c r="T686" t="str">
        <f>"УЛ КИРОВА"</f>
        <v>УЛ КИРОВА</v>
      </c>
      <c r="U686" s="1" t="str">
        <f>"25"</f>
        <v>25</v>
      </c>
      <c r="V686" s="1" t="str">
        <f>""</f>
        <v/>
      </c>
      <c r="W686" s="1" t="str">
        <f>""</f>
        <v/>
      </c>
      <c r="X686" s="1" t="str">
        <f>""</f>
        <v/>
      </c>
      <c r="Y686" s="1" t="str">
        <f>""</f>
        <v/>
      </c>
      <c r="Z686" t="str">
        <f>"3439121187"</f>
        <v>3439121187</v>
      </c>
      <c r="AA686" t="str">
        <f>"9022662479"</f>
        <v>9022662479</v>
      </c>
      <c r="AB686" t="str">
        <f>"9022662479"</f>
        <v>9022662479</v>
      </c>
      <c r="AC686" t="str">
        <f>"3439121117"</f>
        <v>3439121117</v>
      </c>
      <c r="AD686" t="str">
        <f>"9022662479"</f>
        <v>9022662479</v>
      </c>
      <c r="AE686" t="str">
        <f>"3439121187"</f>
        <v>3439121187</v>
      </c>
    </row>
    <row r="687" spans="1:31" x14ac:dyDescent="0.45">
      <c r="A687" t="str">
        <f>"АНТИПИН ИГОРЬ СЕРГЕЕВИЧ"</f>
        <v>АНТИПИН ИГОРЬ СЕРГЕЕВИЧ</v>
      </c>
      <c r="B687" t="str">
        <f>"1993-12-20"</f>
        <v>1993-12-20</v>
      </c>
      <c r="C687" t="str">
        <f>"67 14 384916"</f>
        <v>67 14 384916</v>
      </c>
      <c r="D687" t="str">
        <f>"4279016747294769"</f>
        <v>4279016747294769</v>
      </c>
      <c r="E687" t="str">
        <f>"2021-05-31"</f>
        <v>2021-05-31</v>
      </c>
      <c r="F687" t="str">
        <f t="shared" si="112"/>
        <v>+</v>
      </c>
      <c r="G687" t="str">
        <f t="shared" si="112"/>
        <v>+</v>
      </c>
      <c r="H687" t="str">
        <f>"40817810316992502289"</f>
        <v>40817810316992502289</v>
      </c>
      <c r="I687" t="str">
        <f>"5940"</f>
        <v>5940</v>
      </c>
      <c r="J687" t="str">
        <f>"0100"</f>
        <v>0100</v>
      </c>
      <c r="K687" t="str">
        <f>"50000.00"</f>
        <v>50000.00</v>
      </c>
      <c r="L687" t="str">
        <f>"628311 ОБЛ ТЮМЕНСКАЯ   Г НЕФТЕЮГАНСК   МКР 3 д. 2"</f>
        <v>628311 ОБЛ ТЮМЕНСКАЯ   Г НЕФТЕЮГАНСК   МКР 3 д. 2</v>
      </c>
      <c r="M687" t="str">
        <f t="shared" si="108"/>
        <v>2019-08-24</v>
      </c>
      <c r="N687" t="str">
        <f>"ООО ЮМЗ"</f>
        <v>ООО ЮМЗ</v>
      </c>
      <c r="O687" t="str">
        <f>"628311"</f>
        <v>628311</v>
      </c>
      <c r="P687" t="str">
        <f>"ОБЛ ТЮМЕНСКАЯ"</f>
        <v>ОБЛ ТЮМЕНСКАЯ</v>
      </c>
      <c r="Q687" t="str">
        <f>""</f>
        <v/>
      </c>
      <c r="R687" t="str">
        <f>"Г НЕФТЕЮГАНСК"</f>
        <v>Г НЕФТЕЮГАНСК</v>
      </c>
      <c r="S687" t="str">
        <f>""</f>
        <v/>
      </c>
      <c r="T687" t="str">
        <f>"МКР 15"</f>
        <v>МКР 15</v>
      </c>
      <c r="U687" s="1" t="str">
        <f>"11"</f>
        <v>11</v>
      </c>
      <c r="V687" s="1" t="str">
        <f>""</f>
        <v/>
      </c>
      <c r="W687" s="1" t="str">
        <f>""</f>
        <v/>
      </c>
      <c r="X687" s="1" t="str">
        <f>""</f>
        <v/>
      </c>
      <c r="Y687" s="1" t="str">
        <f>"175"</f>
        <v>175</v>
      </c>
      <c r="Z687" t="str">
        <f>"9822164365"</f>
        <v>9822164365</v>
      </c>
      <c r="AA687" t="str">
        <f>"9224333390"</f>
        <v>9224333390</v>
      </c>
      <c r="AB687" t="str">
        <f>"9822164365"</f>
        <v>9822164365</v>
      </c>
      <c r="AC687" t="str">
        <f>"9224333390"</f>
        <v>9224333390</v>
      </c>
      <c r="AD687" t="str">
        <f>"9822164365"</f>
        <v>9822164365</v>
      </c>
      <c r="AE687" t="str">
        <f>"9822164365"</f>
        <v>9822164365</v>
      </c>
    </row>
    <row r="688" spans="1:31" x14ac:dyDescent="0.45">
      <c r="A688" t="str">
        <f>"ТУРДИМАТОВ МУХАММАДАЛИ АХМАДАЛИЕВИЧ"</f>
        <v>ТУРДИМАТОВ МУХАММАДАЛИ АХМАДАЛИЕВИЧ</v>
      </c>
      <c r="B688" t="str">
        <f>"1965-12-14"</f>
        <v>1965-12-14</v>
      </c>
      <c r="C688" t="str">
        <f>"65 14 970460"</f>
        <v>65 14 970460</v>
      </c>
      <c r="D688" t="str">
        <f>"4854630216468259"</f>
        <v>4854630216468259</v>
      </c>
      <c r="E688" t="str">
        <f>"2021-04-30"</f>
        <v>2021-04-30</v>
      </c>
      <c r="F688" t="str">
        <f>"Q"</f>
        <v>Q</v>
      </c>
      <c r="G688" t="str">
        <f>"Q"</f>
        <v>Q</v>
      </c>
      <c r="H688" t="str">
        <f>"40817810516991464102"</f>
        <v>40817810516991464102</v>
      </c>
      <c r="I688" t="str">
        <f>"7003"</f>
        <v>7003</v>
      </c>
      <c r="J688" t="str">
        <f>"0467"</f>
        <v>0467</v>
      </c>
      <c r="K688" t="str">
        <f>"0.00"</f>
        <v>0.00</v>
      </c>
      <c r="L688" t="str">
        <f>"620000 ОБЛ СВЕРДЛОВСКАЯ   Г АРАМИЛЬ   УЛ 1 МАЯ д. 69 кв. 15"</f>
        <v>620000 ОБЛ СВЕРДЛОВСКАЯ   Г АРАМИЛЬ   УЛ 1 МАЯ д. 69 кв. 15</v>
      </c>
      <c r="M688" t="str">
        <f t="shared" si="108"/>
        <v>2019-08-24</v>
      </c>
      <c r="N688" t="str">
        <f>"ИП ТУРДИМАТОВ МА"</f>
        <v>ИП ТУРДИМАТОВ МА</v>
      </c>
      <c r="O688" t="str">
        <f>"620000"</f>
        <v>620000</v>
      </c>
      <c r="P688" t="str">
        <f>"ОБЛ СВЕРДЛОВСКАЯ"</f>
        <v>ОБЛ СВЕРДЛОВСКАЯ</v>
      </c>
      <c r="Q688" t="str">
        <f>"Р-Н СЫСЕРТСКИЙ"</f>
        <v>Р-Н СЫСЕРТСКИЙ</v>
      </c>
      <c r="R688" t="str">
        <f>"Г АРАМИЛЬ"</f>
        <v>Г АРАМИЛЬ</v>
      </c>
      <c r="S688" t="str">
        <f>""</f>
        <v/>
      </c>
      <c r="T688" t="str">
        <f>"УЛ 1 МАЯ"</f>
        <v>УЛ 1 МАЯ</v>
      </c>
      <c r="U688" s="1" t="str">
        <f>"69"</f>
        <v>69</v>
      </c>
      <c r="V688" s="1" t="str">
        <f>""</f>
        <v/>
      </c>
      <c r="W688" s="1" t="str">
        <f>""</f>
        <v/>
      </c>
      <c r="X688" s="1" t="str">
        <f>""</f>
        <v/>
      </c>
      <c r="Y688" s="1" t="str">
        <f>"15"</f>
        <v>15</v>
      </c>
      <c r="Z688" t="str">
        <f>"9827010777"</f>
        <v>9827010777</v>
      </c>
      <c r="AA688" t="str">
        <f>"9638579252"</f>
        <v>9638579252</v>
      </c>
      <c r="AB688" t="str">
        <f>"9638579252"</f>
        <v>9638579252</v>
      </c>
      <c r="AC688" t="str">
        <f>"9638579252"</f>
        <v>9638579252</v>
      </c>
      <c r="AD688" t="str">
        <f>"9638579252"</f>
        <v>9638579252</v>
      </c>
      <c r="AE688" t="str">
        <f>"9827010777"</f>
        <v>9827010777</v>
      </c>
    </row>
    <row r="689" spans="1:31" x14ac:dyDescent="0.45">
      <c r="A689" t="str">
        <f>"СУМИН ЕВГЕНИЙ НИКОЛАЕВИЧ"</f>
        <v>СУМИН ЕВГЕНИЙ НИКОЛАЕВИЧ</v>
      </c>
      <c r="B689" t="str">
        <f>"1995-10-15"</f>
        <v>1995-10-15</v>
      </c>
      <c r="C689" t="str">
        <f>"75 15 715779"</f>
        <v>75 15 715779</v>
      </c>
      <c r="D689" t="str">
        <f>"4854630421671366"</f>
        <v>4854630421671366</v>
      </c>
      <c r="E689" t="str">
        <f>"2021-04-30"</f>
        <v>2021-04-30</v>
      </c>
      <c r="F689" t="str">
        <f>"M"</f>
        <v>M</v>
      </c>
      <c r="G689" t="str">
        <f t="shared" ref="G689:G696" si="113">"+"</f>
        <v>+</v>
      </c>
      <c r="H689" t="str">
        <f>"40817810216991464127"</f>
        <v>40817810216991464127</v>
      </c>
      <c r="I689" t="str">
        <f>"8597"</f>
        <v>8597</v>
      </c>
      <c r="J689" t="str">
        <f>"0280"</f>
        <v>0280</v>
      </c>
      <c r="K689" t="str">
        <f>"50000.00"</f>
        <v>50000.00</v>
      </c>
      <c r="L689" t="str">
        <f>"454000 ОБЛ ЧЕЛЯБИНСКАЯ   Г ЧЕЛЯБИНСК   УЛ МАШИНОСТРОИТЕЛЕЙ д. 21"</f>
        <v>454000 ОБЛ ЧЕЛЯБИНСКАЯ   Г ЧЕЛЯБИНСК   УЛ МАШИНОСТРОИТЕЛЕЙ д. 21</v>
      </c>
      <c r="M689" t="str">
        <f t="shared" si="108"/>
        <v>2019-08-24</v>
      </c>
      <c r="N689" t="str">
        <f>"ПАО ЧТПЗ"</f>
        <v>ПАО ЧТПЗ</v>
      </c>
      <c r="O689" t="str">
        <f>"454000"</f>
        <v>454000</v>
      </c>
      <c r="P689" t="str">
        <f>"ОБЛ ЧЕЛЯБИНСКАЯ"</f>
        <v>ОБЛ ЧЕЛЯБИНСКАЯ</v>
      </c>
      <c r="Q689" t="str">
        <f>""</f>
        <v/>
      </c>
      <c r="R689" t="str">
        <f>"Г ЧЕЛЯБИНСК"</f>
        <v>Г ЧЕЛЯБИНСК</v>
      </c>
      <c r="S689" t="str">
        <f>""</f>
        <v/>
      </c>
      <c r="T689" t="str">
        <f>"УЛ АГАЛАКОВА"</f>
        <v>УЛ АГАЛАКОВА</v>
      </c>
      <c r="U689" s="1" t="str">
        <f>"48"</f>
        <v>48</v>
      </c>
      <c r="V689" s="1" t="str">
        <f>""</f>
        <v/>
      </c>
      <c r="W689" s="1" t="str">
        <f>""</f>
        <v/>
      </c>
      <c r="X689" s="1" t="str">
        <f>""</f>
        <v/>
      </c>
      <c r="Y689" s="1" t="str">
        <f>"237"</f>
        <v>237</v>
      </c>
      <c r="Z689" t="str">
        <f>""</f>
        <v/>
      </c>
      <c r="AA689" t="str">
        <f>"9085710755"</f>
        <v>9085710755</v>
      </c>
      <c r="AB689" t="str">
        <f>"9089361942"</f>
        <v>9089361942</v>
      </c>
      <c r="AC689" t="str">
        <f>"9085710755"</f>
        <v>9085710755</v>
      </c>
      <c r="AD689" t="str">
        <f>"9089361942"</f>
        <v>9089361942</v>
      </c>
      <c r="AE689" t="str">
        <f>""</f>
        <v/>
      </c>
    </row>
    <row r="690" spans="1:31" x14ac:dyDescent="0.45">
      <c r="A690" t="str">
        <f>"ЗЕМЛЯНОВА ИРИНА НИКОЛАЕВНА"</f>
        <v>ЗЕМЛЯНОВА ИРИНА НИКОЛАЕВНА</v>
      </c>
      <c r="B690" t="str">
        <f>"1970-09-10"</f>
        <v>1970-09-10</v>
      </c>
      <c r="C690" t="str">
        <f>"65 15 084707"</f>
        <v>65 15 084707</v>
      </c>
      <c r="D690" t="str">
        <f>"4854630403344453"</f>
        <v>4854630403344453</v>
      </c>
      <c r="E690" t="str">
        <f>"2021-04-30"</f>
        <v>2021-04-30</v>
      </c>
      <c r="F690" t="str">
        <f>"+"</f>
        <v>+</v>
      </c>
      <c r="G690" t="str">
        <f t="shared" si="113"/>
        <v>+</v>
      </c>
      <c r="H690" t="str">
        <f>"40817810516991464128"</f>
        <v>40817810516991464128</v>
      </c>
      <c r="I690" t="str">
        <f>"7003"</f>
        <v>7003</v>
      </c>
      <c r="J690" t="str">
        <f>"0630"</f>
        <v>0630</v>
      </c>
      <c r="K690" t="str">
        <f>"20000.00"</f>
        <v>20000.00</v>
      </c>
      <c r="L690" t="str">
        <f>"620000 ОБЛ СВЕРДЛОВСКАЯ П БЕЛОКАМЕННЫЙ Г АСБЕСТ   УЛ СОВЕТСКАЯ д. 17 корп. А"</f>
        <v>620000 ОБЛ СВЕРДЛОВСКАЯ П БЕЛОКАМЕННЫЙ Г АСБЕСТ   УЛ СОВЕТСКАЯ д. 17 корп. А</v>
      </c>
      <c r="M690" t="str">
        <f t="shared" si="108"/>
        <v>2019-08-24</v>
      </c>
      <c r="N690" t="str">
        <f>"ООО ВОДОЛЕЙ"</f>
        <v>ООО ВОДОЛЕЙ</v>
      </c>
      <c r="O690" t="str">
        <f>"620000"</f>
        <v>620000</v>
      </c>
      <c r="P690" t="str">
        <f>"ОБЛ СВЕРДЛОВСКАЯ"</f>
        <v>ОБЛ СВЕРДЛОВСКАЯ</v>
      </c>
      <c r="Q690" t="str">
        <f>""</f>
        <v/>
      </c>
      <c r="R690" t="str">
        <f>"Г АСБЕСТ"</f>
        <v>Г АСБЕСТ</v>
      </c>
      <c r="S690" t="str">
        <f>""</f>
        <v/>
      </c>
      <c r="T690" t="str">
        <f>"УЛ ПИОНЕРСКАЯ"</f>
        <v>УЛ ПИОНЕРСКАЯ</v>
      </c>
      <c r="U690" s="1" t="str">
        <f>"5"</f>
        <v>5</v>
      </c>
      <c r="V690" s="1" t="str">
        <f>""</f>
        <v/>
      </c>
      <c r="W690" s="1" t="str">
        <f>""</f>
        <v/>
      </c>
      <c r="X690" s="1" t="str">
        <f>""</f>
        <v/>
      </c>
      <c r="Y690" s="1" t="str">
        <f>"18"</f>
        <v>18</v>
      </c>
      <c r="Z690" t="str">
        <f>"3436595693"</f>
        <v>3436595693</v>
      </c>
      <c r="AA690" t="str">
        <f>"3436595693"</f>
        <v>3436595693</v>
      </c>
      <c r="AB690" t="str">
        <f>"9506323348"</f>
        <v>9506323348</v>
      </c>
      <c r="AC690" t="str">
        <f>"3436595693"</f>
        <v>3436595693</v>
      </c>
      <c r="AD690" t="str">
        <f>"9506323348"</f>
        <v>9506323348</v>
      </c>
      <c r="AE690" t="str">
        <f>"3436595693"</f>
        <v>3436595693</v>
      </c>
    </row>
    <row r="691" spans="1:31" x14ac:dyDescent="0.45">
      <c r="A691" t="str">
        <f>"ИГНАТОВА НАДЕЖДА НИКОЛАЕВНА"</f>
        <v>ИГНАТОВА НАДЕЖДА НИКОЛАЕВНА</v>
      </c>
      <c r="B691" t="str">
        <f>"1954-09-09"</f>
        <v>1954-09-09</v>
      </c>
      <c r="C691" t="str">
        <f>"67 04 218591"</f>
        <v>67 04 218591</v>
      </c>
      <c r="D691" t="str">
        <f>"4854630378360161"</f>
        <v>4854630378360161</v>
      </c>
      <c r="E691" t="str">
        <f>"2021-04-30"</f>
        <v>2021-04-30</v>
      </c>
      <c r="F691" t="str">
        <f>"+"</f>
        <v>+</v>
      </c>
      <c r="G691" t="str">
        <f t="shared" si="113"/>
        <v>+</v>
      </c>
      <c r="H691" t="str">
        <f>"40817810316992066699"</f>
        <v>40817810316992066699</v>
      </c>
      <c r="I691" t="str">
        <f>"5940"</f>
        <v>5940</v>
      </c>
      <c r="J691" t="str">
        <f>"0135"</f>
        <v>0135</v>
      </c>
      <c r="K691" t="str">
        <f>"200000.00"</f>
        <v>200000.00</v>
      </c>
      <c r="L691" t="str">
        <f>"628600 ОБЛ ТЮМЕНСКАЯ АО ХАНТЫ-МАНСИЙСКИЙ Г НИЖНЕВАРТОВСК   УЛ ОМСКАЯ д. 54 кв. 32"</f>
        <v>628600 ОБЛ ТЮМЕНСКАЯ АО ХАНТЫ-МАНСИЙСКИЙ Г НИЖНЕВАРТОВСК   УЛ ОМСКАЯ д. 54 кв. 32</v>
      </c>
      <c r="M691" t="str">
        <f t="shared" si="108"/>
        <v>2019-08-24</v>
      </c>
      <c r="N691" t="str">
        <f>"ПЕНСИОНЕР"</f>
        <v>ПЕНСИОНЕР</v>
      </c>
      <c r="O691" t="str">
        <f>"628600"</f>
        <v>628600</v>
      </c>
      <c r="P691" t="str">
        <f>"ОБЛ ТЮМЕНСКАЯ"</f>
        <v>ОБЛ ТЮМЕНСКАЯ</v>
      </c>
      <c r="Q691" t="str">
        <f>"АО ХАНТЫ-МАНСИЙСКИЙ"</f>
        <v>АО ХАНТЫ-МАНСИЙСКИЙ</v>
      </c>
      <c r="R691" t="str">
        <f>"Г НИЖНЕВАРТОВСК"</f>
        <v>Г НИЖНЕВАРТОВСК</v>
      </c>
      <c r="S691" t="str">
        <f>""</f>
        <v/>
      </c>
      <c r="T691" t="str">
        <f>"УЛ ОМСКАЯ"</f>
        <v>УЛ ОМСКАЯ</v>
      </c>
      <c r="U691" s="1" t="str">
        <f>"54"</f>
        <v>54</v>
      </c>
      <c r="V691" s="1" t="str">
        <f>""</f>
        <v/>
      </c>
      <c r="W691" s="1" t="str">
        <f>""</f>
        <v/>
      </c>
      <c r="X691" s="1" t="str">
        <f>""</f>
        <v/>
      </c>
      <c r="Y691" s="1" t="str">
        <f>"32"</f>
        <v>32</v>
      </c>
      <c r="Z691" t="str">
        <f>""</f>
        <v/>
      </c>
      <c r="AA691" t="str">
        <f>"9825482410"</f>
        <v>9825482410</v>
      </c>
      <c r="AB691" t="str">
        <f>"9028544235"</f>
        <v>9028544235</v>
      </c>
      <c r="AC691" t="str">
        <f>"9825482410"</f>
        <v>9825482410</v>
      </c>
      <c r="AD691" t="str">
        <f>"9028544235"</f>
        <v>9028544235</v>
      </c>
      <c r="AE691" t="str">
        <f>""</f>
        <v/>
      </c>
    </row>
    <row r="692" spans="1:31" x14ac:dyDescent="0.45">
      <c r="A692" t="str">
        <f>"ГАЛЫШЕВА ОЛЬГА НИКОЛАЕВНА"</f>
        <v>ГАЛЫШЕВА ОЛЬГА НИКОЛАЕВНА</v>
      </c>
      <c r="B692" t="str">
        <f>"1978-03-10"</f>
        <v>1978-03-10</v>
      </c>
      <c r="C692" t="str">
        <f>"75 04 287016"</f>
        <v>75 04 287016</v>
      </c>
      <c r="D692" t="str">
        <f>"5313100406130772"</f>
        <v>5313100406130772</v>
      </c>
      <c r="E692" t="str">
        <f>"2021-03-31"</f>
        <v>2021-03-31</v>
      </c>
      <c r="F692" t="str">
        <f>"+"</f>
        <v>+</v>
      </c>
      <c r="G692" t="str">
        <f t="shared" si="113"/>
        <v>+</v>
      </c>
      <c r="H692" t="str">
        <f>"40817810816991464129"</f>
        <v>40817810816991464129</v>
      </c>
      <c r="I692" t="str">
        <f>"8597"</f>
        <v>8597</v>
      </c>
      <c r="J692" t="str">
        <f>"0295"</f>
        <v>0295</v>
      </c>
      <c r="K692" t="str">
        <f>"25000.00"</f>
        <v>25000.00</v>
      </c>
      <c r="L692" t="str">
        <f>"454000 ОБЛ ЧЕЛЯБИНСКАЯ   Г ЧЕЛЯБИНСК   УЛ НОВОРОССИЙСКАЯ д. 46"</f>
        <v>454000 ОБЛ ЧЕЛЯБИНСКАЯ   Г ЧЕЛЯБИНСК   УЛ НОВОРОССИЙСКАЯ д. 46</v>
      </c>
      <c r="M692" t="str">
        <f t="shared" si="108"/>
        <v>2019-08-24</v>
      </c>
      <c r="N692" t="str">
        <f>"ОА ЧЗМК"</f>
        <v>ОА ЧЗМК</v>
      </c>
      <c r="O692" t="str">
        <f>"456655"</f>
        <v>456655</v>
      </c>
      <c r="P692" t="str">
        <f>"ОБЛ ЧЕЛЯБИНСКАЯ"</f>
        <v>ОБЛ ЧЕЛЯБИНСКАЯ</v>
      </c>
      <c r="Q692" t="str">
        <f>""</f>
        <v/>
      </c>
      <c r="R692" t="str">
        <f>"Г КОПЕЙСК"</f>
        <v>Г КОПЕЙСК</v>
      </c>
      <c r="S692" t="str">
        <f>""</f>
        <v/>
      </c>
      <c r="T692" t="str">
        <f>"УЛ 19 ПАРТСЪЕЗДА"</f>
        <v>УЛ 19 ПАРТСЪЕЗДА</v>
      </c>
      <c r="U692" s="1" t="str">
        <f>"7"</f>
        <v>7</v>
      </c>
      <c r="V692" s="1" t="str">
        <f>""</f>
        <v/>
      </c>
      <c r="W692" s="1" t="str">
        <f>""</f>
        <v/>
      </c>
      <c r="X692" s="1" t="str">
        <f>""</f>
        <v/>
      </c>
      <c r="Y692" s="1" t="str">
        <f>"4"</f>
        <v>4</v>
      </c>
      <c r="Z692" t="str">
        <f>""</f>
        <v/>
      </c>
      <c r="AA692" t="str">
        <f>"9518001613"</f>
        <v>9518001613</v>
      </c>
      <c r="AB692" t="str">
        <f>"9518001613"</f>
        <v>9518001613</v>
      </c>
      <c r="AC692" t="str">
        <f>"9518001613"</f>
        <v>9518001613</v>
      </c>
      <c r="AD692" t="str">
        <f>"9518001613"</f>
        <v>9518001613</v>
      </c>
      <c r="AE692" t="str">
        <f>""</f>
        <v/>
      </c>
    </row>
    <row r="693" spans="1:31" x14ac:dyDescent="0.45">
      <c r="A693" t="str">
        <f>"ЯКОНИН АЛЕКСЕЙ ВЛАДИМИРОВИЧ"</f>
        <v>ЯКОНИН АЛЕКСЕЙ ВЛАДИМИРОВИЧ</v>
      </c>
      <c r="B693" t="str">
        <f>"1977-12-17"</f>
        <v>1977-12-17</v>
      </c>
      <c r="C693" t="str">
        <f>"65 03 659406"</f>
        <v>65 03 659406</v>
      </c>
      <c r="D693" t="str">
        <f>"4854630421002158"</f>
        <v>4854630421002158</v>
      </c>
      <c r="E693" t="str">
        <f>"2021-05-31"</f>
        <v>2021-05-31</v>
      </c>
      <c r="F693" t="str">
        <f>"+"</f>
        <v>+</v>
      </c>
      <c r="G693" t="str">
        <f t="shared" si="113"/>
        <v>+</v>
      </c>
      <c r="H693" t="str">
        <f>"40817810616991464154"</f>
        <v>40817810616991464154</v>
      </c>
      <c r="I693" t="str">
        <f>"7003"</f>
        <v>7003</v>
      </c>
      <c r="J693" t="str">
        <f>"0884"</f>
        <v>0884</v>
      </c>
      <c r="K693" t="str">
        <f>"100000.00"</f>
        <v>100000.00</v>
      </c>
      <c r="L693" t="str">
        <f>"620000 ОБЛ СВЕРДЛОВСКАЯ   Г НИЖНИЙ ТАГИЛ   УЛ МЕТАЛЛУРГОВ д. 1"</f>
        <v>620000 ОБЛ СВЕРДЛОВСКАЯ   Г НИЖНИЙ ТАГИЛ   УЛ МЕТАЛЛУРГОВ д. 1</v>
      </c>
      <c r="M693" t="str">
        <f t="shared" si="108"/>
        <v>2019-08-24</v>
      </c>
      <c r="N693" t="str">
        <f>"МЕТАЛЛИНВЕСТ"</f>
        <v>МЕТАЛЛИНВЕСТ</v>
      </c>
      <c r="O693" t="str">
        <f>"622018"</f>
        <v>622018</v>
      </c>
      <c r="P693" t="str">
        <f>"ОБЛ СВЕРДЛОВСКАЯ"</f>
        <v>ОБЛ СВЕРДЛОВСКАЯ</v>
      </c>
      <c r="Q693" t="str">
        <f>""</f>
        <v/>
      </c>
      <c r="R693" t="str">
        <f>"Г НИЖНИЙ ТАГИЛ"</f>
        <v>Г НИЖНИЙ ТАГИЛ</v>
      </c>
      <c r="S693" t="str">
        <f>""</f>
        <v/>
      </c>
      <c r="T693" t="str">
        <f>"УЛ АЛТАЙСКАЯ"</f>
        <v>УЛ АЛТАЙСКАЯ</v>
      </c>
      <c r="U693" s="1" t="str">
        <f>"33"</f>
        <v>33</v>
      </c>
      <c r="V693" s="1" t="str">
        <f>""</f>
        <v/>
      </c>
      <c r="W693" s="1" t="str">
        <f>""</f>
        <v/>
      </c>
      <c r="X693" s="1" t="str">
        <f>""</f>
        <v/>
      </c>
      <c r="Y693" s="1" t="str">
        <f>"12"</f>
        <v>12</v>
      </c>
      <c r="Z693" t="str">
        <f>"9089278155"</f>
        <v>9089278155</v>
      </c>
      <c r="AA693" t="str">
        <f>"9321232029"</f>
        <v>9321232029</v>
      </c>
      <c r="AB693" t="str">
        <f>"9321232029"</f>
        <v>9321232029</v>
      </c>
      <c r="AC693" t="str">
        <f>"9321232029"</f>
        <v>9321232029</v>
      </c>
      <c r="AD693" t="str">
        <f>"9321232029"</f>
        <v>9321232029</v>
      </c>
      <c r="AE693" t="str">
        <f>"9089278155"</f>
        <v>9089278155</v>
      </c>
    </row>
    <row r="694" spans="1:31" x14ac:dyDescent="0.45">
      <c r="A694" t="str">
        <f>"РЕЙНИС АЛЕКСЕЙ АЛЕКСАНДРОВИЧ"</f>
        <v>РЕЙНИС АЛЕКСЕЙ АЛЕКСАНДРОВИЧ</v>
      </c>
      <c r="B694" t="str">
        <f>"1973-09-12"</f>
        <v>1973-09-12</v>
      </c>
      <c r="C694" t="str">
        <f>"75 18 204477"</f>
        <v>75 18 204477</v>
      </c>
      <c r="D694" t="str">
        <f>"4854630423075855"</f>
        <v>4854630423075855</v>
      </c>
      <c r="E694" t="str">
        <f>"2021-04-30"</f>
        <v>2021-04-30</v>
      </c>
      <c r="F694" t="str">
        <f>"+"</f>
        <v>+</v>
      </c>
      <c r="G694" t="str">
        <f t="shared" si="113"/>
        <v>+</v>
      </c>
      <c r="H694" t="str">
        <f>"40817810916991464155"</f>
        <v>40817810916991464155</v>
      </c>
      <c r="I694" t="str">
        <f>"8597"</f>
        <v>8597</v>
      </c>
      <c r="J694" t="str">
        <f>"0294"</f>
        <v>0294</v>
      </c>
      <c r="K694" t="str">
        <f>"100000.00"</f>
        <v>100000.00</v>
      </c>
      <c r="L694" t="str">
        <f>"454084 ОБЛ ЧЕЛЯБИНСКАЯ   Г ЧЕЛЯБИНСК   УЛ КОЖЗАВОДСКАЯ д. 78"</f>
        <v>454084 ОБЛ ЧЕЛЯБИНСКАЯ   Г ЧЕЛЯБИНСК   УЛ КОЖЗАВОДСКАЯ д. 78</v>
      </c>
      <c r="M694" t="str">
        <f t="shared" si="108"/>
        <v>2019-08-24</v>
      </c>
      <c r="N694" t="str">
        <f>"ЗАО МОНТАЖНОЕ УПРАВЛЕНИЕ"</f>
        <v>ЗАО МОНТАЖНОЕ УПРАВЛЕНИЕ</v>
      </c>
      <c r="O694" t="str">
        <f>"454000"</f>
        <v>454000</v>
      </c>
      <c r="P694" t="str">
        <f>"ОБЛ ЧЕЛЯБИНСКАЯ"</f>
        <v>ОБЛ ЧЕЛЯБИНСКАЯ</v>
      </c>
      <c r="Q694" t="str">
        <f>""</f>
        <v/>
      </c>
      <c r="R694" t="str">
        <f>"Г ЧЕЛЯБИНСК"</f>
        <v>Г ЧЕЛЯБИНСК</v>
      </c>
      <c r="S694" t="str">
        <f>""</f>
        <v/>
      </c>
      <c r="T694" t="str">
        <f>"УЛ СОЛНЕЧНАЯ"</f>
        <v>УЛ СОЛНЕЧНАЯ</v>
      </c>
      <c r="U694" s="1" t="str">
        <f>"28"</f>
        <v>28</v>
      </c>
      <c r="V694" s="1" t="str">
        <f>""</f>
        <v/>
      </c>
      <c r="W694" s="1" t="str">
        <f>""</f>
        <v/>
      </c>
      <c r="X694" s="1" t="str">
        <f>""</f>
        <v/>
      </c>
      <c r="Y694" s="1" t="str">
        <f>"59"</f>
        <v>59</v>
      </c>
      <c r="Z694" t="str">
        <f>"3517912435"</f>
        <v>3517912435</v>
      </c>
      <c r="AA694" t="str">
        <f>"3517428031"</f>
        <v>3517428031</v>
      </c>
      <c r="AB694" t="str">
        <f>"9028904431"</f>
        <v>9028904431</v>
      </c>
      <c r="AC694" t="str">
        <f>"9127757439"</f>
        <v>9127757439</v>
      </c>
      <c r="AD694" t="str">
        <f>"9028904431"</f>
        <v>9028904431</v>
      </c>
      <c r="AE694" t="str">
        <f>""</f>
        <v/>
      </c>
    </row>
    <row r="695" spans="1:31" x14ac:dyDescent="0.45">
      <c r="A695" t="str">
        <f>"БАТУЕВ ВЛАДИМИР СЕРГЕЕВИЧ"</f>
        <v>БАТУЕВ ВЛАДИМИР СЕРГЕЕВИЧ</v>
      </c>
      <c r="B695" t="str">
        <f>"1992-06-16"</f>
        <v>1992-06-16</v>
      </c>
      <c r="C695" t="str">
        <f>"65 11 380868"</f>
        <v>65 11 380868</v>
      </c>
      <c r="D695" t="str">
        <f>"4854630372225386"</f>
        <v>4854630372225386</v>
      </c>
      <c r="E695" t="str">
        <f>"2021-04-30"</f>
        <v>2021-04-30</v>
      </c>
      <c r="F695" t="str">
        <f>"K"</f>
        <v>K</v>
      </c>
      <c r="G695" t="str">
        <f t="shared" si="113"/>
        <v>+</v>
      </c>
      <c r="H695" t="str">
        <f>"40817810816991424693"</f>
        <v>40817810816991424693</v>
      </c>
      <c r="I695" t="str">
        <f>"7003"</f>
        <v>7003</v>
      </c>
      <c r="J695" t="str">
        <f>"0428"</f>
        <v>0428</v>
      </c>
      <c r="K695" t="str">
        <f>"34000.00"</f>
        <v>34000.00</v>
      </c>
      <c r="L695" t="str">
        <f>"620000 ОБЛ СВЕРДЛОВСКАЯ   Г ЕКАТЕРИНБУРГ   УЛ МУРЗИНСКАЯ д. 33"</f>
        <v>620000 ОБЛ СВЕРДЛОВСКАЯ   Г ЕКАТЕРИНБУРГ   УЛ МУРЗИНСКАЯ д. 33</v>
      </c>
      <c r="M695" t="str">
        <f t="shared" si="108"/>
        <v>2019-08-24</v>
      </c>
      <c r="N695" t="str">
        <f>"ВОИСКОВАЯ ЧАСТЬ 3474"</f>
        <v>ВОИСКОВАЯ ЧАСТЬ 3474</v>
      </c>
      <c r="O695" t="str">
        <f>"620000"</f>
        <v>620000</v>
      </c>
      <c r="P695" t="str">
        <f>"ОБЛ СВЕРДЛОВСКАЯ"</f>
        <v>ОБЛ СВЕРДЛОВСКАЯ</v>
      </c>
      <c r="Q695" t="str">
        <f>""</f>
        <v/>
      </c>
      <c r="R695" t="str">
        <f>"Г ЕКАТЕРИНБУРГ"</f>
        <v>Г ЕКАТЕРИНБУРГ</v>
      </c>
      <c r="S695" t="str">
        <f>""</f>
        <v/>
      </c>
      <c r="T695" t="str">
        <f>"УЛ КОБОЗЕВА"</f>
        <v>УЛ КОБОЗЕВА</v>
      </c>
      <c r="U695" s="1" t="str">
        <f>"112А"</f>
        <v>112А</v>
      </c>
      <c r="V695" s="1" t="str">
        <f>""</f>
        <v/>
      </c>
      <c r="W695" s="1" t="str">
        <f>""</f>
        <v/>
      </c>
      <c r="X695" s="1" t="str">
        <f>""</f>
        <v/>
      </c>
      <c r="Y695" s="1" t="str">
        <f>"2"</f>
        <v>2</v>
      </c>
      <c r="Z695" t="str">
        <f>"3433342217"</f>
        <v>3433342217</v>
      </c>
      <c r="AA695" t="str">
        <f>"3433349728"</f>
        <v>3433349728</v>
      </c>
      <c r="AB695" t="str">
        <f>"9089193405"</f>
        <v>9089193405</v>
      </c>
      <c r="AC695" t="str">
        <f>"3433349728"</f>
        <v>3433349728</v>
      </c>
      <c r="AD695" t="str">
        <f>"9089193405"</f>
        <v>9089193405</v>
      </c>
      <c r="AE695" t="str">
        <f>"3433342217"</f>
        <v>3433342217</v>
      </c>
    </row>
    <row r="696" spans="1:31" x14ac:dyDescent="0.45">
      <c r="A696" t="str">
        <f>"ЯНГИЛЬДИН МУКАДЕС АЛИРЗАЕВИЧ"</f>
        <v>ЯНГИЛЬДИН МУКАДЕС АЛИРЗАЕВИЧ</v>
      </c>
      <c r="B696" t="str">
        <f>"1954-09-12"</f>
        <v>1954-09-12</v>
      </c>
      <c r="C696" t="str">
        <f>"80 02 987372"</f>
        <v>80 02 987372</v>
      </c>
      <c r="D696" t="str">
        <f>"4854630188838547"</f>
        <v>4854630188838547</v>
      </c>
      <c r="E696" t="str">
        <f>"2020-11-30"</f>
        <v>2020-11-30</v>
      </c>
      <c r="F696" t="str">
        <f>"+"</f>
        <v>+</v>
      </c>
      <c r="G696" t="str">
        <f t="shared" si="113"/>
        <v>+</v>
      </c>
      <c r="H696" t="str">
        <f>"40817810816991429863"</f>
        <v>40817810816991429863</v>
      </c>
      <c r="I696" t="str">
        <f>"8598"</f>
        <v>8598</v>
      </c>
      <c r="J696" t="str">
        <f>"0163"</f>
        <v>0163</v>
      </c>
      <c r="K696" t="str">
        <f>"13000.00"</f>
        <v>13000.00</v>
      </c>
      <c r="L696" t="str">
        <f>"450000 РЕСП БАШКОРТОСТАН   Г УФА   УЛ ВОКЗАЛЬНАЯ д. 27 кв. 5"</f>
        <v>450000 РЕСП БАШКОРТОСТАН   Г УФА   УЛ ВОКЗАЛЬНАЯ д. 27 кв. 5</v>
      </c>
      <c r="M696" t="str">
        <f t="shared" si="108"/>
        <v>2019-08-24</v>
      </c>
      <c r="N696" t="str">
        <f>"ПЕНСИОНЕР"</f>
        <v>ПЕНСИОНЕР</v>
      </c>
      <c r="O696" t="str">
        <f>"450000"</f>
        <v>450000</v>
      </c>
      <c r="P696" t="str">
        <f>"РЕСП БАШКОРТОСТАН"</f>
        <v>РЕСП БАШКОРТОСТАН</v>
      </c>
      <c r="Q696" t="str">
        <f>""</f>
        <v/>
      </c>
      <c r="R696" t="str">
        <f>"Г УФА"</f>
        <v>Г УФА</v>
      </c>
      <c r="S696" t="str">
        <f>""</f>
        <v/>
      </c>
      <c r="T696" t="str">
        <f>"УЛ ВОКЗАЛЬНАЯ"</f>
        <v>УЛ ВОКЗАЛЬНАЯ</v>
      </c>
      <c r="U696" s="1" t="str">
        <f>"27"</f>
        <v>27</v>
      </c>
      <c r="V696" s="1" t="str">
        <f>""</f>
        <v/>
      </c>
      <c r="W696" s="1" t="str">
        <f>""</f>
        <v/>
      </c>
      <c r="X696" s="1" t="str">
        <f>""</f>
        <v/>
      </c>
      <c r="Y696" s="1" t="str">
        <f>"5"</f>
        <v>5</v>
      </c>
      <c r="Z696" t="str">
        <f>"+7 (965) 6681684"</f>
        <v>+7 (965) 6681684</v>
      </c>
      <c r="AA696" t="str">
        <f>""</f>
        <v/>
      </c>
      <c r="AB696" t="str">
        <f>"9173799769"</f>
        <v>9173799769</v>
      </c>
      <c r="AC696" t="str">
        <f>"9656681684"</f>
        <v>9656681684</v>
      </c>
      <c r="AD696" t="str">
        <f>"9656681684"</f>
        <v>9656681684</v>
      </c>
      <c r="AE696" t="str">
        <f>"9656681684"</f>
        <v>9656681684</v>
      </c>
    </row>
    <row r="697" spans="1:31" x14ac:dyDescent="0.45">
      <c r="A697" t="str">
        <f>"ПАВЛЕНЮК ЕВГЕНИЯ МИХАЙЛОВНА"</f>
        <v>ПАВЛЕНЮК ЕВГЕНИЯ МИХАЙЛОВНА</v>
      </c>
      <c r="B697" t="str">
        <f>"1985-03-25"</f>
        <v>1985-03-25</v>
      </c>
      <c r="C697" t="str">
        <f>"37 05 031804"</f>
        <v>37 05 031804</v>
      </c>
      <c r="D697" t="str">
        <f>"4854630411656641"</f>
        <v>4854630411656641</v>
      </c>
      <c r="E697" t="str">
        <f>"2021-04-30"</f>
        <v>2021-04-30</v>
      </c>
      <c r="F697" t="str">
        <f>"Q"</f>
        <v>Q</v>
      </c>
      <c r="G697" t="str">
        <f>"Q"</f>
        <v>Q</v>
      </c>
      <c r="H697" t="str">
        <f>"40817810016991427843"</f>
        <v>40817810016991427843</v>
      </c>
      <c r="I697" t="str">
        <f>"8599"</f>
        <v>8599</v>
      </c>
      <c r="J697" t="str">
        <f>"0045"</f>
        <v>0045</v>
      </c>
      <c r="K697" t="str">
        <f>"0.00"</f>
        <v>0.00</v>
      </c>
      <c r="L697" t="str">
        <f>"641000 ОБЛ КУРГАНСКАЯ   Г КУРГАН   УЛ ОМСКАЯ д. 140"</f>
        <v>641000 ОБЛ КУРГАНСКАЯ   Г КУРГАН   УЛ ОМСКАЯ д. 140</v>
      </c>
      <c r="M697" t="str">
        <f t="shared" si="108"/>
        <v>2019-08-24</v>
      </c>
      <c r="N697" t="str">
        <f>"ООО ПЕРАМИДАГРУПП"</f>
        <v>ООО ПЕРАМИДАГРУПП</v>
      </c>
      <c r="O697" t="str">
        <f>"641000"</f>
        <v>641000</v>
      </c>
      <c r="P697" t="str">
        <f>"ОБЛ КУРГАНСКАЯ"</f>
        <v>ОБЛ КУРГАНСКАЯ</v>
      </c>
      <c r="Q697" t="str">
        <f>""</f>
        <v/>
      </c>
      <c r="R697" t="str">
        <f>"Г КУРГАН"</f>
        <v>Г КУРГАН</v>
      </c>
      <c r="S697" t="str">
        <f>""</f>
        <v/>
      </c>
      <c r="T697" t="str">
        <f>"УЛ МЕНДЕЛЕЕВА"</f>
        <v>УЛ МЕНДЕЛЕЕВА</v>
      </c>
      <c r="U697" s="1" t="str">
        <f>"5"</f>
        <v>5</v>
      </c>
      <c r="V697" s="1" t="str">
        <f>""</f>
        <v/>
      </c>
      <c r="W697" s="1" t="str">
        <f>""</f>
        <v/>
      </c>
      <c r="X697" s="1" t="str">
        <f>""</f>
        <v/>
      </c>
      <c r="Y697" s="1" t="str">
        <f>""</f>
        <v/>
      </c>
      <c r="Z697" t="str">
        <f>""</f>
        <v/>
      </c>
      <c r="AA697" t="str">
        <f>"9125275517"</f>
        <v>9125275517</v>
      </c>
      <c r="AB697" t="str">
        <f>"9125275517"</f>
        <v>9125275517</v>
      </c>
      <c r="AC697" t="str">
        <f>"9125275517"</f>
        <v>9125275517</v>
      </c>
      <c r="AD697" t="str">
        <f>"9125275517"</f>
        <v>9125275517</v>
      </c>
      <c r="AE697" t="str">
        <f>""</f>
        <v/>
      </c>
    </row>
    <row r="698" spans="1:31" x14ac:dyDescent="0.45">
      <c r="A698" t="str">
        <f>"БИРЮКОВА СВЕТЛАНА СЕРГЕЕВНА"</f>
        <v>БИРЮКОВА СВЕТЛАНА СЕРГЕЕВНА</v>
      </c>
      <c r="B698" t="str">
        <f>"1982-10-05"</f>
        <v>1982-10-05</v>
      </c>
      <c r="C698" t="str">
        <f>"71 12 978790"</f>
        <v>71 12 978790</v>
      </c>
      <c r="D698" t="str">
        <f>"4854630115676796"</f>
        <v>4854630115676796</v>
      </c>
      <c r="E698" t="str">
        <f>"2021-05-31"</f>
        <v>2021-05-31</v>
      </c>
      <c r="F698" t="str">
        <f t="shared" ref="F698:G705" si="114">"+"</f>
        <v>+</v>
      </c>
      <c r="G698" t="str">
        <f t="shared" si="114"/>
        <v>+</v>
      </c>
      <c r="H698" t="str">
        <f>"40817810616992455719"</f>
        <v>40817810616992455719</v>
      </c>
      <c r="I698" t="str">
        <f>"8647"</f>
        <v>8647</v>
      </c>
      <c r="J698" t="str">
        <f>"0176"</f>
        <v>0176</v>
      </c>
      <c r="K698" t="str">
        <f>"300000.00"</f>
        <v>300000.00</v>
      </c>
      <c r="L698" t="str">
        <f>"625000 ОБЛ ТЮМЕНСКАЯ   Г ТЮМЕНЬ   УЛ 2 ЛУГОВАЯ д. 30"</f>
        <v>625000 ОБЛ ТЮМЕНСКАЯ   Г ТЮМЕНЬ   УЛ 2 ЛУГОВАЯ д. 30</v>
      </c>
      <c r="M698" t="str">
        <f t="shared" si="108"/>
        <v>2019-08-24</v>
      </c>
      <c r="N698" t="str">
        <f>"ООО ОВЕНТАЛ ТЮМЕНЬ"</f>
        <v>ООО ОВЕНТАЛ ТЮМЕНЬ</v>
      </c>
      <c r="O698" t="str">
        <f>"625000"</f>
        <v>625000</v>
      </c>
      <c r="P698" t="str">
        <f>"ОБЛ ТЮМЕНСКАЯ"</f>
        <v>ОБЛ ТЮМЕНСКАЯ</v>
      </c>
      <c r="Q698" t="str">
        <f>""</f>
        <v/>
      </c>
      <c r="R698" t="str">
        <f>"Г ТЮМЕНЬ"</f>
        <v>Г ТЮМЕНЬ</v>
      </c>
      <c r="S698" t="str">
        <f>""</f>
        <v/>
      </c>
      <c r="T698" t="str">
        <f>"УЛ ЕВГЕНИЯ БОГДАНОВИЧА"</f>
        <v>УЛ ЕВГЕНИЯ БОГДАНОВИЧА</v>
      </c>
      <c r="U698" s="1" t="str">
        <f>"16"</f>
        <v>16</v>
      </c>
      <c r="V698" s="1" t="str">
        <f>""</f>
        <v/>
      </c>
      <c r="W698" s="1" t="str">
        <f>""</f>
        <v/>
      </c>
      <c r="X698" s="1" t="str">
        <f>""</f>
        <v/>
      </c>
      <c r="Y698" s="1" t="str">
        <f>"101"</f>
        <v>101</v>
      </c>
      <c r="Z698" t="str">
        <f>"287997"</f>
        <v>287997</v>
      </c>
      <c r="AA698" t="str">
        <f>"9199508283"</f>
        <v>9199508283</v>
      </c>
      <c r="AB698" t="str">
        <f>"9199235992"</f>
        <v>9199235992</v>
      </c>
      <c r="AC698" t="str">
        <f>"9199508283"</f>
        <v>9199508283</v>
      </c>
      <c r="AD698" t="str">
        <f>"9199235992"</f>
        <v>9199235992</v>
      </c>
      <c r="AE698" t="str">
        <f>""</f>
        <v/>
      </c>
    </row>
    <row r="699" spans="1:31" x14ac:dyDescent="0.45">
      <c r="A699" t="str">
        <f>"ДАУТОВ РИНАТ НИЯЗЫЕВИЧ"</f>
        <v>ДАУТОВ РИНАТ НИЯЗЫЕВИЧ</v>
      </c>
      <c r="B699" t="str">
        <f>"1978-10-02"</f>
        <v>1978-10-02</v>
      </c>
      <c r="C699" t="str">
        <f>"65 02 055181"</f>
        <v>65 02 055181</v>
      </c>
      <c r="D699" t="str">
        <f>"4854630403400362"</f>
        <v>4854630403400362</v>
      </c>
      <c r="E699" t="str">
        <f>"2021-04-30"</f>
        <v>2021-04-30</v>
      </c>
      <c r="F699" t="str">
        <f t="shared" si="114"/>
        <v>+</v>
      </c>
      <c r="G699" t="str">
        <f t="shared" si="114"/>
        <v>+</v>
      </c>
      <c r="H699" t="str">
        <f>"40817810516991424702"</f>
        <v>40817810516991424702</v>
      </c>
      <c r="I699" t="str">
        <f>"7003"</f>
        <v>7003</v>
      </c>
      <c r="J699" t="str">
        <f>"0626"</f>
        <v>0626</v>
      </c>
      <c r="K699" t="str">
        <f>"90000.00"</f>
        <v>90000.00</v>
      </c>
      <c r="L699" t="str">
        <f>"624260 ОБЛ СВЕРДЛОВСКАЯ   Г АСБЕСТ   УЛ ВОЙКОВА д. 76"</f>
        <v>624260 ОБЛ СВЕРДЛОВСКАЯ   Г АСБЕСТ   УЛ ВОЙКОВА д. 76</v>
      </c>
      <c r="M699" t="str">
        <f t="shared" si="108"/>
        <v>2019-08-24</v>
      </c>
      <c r="N699" t="str">
        <f>"МУП ГОРЭНЕРГО"</f>
        <v>МУП ГОРЭНЕРГО</v>
      </c>
      <c r="O699" t="str">
        <f>"624260"</f>
        <v>624260</v>
      </c>
      <c r="P699" t="str">
        <f>"ОБЛ СВЕРДЛОВСКАЯ"</f>
        <v>ОБЛ СВЕРДЛОВСКАЯ</v>
      </c>
      <c r="Q699" t="str">
        <f>""</f>
        <v/>
      </c>
      <c r="R699" t="str">
        <f>"Г АСБЕСТ"</f>
        <v>Г АСБЕСТ</v>
      </c>
      <c r="S699" t="str">
        <f>""</f>
        <v/>
      </c>
      <c r="T699" t="str">
        <f>"УЛ КРУПСКОЙ"</f>
        <v>УЛ КРУПСКОЙ</v>
      </c>
      <c r="U699" s="1" t="str">
        <f>"94"</f>
        <v>94</v>
      </c>
      <c r="V699" s="1" t="str">
        <f>""</f>
        <v/>
      </c>
      <c r="W699" s="1" t="str">
        <f>""</f>
        <v/>
      </c>
      <c r="X699" s="1" t="str">
        <f>""</f>
        <v/>
      </c>
      <c r="Y699" s="1" t="str">
        <f>"6"</f>
        <v>6</v>
      </c>
      <c r="Z699" t="str">
        <f>"9530577860"</f>
        <v>9530577860</v>
      </c>
      <c r="AA699" t="str">
        <f>"3436528621"</f>
        <v>3436528621</v>
      </c>
      <c r="AB699" t="str">
        <f>"9530577860"</f>
        <v>9530577860</v>
      </c>
      <c r="AC699" t="str">
        <f>"3436528621"</f>
        <v>3436528621</v>
      </c>
      <c r="AD699" t="str">
        <f>"9530577860"</f>
        <v>9530577860</v>
      </c>
      <c r="AE699" t="str">
        <f>"9530577860"</f>
        <v>9530577860</v>
      </c>
    </row>
    <row r="700" spans="1:31" x14ac:dyDescent="0.45">
      <c r="A700" t="str">
        <f>"ЗОТОВА ЮЛИЯ ИВАНОВНА"</f>
        <v>ЗОТОВА ЮЛИЯ ИВАНОВНА</v>
      </c>
      <c r="B700" t="str">
        <f>"1976-05-02"</f>
        <v>1976-05-02</v>
      </c>
      <c r="C700" t="str">
        <f>"65 01 868407"</f>
        <v>65 01 868407</v>
      </c>
      <c r="D700" t="str">
        <f>"4854630202810738"</f>
        <v>4854630202810738</v>
      </c>
      <c r="E700" t="str">
        <f>"2021-04-30"</f>
        <v>2021-04-30</v>
      </c>
      <c r="F700" t="str">
        <f t="shared" si="114"/>
        <v>+</v>
      </c>
      <c r="G700" t="str">
        <f t="shared" si="114"/>
        <v>+</v>
      </c>
      <c r="H700" t="str">
        <f>"40817810916991464171"</f>
        <v>40817810916991464171</v>
      </c>
      <c r="I700" t="str">
        <f>"7003"</f>
        <v>7003</v>
      </c>
      <c r="J700" t="str">
        <f>"0760"</f>
        <v>0760</v>
      </c>
      <c r="K700" t="str">
        <f>"130000.00"</f>
        <v>130000.00</v>
      </c>
      <c r="L700" t="str">
        <f>"623813 ОБЛ СВЕРДЛОВСКАЯ Р-Н ИРБИТСКИЙ   Д ПЕРВОМАЙСКАЯ УЛ ПЕРВОМАЙСКАЯ д. 1"</f>
        <v>623813 ОБЛ СВЕРДЛОВСКАЯ Р-Н ИРБИТСКИЙ   Д ПЕРВОМАЙСКАЯ УЛ ПЕРВОМАЙСКАЯ д. 1</v>
      </c>
      <c r="M700" t="str">
        <f t="shared" si="108"/>
        <v>2019-08-24</v>
      </c>
      <c r="N700" t="s">
        <v>54</v>
      </c>
      <c r="O700" t="str">
        <f>"623813"</f>
        <v>623813</v>
      </c>
      <c r="P700" t="str">
        <f>"ОБЛ СВЕРДЛОВСКАЯ"</f>
        <v>ОБЛ СВЕРДЛОВСКАЯ</v>
      </c>
      <c r="Q700" t="str">
        <f>"Р-Н ИРБИТСКИЙ"</f>
        <v>Р-Н ИРБИТСКИЙ</v>
      </c>
      <c r="R700" t="str">
        <f>""</f>
        <v/>
      </c>
      <c r="S700" t="str">
        <f>"Д ПЕРВОМАЙСКАЯ"</f>
        <v>Д ПЕРВОМАЙСКАЯ</v>
      </c>
      <c r="T700" t="str">
        <f>"УЛ ПЕРВОМАЙСКАЯ"</f>
        <v>УЛ ПЕРВОМАЙСКАЯ</v>
      </c>
      <c r="U700" s="1" t="str">
        <f>"16А"</f>
        <v>16А</v>
      </c>
      <c r="V700" s="1" t="str">
        <f>""</f>
        <v/>
      </c>
      <c r="W700" s="1" t="str">
        <f>""</f>
        <v/>
      </c>
      <c r="X700" s="1" t="str">
        <f>""</f>
        <v/>
      </c>
      <c r="Y700" s="1" t="str">
        <f>"1"</f>
        <v>1</v>
      </c>
      <c r="Z700" t="str">
        <f>"9521360729"</f>
        <v>9521360729</v>
      </c>
      <c r="AA700" t="str">
        <f>"9521360729"</f>
        <v>9521360729</v>
      </c>
      <c r="AB700" t="str">
        <f>"9000419159"</f>
        <v>9000419159</v>
      </c>
      <c r="AC700" t="str">
        <f>"9000419159"</f>
        <v>9000419159</v>
      </c>
      <c r="AD700" t="str">
        <f>"9000419159"</f>
        <v>9000419159</v>
      </c>
      <c r="AE700" t="str">
        <f>""</f>
        <v/>
      </c>
    </row>
    <row r="701" spans="1:31" x14ac:dyDescent="0.45">
      <c r="A701" t="str">
        <f>"СЕРГЕЕВ ВАЛЕРИЙ ВАСИЛЬЕВИЧ"</f>
        <v>СЕРГЕЕВ ВАЛЕРИЙ ВАСИЛЬЕВИЧ</v>
      </c>
      <c r="B701" t="str">
        <f>"1954-08-30"</f>
        <v>1954-08-30</v>
      </c>
      <c r="C701" t="str">
        <f>"65 02 074673"</f>
        <v>65 02 074673</v>
      </c>
      <c r="D701" t="str">
        <f>"4854630217661621"</f>
        <v>4854630217661621</v>
      </c>
      <c r="E701" t="str">
        <f>"2021-04-30"</f>
        <v>2021-04-30</v>
      </c>
      <c r="F701" t="str">
        <f t="shared" si="114"/>
        <v>+</v>
      </c>
      <c r="G701" t="str">
        <f t="shared" si="114"/>
        <v>+</v>
      </c>
      <c r="H701" t="str">
        <f>"40817810816991424703"</f>
        <v>40817810816991424703</v>
      </c>
      <c r="I701" t="str">
        <f>"7003"</f>
        <v>7003</v>
      </c>
      <c r="J701" t="str">
        <f>"0381"</f>
        <v>0381</v>
      </c>
      <c r="K701" t="str">
        <f>"100000.00"</f>
        <v>100000.00</v>
      </c>
      <c r="L701" t="str">
        <f>"620000 ОБЛ СВЕРДЛОВСКАЯ   Г ЕКАТЕРИНБУРГ   ТУП КОМИНТЕРНА д. 18 кв. 29"</f>
        <v>620000 ОБЛ СВЕРДЛОВСКАЯ   Г ЕКАТЕРИНБУРГ   ТУП КОМИНТЕРНА д. 18 кв. 29</v>
      </c>
      <c r="M701" t="str">
        <f t="shared" si="108"/>
        <v>2019-08-24</v>
      </c>
      <c r="N701" t="str">
        <f>"ПФР"</f>
        <v>ПФР</v>
      </c>
      <c r="O701" t="str">
        <f>"620078"</f>
        <v>620078</v>
      </c>
      <c r="P701" t="str">
        <f>"ОБЛ СВЕРДЛОВСКАЯ"</f>
        <v>ОБЛ СВЕРДЛОВСКАЯ</v>
      </c>
      <c r="Q701" t="str">
        <f>""</f>
        <v/>
      </c>
      <c r="R701" t="str">
        <f>"Г ЕКАТЕРИНБУРГ"</f>
        <v>Г ЕКАТЕРИНБУРГ</v>
      </c>
      <c r="S701" t="str">
        <f>""</f>
        <v/>
      </c>
      <c r="T701" t="str">
        <f>"УЛ КОМИНТЕРНА"</f>
        <v>УЛ КОМИНТЕРНА</v>
      </c>
      <c r="U701" s="1" t="str">
        <f>"18"</f>
        <v>18</v>
      </c>
      <c r="V701" s="1" t="str">
        <f>""</f>
        <v/>
      </c>
      <c r="W701" s="1" t="str">
        <f>""</f>
        <v/>
      </c>
      <c r="X701" s="1" t="str">
        <f>""</f>
        <v/>
      </c>
      <c r="Y701" s="1" t="str">
        <f>"29"</f>
        <v>29</v>
      </c>
      <c r="Z701" t="str">
        <f>"9226162937"</f>
        <v>9226162937</v>
      </c>
      <c r="AA701" t="str">
        <f>"9226162937"</f>
        <v>9226162937</v>
      </c>
      <c r="AB701" t="str">
        <f>"9226162937"</f>
        <v>9226162937</v>
      </c>
      <c r="AC701" t="str">
        <f>"3433759545"</f>
        <v>3433759545</v>
      </c>
      <c r="AD701" t="str">
        <f>"9226162937"</f>
        <v>9226162937</v>
      </c>
      <c r="AE701" t="str">
        <f>"9226162937"</f>
        <v>9226162937</v>
      </c>
    </row>
    <row r="702" spans="1:31" x14ac:dyDescent="0.45">
      <c r="A702" t="str">
        <f>"НОВИКОВА ЕЛЕНА АЛЕКСЕЕВНА"</f>
        <v>НОВИКОВА ЕЛЕНА АЛЕКСЕЕВНА</v>
      </c>
      <c r="B702" t="str">
        <f>"1966-08-25"</f>
        <v>1966-08-25</v>
      </c>
      <c r="C702" t="str">
        <f>"75 11 962148"</f>
        <v>75 11 962148</v>
      </c>
      <c r="D702" t="str">
        <f>"4854630407452237"</f>
        <v>4854630407452237</v>
      </c>
      <c r="E702" t="str">
        <f>"2021-04-30"</f>
        <v>2021-04-30</v>
      </c>
      <c r="F702" t="str">
        <f t="shared" si="114"/>
        <v>+</v>
      </c>
      <c r="G702" t="str">
        <f t="shared" si="114"/>
        <v>+</v>
      </c>
      <c r="H702" t="str">
        <f>"40817810616991464196"</f>
        <v>40817810616991464196</v>
      </c>
      <c r="I702" t="str">
        <f>"8597"</f>
        <v>8597</v>
      </c>
      <c r="J702" t="str">
        <f>"0216"</f>
        <v>0216</v>
      </c>
      <c r="K702" t="str">
        <f>"25000.00"</f>
        <v>25000.00</v>
      </c>
      <c r="L702" t="str">
        <f>"454000 ОБЛ ЧЕЛЯБИНСКАЯ   Г ЧЕЛЯБИНСК   УЛ ЧИЧЕРИНА д. 42Б"</f>
        <v>454000 ОБЛ ЧЕЛЯБИНСКАЯ   Г ЧЕЛЯБИНСК   УЛ ЧИЧЕРИНА д. 42Б</v>
      </c>
      <c r="M702" t="str">
        <f t="shared" si="108"/>
        <v>2019-08-24</v>
      </c>
      <c r="N702" t="str">
        <f>"ООО МЕТРОПОЛИС"</f>
        <v>ООО МЕТРОПОЛИС</v>
      </c>
      <c r="O702" t="str">
        <f>"454000"</f>
        <v>454000</v>
      </c>
      <c r="P702" t="str">
        <f>"ОБЛ ЧЕЛЯБИНСКАЯ"</f>
        <v>ОБЛ ЧЕЛЯБИНСКАЯ</v>
      </c>
      <c r="Q702" t="str">
        <f>""</f>
        <v/>
      </c>
      <c r="R702" t="str">
        <f>"Г ЧЕЛБИНСК"</f>
        <v>Г ЧЕЛБИНСК</v>
      </c>
      <c r="S702" t="str">
        <f>""</f>
        <v/>
      </c>
      <c r="T702" t="str">
        <f>"УЛ ЗАХАРЕНКО"</f>
        <v>УЛ ЗАХАРЕНКО</v>
      </c>
      <c r="U702" s="1" t="str">
        <f>"6А"</f>
        <v>6А</v>
      </c>
      <c r="V702" s="1" t="str">
        <f>""</f>
        <v/>
      </c>
      <c r="W702" s="1" t="str">
        <f>""</f>
        <v/>
      </c>
      <c r="X702" s="1" t="str">
        <f>""</f>
        <v/>
      </c>
      <c r="Y702" s="1" t="str">
        <f>"62"</f>
        <v>62</v>
      </c>
      <c r="Z702" t="str">
        <f>"9514612986"</f>
        <v>9514612986</v>
      </c>
      <c r="AA702" t="str">
        <f>"9514612986"</f>
        <v>9514612986</v>
      </c>
      <c r="AB702" t="str">
        <f>"9514612986"</f>
        <v>9514612986</v>
      </c>
      <c r="AC702" t="str">
        <f>"9514612986"</f>
        <v>9514612986</v>
      </c>
      <c r="AD702" t="str">
        <f>"9514612986"</f>
        <v>9514612986</v>
      </c>
      <c r="AE702" t="str">
        <f>"9514612986"</f>
        <v>9514612986</v>
      </c>
    </row>
    <row r="703" spans="1:31" x14ac:dyDescent="0.45">
      <c r="A703" t="str">
        <f>"МИКУШИНА КСЕНИЯ ЛЕОНИДОВНА"</f>
        <v>МИКУШИНА КСЕНИЯ ЛЕОНИДОВНА</v>
      </c>
      <c r="B703" t="str">
        <f>"1986-01-03"</f>
        <v>1986-01-03</v>
      </c>
      <c r="C703" t="str">
        <f>"65 07 108567"</f>
        <v>65 07 108567</v>
      </c>
      <c r="D703" t="str">
        <f>"4279011624170349"</f>
        <v>4279011624170349</v>
      </c>
      <c r="E703" t="str">
        <f>"2021-05-31"</f>
        <v>2021-05-31</v>
      </c>
      <c r="F703" t="str">
        <f t="shared" si="114"/>
        <v>+</v>
      </c>
      <c r="G703" t="str">
        <f t="shared" si="114"/>
        <v>+</v>
      </c>
      <c r="H703" t="str">
        <f>"40817810016991427898"</f>
        <v>40817810016991427898</v>
      </c>
      <c r="I703" t="str">
        <f>"7003"</f>
        <v>7003</v>
      </c>
      <c r="J703" t="str">
        <f>"0607"</f>
        <v>0607</v>
      </c>
      <c r="K703" t="str">
        <f>"135000.00"</f>
        <v>135000.00</v>
      </c>
      <c r="L703" t="str">
        <f>"620000 ОБЛ СВЕРДЛОВСКАЯ Р-Н ТАЛИЦКИЙ Г ТАЛИЦА   УЛ ЛЕНИНА д. 88"</f>
        <v>620000 ОБЛ СВЕРДЛОВСКАЯ Р-Н ТАЛИЦКИЙ Г ТАЛИЦА   УЛ ЛЕНИНА д. 88</v>
      </c>
      <c r="M703" t="str">
        <f t="shared" si="108"/>
        <v>2019-08-24</v>
      </c>
      <c r="N703" t="str">
        <f>"ИП ИВАНОВА И.Б."</f>
        <v>ИП ИВАНОВА И.Б.</v>
      </c>
      <c r="O703" t="str">
        <f>"620000"</f>
        <v>620000</v>
      </c>
      <c r="P703" t="str">
        <f>"ОБЛ СВЕРДЛОВСКАЯ"</f>
        <v>ОБЛ СВЕРДЛОВСКАЯ</v>
      </c>
      <c r="Q703" t="str">
        <f>"Р-Н ТАЛИЦКИЙ"</f>
        <v>Р-Н ТАЛИЦКИЙ</v>
      </c>
      <c r="R703" t="str">
        <f>"Г ТАЛИЦА"</f>
        <v>Г ТАЛИЦА</v>
      </c>
      <c r="S703" t="str">
        <f>""</f>
        <v/>
      </c>
      <c r="T703" t="str">
        <f>"УЛ КУЗНЕЦОВА"</f>
        <v>УЛ КУЗНЕЦОВА</v>
      </c>
      <c r="U703" s="1" t="str">
        <f>"45"</f>
        <v>45</v>
      </c>
      <c r="V703" s="1" t="str">
        <f>""</f>
        <v/>
      </c>
      <c r="W703" s="1" t="str">
        <f>""</f>
        <v/>
      </c>
      <c r="X703" s="1" t="str">
        <f>""</f>
        <v/>
      </c>
      <c r="Y703" s="1" t="str">
        <f>""</f>
        <v/>
      </c>
      <c r="Z703" t="str">
        <f>""</f>
        <v/>
      </c>
      <c r="AA703" t="str">
        <f>"9630364648"</f>
        <v>9630364648</v>
      </c>
      <c r="AB703" t="str">
        <f>"9630364648"</f>
        <v>9630364648</v>
      </c>
      <c r="AC703" t="str">
        <f>"9630364648"</f>
        <v>9630364648</v>
      </c>
      <c r="AD703" t="str">
        <f>"9630364648"</f>
        <v>9630364648</v>
      </c>
      <c r="AE703" t="str">
        <f>""</f>
        <v/>
      </c>
    </row>
    <row r="704" spans="1:31" x14ac:dyDescent="0.45">
      <c r="A704" t="str">
        <f>"СЫРОМЯТНИКОВ ВЛАДИМИР ВЛАДИМИРОВИЧ"</f>
        <v>СЫРОМЯТНИКОВ ВЛАДИМИР ВЛАДИМИРОВИЧ</v>
      </c>
      <c r="B704" t="str">
        <f>"1977-09-06"</f>
        <v>1977-09-06</v>
      </c>
      <c r="C704" t="str">
        <f>"65 10 973414"</f>
        <v>65 10 973414</v>
      </c>
      <c r="D704" t="str">
        <f>"5469011605878636"</f>
        <v>5469011605878636</v>
      </c>
      <c r="E704" t="str">
        <f>"2021-05-31"</f>
        <v>2021-05-31</v>
      </c>
      <c r="F704" t="str">
        <f t="shared" si="114"/>
        <v>+</v>
      </c>
      <c r="G704" t="str">
        <f t="shared" si="114"/>
        <v>+</v>
      </c>
      <c r="H704" t="str">
        <f>"40817810216991427902"</f>
        <v>40817810216991427902</v>
      </c>
      <c r="I704" t="str">
        <f>"7003"</f>
        <v>7003</v>
      </c>
      <c r="J704" t="str">
        <f>"0897"</f>
        <v>0897</v>
      </c>
      <c r="K704" t="str">
        <f>"50000.00"</f>
        <v>50000.00</v>
      </c>
      <c r="L704" t="str">
        <f>"620102 ОБЛ СВЕРДЛОВСКАЯ   Г ЕКАТЕРИНБУРГ   УЛ ПАЛЬМИРО ТОЛЬЯТТИ д. 11А"</f>
        <v>620102 ОБЛ СВЕРДЛОВСКАЯ   Г ЕКАТЕРИНБУРГ   УЛ ПАЛЬМИРО ТОЛЬЯТТИ д. 11А</v>
      </c>
      <c r="M704" t="str">
        <f t="shared" si="108"/>
        <v>2019-08-24</v>
      </c>
      <c r="N704" t="str">
        <f>"ПОЛИГОН МЕДИА"</f>
        <v>ПОЛИГОН МЕДИА</v>
      </c>
      <c r="O704" t="str">
        <f>"620000"</f>
        <v>620000</v>
      </c>
      <c r="P704" t="str">
        <f>"ОБЛ СВЕРДЛОВСКАЯ"</f>
        <v>ОБЛ СВЕРДЛОВСКАЯ</v>
      </c>
      <c r="Q704" t="str">
        <f>""</f>
        <v/>
      </c>
      <c r="R704" t="str">
        <f>"Г АСБЕСТ"</f>
        <v>Г АСБЕСТ</v>
      </c>
      <c r="S704" t="str">
        <f>""</f>
        <v/>
      </c>
      <c r="T704" t="str">
        <f>"УЛ УРАЛЬСКАЯ"</f>
        <v>УЛ УРАЛЬСКАЯ</v>
      </c>
      <c r="U704" s="1" t="str">
        <f>"71"</f>
        <v>71</v>
      </c>
      <c r="V704" s="1" t="str">
        <f>""</f>
        <v/>
      </c>
      <c r="W704" s="1" t="str">
        <f>""</f>
        <v/>
      </c>
      <c r="X704" s="1" t="str">
        <f>""</f>
        <v/>
      </c>
      <c r="Y704" s="1" t="str">
        <f>"27"</f>
        <v>27</v>
      </c>
      <c r="Z704" t="str">
        <f>"3432339661"</f>
        <v>3432339661</v>
      </c>
      <c r="AA704" t="str">
        <f>"3432614259"</f>
        <v>3432614259</v>
      </c>
      <c r="AB704" t="str">
        <f>"9826743909"</f>
        <v>9826743909</v>
      </c>
      <c r="AC704" t="str">
        <f>""</f>
        <v/>
      </c>
      <c r="AD704" t="str">
        <f>"9826743909"</f>
        <v>9826743909</v>
      </c>
      <c r="AE704" t="str">
        <f>""</f>
        <v/>
      </c>
    </row>
    <row r="705" spans="1:31" x14ac:dyDescent="0.45">
      <c r="A705" t="str">
        <f>"ТОКМАНЦЕВ АНДРЕЙ СЕРГЕЕВИЧ"</f>
        <v>ТОКМАНЦЕВ АНДРЕЙ СЕРГЕЕВИЧ</v>
      </c>
      <c r="B705" t="str">
        <f>"1996-02-02"</f>
        <v>1996-02-02</v>
      </c>
      <c r="C705" t="str">
        <f>"65 15 105561"</f>
        <v>65 15 105561</v>
      </c>
      <c r="D705" t="str">
        <f>"4279011640866334"</f>
        <v>4279011640866334</v>
      </c>
      <c r="E705" t="str">
        <f>"2021-05-31"</f>
        <v>2021-05-31</v>
      </c>
      <c r="F705" t="str">
        <f t="shared" si="114"/>
        <v>+</v>
      </c>
      <c r="G705" t="str">
        <f t="shared" si="114"/>
        <v>+</v>
      </c>
      <c r="H705" t="str">
        <f>"40817810416991427906"</f>
        <v>40817810416991427906</v>
      </c>
      <c r="I705" t="str">
        <f>"7003"</f>
        <v>7003</v>
      </c>
      <c r="J705" t="str">
        <f>"0659"</f>
        <v>0659</v>
      </c>
      <c r="K705" t="str">
        <f>"20000.00"</f>
        <v>20000.00</v>
      </c>
      <c r="L705" t="str">
        <f>"620000 ОБЛ СВЕРДЛОВСКАЯ   Г КРАСНОУФИМСК   УЛ ВАГОННАЯ д. 14"</f>
        <v>620000 ОБЛ СВЕРДЛОВСКАЯ   Г КРАСНОУФИМСК   УЛ ВАГОННАЯ д. 14</v>
      </c>
      <c r="M705" t="str">
        <f t="shared" si="108"/>
        <v>2019-08-24</v>
      </c>
      <c r="N705" t="str">
        <f>"НГАЗПРОМ-НЕФТЬ ТЕРМИНАЛ"</f>
        <v>НГАЗПРОМ-НЕФТЬ ТЕРМИНАЛ</v>
      </c>
      <c r="O705" t="str">
        <f>"620000"</f>
        <v>620000</v>
      </c>
      <c r="P705" t="str">
        <f>"ОБЛ СВЕРДЛОВСКАЯ"</f>
        <v>ОБЛ СВЕРДЛОВСКАЯ</v>
      </c>
      <c r="Q705" t="str">
        <f>""</f>
        <v/>
      </c>
      <c r="R705" t="str">
        <f>"Г КРАСНОУФИМСК"</f>
        <v>Г КРАСНОУФИМСК</v>
      </c>
      <c r="S705" t="str">
        <f>""</f>
        <v/>
      </c>
      <c r="T705" t="str">
        <f>"УЛ ДЕКАБРИСТОВ"</f>
        <v>УЛ ДЕКАБРИСТОВ</v>
      </c>
      <c r="U705" s="1" t="str">
        <f>"9"</f>
        <v>9</v>
      </c>
      <c r="V705" s="1" t="str">
        <f>""</f>
        <v/>
      </c>
      <c r="W705" s="1" t="str">
        <f>""</f>
        <v/>
      </c>
      <c r="X705" s="1" t="str">
        <f>""</f>
        <v/>
      </c>
      <c r="Y705" s="1" t="str">
        <f>""</f>
        <v/>
      </c>
      <c r="Z705" t="str">
        <f>""</f>
        <v/>
      </c>
      <c r="AA705" t="str">
        <f>"9193925240"</f>
        <v>9193925240</v>
      </c>
      <c r="AB705" t="str">
        <f>"9193925240"</f>
        <v>9193925240</v>
      </c>
      <c r="AC705" t="str">
        <f>"9193925240"</f>
        <v>9193925240</v>
      </c>
      <c r="AD705" t="str">
        <f>"9193925240"</f>
        <v>9193925240</v>
      </c>
      <c r="AE705" t="str">
        <f>""</f>
        <v/>
      </c>
    </row>
    <row r="706" spans="1:31" x14ac:dyDescent="0.45">
      <c r="A706" t="str">
        <f>"ИШБЕРДИН АРТУР РАФИКОВИЧ"</f>
        <v>ИШБЕРДИН АРТУР РАФИКОВИЧ</v>
      </c>
      <c r="B706" t="str">
        <f>"1989-05-04"</f>
        <v>1989-05-04</v>
      </c>
      <c r="C706" t="str">
        <f>"80 09 801695"</f>
        <v>80 09 801695</v>
      </c>
      <c r="D706" t="str">
        <f>"4279011628017223"</f>
        <v>4279011628017223</v>
      </c>
      <c r="E706" t="str">
        <f>"2021-05-31"</f>
        <v>2021-05-31</v>
      </c>
      <c r="F706" t="str">
        <f>"K"</f>
        <v>K</v>
      </c>
      <c r="G706" t="str">
        <f>"+"</f>
        <v>+</v>
      </c>
      <c r="H706" t="str">
        <f>"40817810716991427907"</f>
        <v>40817810716991427907</v>
      </c>
      <c r="I706" t="str">
        <f>"8598"</f>
        <v>8598</v>
      </c>
      <c r="J706" t="str">
        <f>"0726"</f>
        <v>0726</v>
      </c>
      <c r="K706" t="str">
        <f>"170000.00"</f>
        <v>170000.00</v>
      </c>
      <c r="L706" t="str">
        <f>"450000 РЕСП БАШКОРТОСТАН     Г СИБАЙ УЛ СЕЛЬХОЗТЕХНИКА д. 14"</f>
        <v>450000 РЕСП БАШКОРТОСТАН     Г СИБАЙ УЛ СЕЛЬХОЗТЕХНИКА д. 14</v>
      </c>
      <c r="M706" t="str">
        <f t="shared" ref="M706:M769" si="115">"2019-08-24"</f>
        <v>2019-08-24</v>
      </c>
      <c r="N706" t="str">
        <f>"ООО ВЕКТОР"</f>
        <v>ООО ВЕКТОР</v>
      </c>
      <c r="O706" t="str">
        <f>"450000"</f>
        <v>450000</v>
      </c>
      <c r="P706" t="str">
        <f>"РЕСП БАШКОРТОСТАН"</f>
        <v>РЕСП БАШКОРТОСТАН</v>
      </c>
      <c r="Q706" t="str">
        <f>""</f>
        <v/>
      </c>
      <c r="R706" t="str">
        <f>"Г СИБАЙ"</f>
        <v>Г СИБАЙ</v>
      </c>
      <c r="S706" t="str">
        <f>""</f>
        <v/>
      </c>
      <c r="T706" t="str">
        <f>"ПР-КТ ГОРНЯКОВ"</f>
        <v>ПР-КТ ГОРНЯКОВ</v>
      </c>
      <c r="U706" s="1" t="str">
        <f>"22"</f>
        <v>22</v>
      </c>
      <c r="V706" s="1" t="str">
        <f>""</f>
        <v/>
      </c>
      <c r="W706" s="1" t="str">
        <f>""</f>
        <v/>
      </c>
      <c r="X706" s="1" t="str">
        <f>""</f>
        <v/>
      </c>
      <c r="Y706" s="1" t="str">
        <f>"36"</f>
        <v>36</v>
      </c>
      <c r="Z706" t="str">
        <f>"9273305995"</f>
        <v>9273305995</v>
      </c>
      <c r="AA706" t="str">
        <f>"9273305995"</f>
        <v>9273305995</v>
      </c>
      <c r="AB706" t="str">
        <f>"9273305995"</f>
        <v>9273305995</v>
      </c>
      <c r="AC706" t="str">
        <f>"9273305995"</f>
        <v>9273305995</v>
      </c>
      <c r="AD706" t="str">
        <f>"9273305995"</f>
        <v>9273305995</v>
      </c>
      <c r="AE706" t="str">
        <f>"9273305995"</f>
        <v>9273305995</v>
      </c>
    </row>
    <row r="707" spans="1:31" x14ac:dyDescent="0.45">
      <c r="A707" t="str">
        <f>"ВОЛКОВ АРТЁМ ОЛЕГОВИЧ"</f>
        <v>ВОЛКОВ АРТЁМ ОЛЕГОВИЧ</v>
      </c>
      <c r="B707" t="str">
        <f>"1984-03-24"</f>
        <v>1984-03-24</v>
      </c>
      <c r="C707" t="str">
        <f>"04 04 942803"</f>
        <v>04 04 942803</v>
      </c>
      <c r="D707" t="str">
        <f>"4854630420944913"</f>
        <v>4854630420944913</v>
      </c>
      <c r="E707" t="str">
        <f>"2021-05-31"</f>
        <v>2021-05-31</v>
      </c>
      <c r="F707" t="str">
        <f>"+"</f>
        <v>+</v>
      </c>
      <c r="G707" t="str">
        <f>"+"</f>
        <v>+</v>
      </c>
      <c r="H707" t="str">
        <f>"40817810816991464103"</f>
        <v>40817810816991464103</v>
      </c>
      <c r="I707" t="str">
        <f>"7003"</f>
        <v>7003</v>
      </c>
      <c r="J707" t="str">
        <f>"0884"</f>
        <v>0884</v>
      </c>
      <c r="K707" t="str">
        <f>"140000.00"</f>
        <v>140000.00</v>
      </c>
      <c r="L707" t="str">
        <f>"622018 ОБЛ СВЕРДЛОВСКАЯ   Г НИЖНИЙ ТАГИЛ   УЛ ЮНОСТИ д. 11"</f>
        <v>622018 ОБЛ СВЕРДЛОВСКАЯ   Г НИЖНИЙ ТАГИЛ   УЛ ЮНОСТИ д. 11</v>
      </c>
      <c r="M707" t="str">
        <f t="shared" si="115"/>
        <v>2019-08-24</v>
      </c>
      <c r="N707" t="str">
        <f>"ВОЙСКОВАЯ ЧАСТЬ 6748"</f>
        <v>ВОЙСКОВАЯ ЧАСТЬ 6748</v>
      </c>
      <c r="O707" t="str">
        <f>"660015"</f>
        <v>660015</v>
      </c>
      <c r="P707" t="str">
        <f>"КРАЙ КРАСНОЯРСКИЙ"</f>
        <v>КРАЙ КРАСНОЯРСКИЙ</v>
      </c>
      <c r="Q707" t="str">
        <f>"Р-Н ЕМЕЛЬЯНОВСКИЙ"</f>
        <v>Р-Н ЕМЕЛЬЯНОВСКИЙ</v>
      </c>
      <c r="R707" t="str">
        <f>""</f>
        <v/>
      </c>
      <c r="S707" t="str">
        <f>"П СОЛОНЦЫ"</f>
        <v>П СОЛОНЦЫ</v>
      </c>
      <c r="T707" t="str">
        <f>"УЛ НОВОСТРОЕК"</f>
        <v>УЛ НОВОСТРОЕК</v>
      </c>
      <c r="U707" s="1" t="str">
        <f>"5"</f>
        <v>5</v>
      </c>
      <c r="V707" s="1" t="str">
        <f>""</f>
        <v/>
      </c>
      <c r="W707" s="1" t="str">
        <f>""</f>
        <v/>
      </c>
      <c r="X707" s="1" t="str">
        <f>""</f>
        <v/>
      </c>
      <c r="Y707" s="1" t="str">
        <f>"7"</f>
        <v>7</v>
      </c>
      <c r="Z707" t="str">
        <f>"9221617363"</f>
        <v>9221617363</v>
      </c>
      <c r="AA707" t="str">
        <f>"9831605305"</f>
        <v>9831605305</v>
      </c>
      <c r="AB707" t="str">
        <f>"9221617363"</f>
        <v>9221617363</v>
      </c>
      <c r="AC707" t="str">
        <f>"9221617363"</f>
        <v>9221617363</v>
      </c>
      <c r="AD707" t="str">
        <f>"9221617363"</f>
        <v>9221617363</v>
      </c>
      <c r="AE707" t="str">
        <f>"3435338858"</f>
        <v>3435338858</v>
      </c>
    </row>
    <row r="708" spans="1:31" x14ac:dyDescent="0.45">
      <c r="A708" t="str">
        <f>"АСЫЛГУЖИН АЙБУЛАТ АХТАМЬЯНОВИЧ"</f>
        <v>АСЫЛГУЖИН АЙБУЛАТ АХТАМЬЯНОВИЧ</v>
      </c>
      <c r="B708" t="str">
        <f>"1992-02-11"</f>
        <v>1992-02-11</v>
      </c>
      <c r="C708" t="str">
        <f>"80 13 874205"</f>
        <v>80 13 874205</v>
      </c>
      <c r="D708" t="str">
        <f>"4854630298623896"</f>
        <v>4854630298623896</v>
      </c>
      <c r="E708" t="str">
        <f>"2020-11-30"</f>
        <v>2020-11-30</v>
      </c>
      <c r="F708" t="str">
        <f>"+"</f>
        <v>+</v>
      </c>
      <c r="G708" t="str">
        <f>"+"</f>
        <v>+</v>
      </c>
      <c r="H708" t="str">
        <f>"40817810516991427819"</f>
        <v>40817810516991427819</v>
      </c>
      <c r="I708" t="str">
        <f>"8597"</f>
        <v>8597</v>
      </c>
      <c r="J708" t="str">
        <f>"0540"</f>
        <v>0540</v>
      </c>
      <c r="K708" t="str">
        <f>"40000.00"</f>
        <v>40000.00</v>
      </c>
      <c r="L708" t="str">
        <f>"454000 ОБЛ ЧЕЛЯБИНСКАЯ   Г ЧЕБАРКУЛЬ   УЛ КАШИРИНА"</f>
        <v>454000 ОБЛ ЧЕЛЯБИНСКАЯ   Г ЧЕБАРКУЛЬ   УЛ КАШИРИНА</v>
      </c>
      <c r="M708" t="str">
        <f t="shared" si="115"/>
        <v>2019-08-24</v>
      </c>
      <c r="N708" t="str">
        <f>"МИНИСТЕРСТВО ОБОРОНЫ В/Ч 87441"</f>
        <v>МИНИСТЕРСТВО ОБОРОНЫ В/Ч 87441</v>
      </c>
      <c r="O708" t="str">
        <f>"450000"</f>
        <v>450000</v>
      </c>
      <c r="P708" t="str">
        <f>"РЕСП БАШКОРТОСТАН"</f>
        <v>РЕСП БАШКОРТОСТАН</v>
      </c>
      <c r="Q708" t="str">
        <f>"Р-Н КАРМАСКАЛИНСКИЙ"</f>
        <v>Р-Н КАРМАСКАЛИНСКИЙ</v>
      </c>
      <c r="R708" t="str">
        <f>""</f>
        <v/>
      </c>
      <c r="S708" t="str">
        <f>"Д АЛАЙГИРОВО"</f>
        <v>Д АЛАЙГИРОВО</v>
      </c>
      <c r="T708" t="str">
        <f>"УЛ С. ЮЛАЕВА"</f>
        <v>УЛ С. ЮЛАЕВА</v>
      </c>
      <c r="U708" s="1" t="str">
        <f>"69"</f>
        <v>69</v>
      </c>
      <c r="V708" s="1" t="str">
        <f>""</f>
        <v/>
      </c>
      <c r="W708" s="1" t="str">
        <f>""</f>
        <v/>
      </c>
      <c r="X708" s="1" t="str">
        <f>""</f>
        <v/>
      </c>
      <c r="Y708" s="1" t="str">
        <f>""</f>
        <v/>
      </c>
      <c r="Z708" t="str">
        <f>"3516895779"</f>
        <v>3516895779</v>
      </c>
      <c r="AA708" t="str">
        <f>"9173856931"</f>
        <v>9173856931</v>
      </c>
      <c r="AB708" t="str">
        <f>"9995857522"</f>
        <v>9995857522</v>
      </c>
      <c r="AC708" t="str">
        <f>"9049799261"</f>
        <v>9049799261</v>
      </c>
      <c r="AD708" t="str">
        <f>"9995857522"</f>
        <v>9995857522</v>
      </c>
      <c r="AE708" t="str">
        <f>""</f>
        <v/>
      </c>
    </row>
    <row r="709" spans="1:31" x14ac:dyDescent="0.45">
      <c r="A709" t="str">
        <f>"ЧУСОВИТИНА ЕКАТЕРИНА ВЛАДИМИРОВНА"</f>
        <v>ЧУСОВИТИНА ЕКАТЕРИНА ВЛАДИМИРОВНА</v>
      </c>
      <c r="B709" t="str">
        <f>"1977-03-29"</f>
        <v>1977-03-29</v>
      </c>
      <c r="C709" t="str">
        <f>"65 05 549183"</f>
        <v>65 05 549183</v>
      </c>
      <c r="D709" t="str">
        <f>"4854630200030552"</f>
        <v>4854630200030552</v>
      </c>
      <c r="E709" t="str">
        <f>"2021-04-30"</f>
        <v>2021-04-30</v>
      </c>
      <c r="F709" t="str">
        <f>"+"</f>
        <v>+</v>
      </c>
      <c r="G709" t="str">
        <f>"+"</f>
        <v>+</v>
      </c>
      <c r="H709" t="str">
        <f>"40817810116991464117"</f>
        <v>40817810116991464117</v>
      </c>
      <c r="I709" t="str">
        <f>"7003"</f>
        <v>7003</v>
      </c>
      <c r="J709" t="str">
        <f>"0460"</f>
        <v>0460</v>
      </c>
      <c r="K709" t="str">
        <f>"20000.00"</f>
        <v>20000.00</v>
      </c>
      <c r="L709" t="str">
        <f>"620000 ОБЛ СВЕРДЛОВСКАЯ   Г ЕКАТЕРИНБУРГ   УЛ 8 МАРТА д. 149"</f>
        <v>620000 ОБЛ СВЕРДЛОВСКАЯ   Г ЕКАТЕРИНБУРГ   УЛ 8 МАРТА д. 149</v>
      </c>
      <c r="M709" t="str">
        <f t="shared" si="115"/>
        <v>2019-08-24</v>
      </c>
      <c r="N709" t="str">
        <f>"ООО ЛИДЕР"</f>
        <v>ООО ЛИДЕР</v>
      </c>
      <c r="O709" t="str">
        <f>"620000"</f>
        <v>620000</v>
      </c>
      <c r="P709" t="str">
        <f>"ОБЛ СВЕРДЛОВСКАЯ"</f>
        <v>ОБЛ СВЕРДЛОВСКАЯ</v>
      </c>
      <c r="Q709" t="str">
        <f>""</f>
        <v/>
      </c>
      <c r="R709" t="str">
        <f>"Г ЕКАТЕРИНБУРГ"</f>
        <v>Г ЕКАТЕРИНБУРГ</v>
      </c>
      <c r="S709" t="str">
        <f>""</f>
        <v/>
      </c>
      <c r="T709" t="str">
        <f>"УЛ ЧЕРЕПАНОВА"</f>
        <v>УЛ ЧЕРЕПАНОВА</v>
      </c>
      <c r="U709" s="1" t="str">
        <f>"18"</f>
        <v>18</v>
      </c>
      <c r="V709" s="1" t="str">
        <f>""</f>
        <v/>
      </c>
      <c r="W709" s="1" t="str">
        <f>""</f>
        <v/>
      </c>
      <c r="X709" s="1" t="str">
        <f>""</f>
        <v/>
      </c>
      <c r="Y709" s="1" t="str">
        <f>"99"</f>
        <v>99</v>
      </c>
      <c r="Z709" t="str">
        <f>""</f>
        <v/>
      </c>
      <c r="AA709" t="str">
        <f>"9521487650"</f>
        <v>9521487650</v>
      </c>
      <c r="AB709" t="str">
        <f>"9521487650"</f>
        <v>9521487650</v>
      </c>
      <c r="AC709" t="str">
        <f>"9521487650"</f>
        <v>9521487650</v>
      </c>
      <c r="AD709" t="str">
        <f>"9521487650"</f>
        <v>9521487650</v>
      </c>
      <c r="AE709" t="str">
        <f>""</f>
        <v/>
      </c>
    </row>
    <row r="710" spans="1:31" x14ac:dyDescent="0.45">
      <c r="A710" t="str">
        <f>"ПОКАЗАНЬЕВА НАТАЛИЯ ВЛАДИМИРОВНА"</f>
        <v>ПОКАЗАНЬЕВА НАТАЛИЯ ВЛАДИМИРОВНА</v>
      </c>
      <c r="B710" t="str">
        <f>"1960-07-02"</f>
        <v>1960-07-02</v>
      </c>
      <c r="C710" t="str">
        <f>"65 05 706632"</f>
        <v>65 05 706632</v>
      </c>
      <c r="D710" t="str">
        <f>"4854630276695536"</f>
        <v>4854630276695536</v>
      </c>
      <c r="E710" t="str">
        <f>"2020-11-30"</f>
        <v>2020-11-30</v>
      </c>
      <c r="F710" t="str">
        <f>"+"</f>
        <v>+</v>
      </c>
      <c r="G710" t="str">
        <f>"+"</f>
        <v>+</v>
      </c>
      <c r="H710" t="str">
        <f>"40817810416991464118"</f>
        <v>40817810416991464118</v>
      </c>
      <c r="I710" t="str">
        <f>"7003"</f>
        <v>7003</v>
      </c>
      <c r="J710" t="str">
        <f>"0346"</f>
        <v>0346</v>
      </c>
      <c r="K710" t="str">
        <f>"14000.00"</f>
        <v>14000.00</v>
      </c>
      <c r="L710" t="str">
        <f>"620000 ОБЛ СВЕРДЛОВСКАЯ   Г ЕКАТЕРИНБУРГ   УЛ САНАТОРНАЯ д. 10 кв. 9"</f>
        <v>620000 ОБЛ СВЕРДЛОВСКАЯ   Г ЕКАТЕРИНБУРГ   УЛ САНАТОРНАЯ д. 10 кв. 9</v>
      </c>
      <c r="M710" t="str">
        <f t="shared" si="115"/>
        <v>2019-08-24</v>
      </c>
      <c r="N710" t="str">
        <f>"ПЕНСИОНЕР"</f>
        <v>ПЕНСИОНЕР</v>
      </c>
      <c r="O710" t="str">
        <f>"620000"</f>
        <v>620000</v>
      </c>
      <c r="P710" t="str">
        <f>"ОБЛ СВЕРДЛОВСКАЯ"</f>
        <v>ОБЛ СВЕРДЛОВСКАЯ</v>
      </c>
      <c r="Q710" t="str">
        <f>""</f>
        <v/>
      </c>
      <c r="R710" t="str">
        <f>"Г ЕКАТЕРИНБУРГ"</f>
        <v>Г ЕКАТЕРИНБУРГ</v>
      </c>
      <c r="S710" t="str">
        <f>""</f>
        <v/>
      </c>
      <c r="T710" t="str">
        <f>"УЛ САНАТОРНАЯ"</f>
        <v>УЛ САНАТОРНАЯ</v>
      </c>
      <c r="U710" s="1" t="str">
        <f>"10"</f>
        <v>10</v>
      </c>
      <c r="V710" s="1" t="str">
        <f>""</f>
        <v/>
      </c>
      <c r="W710" s="1" t="str">
        <f>""</f>
        <v/>
      </c>
      <c r="X710" s="1" t="str">
        <f>""</f>
        <v/>
      </c>
      <c r="Y710" s="1" t="str">
        <f>"9"</f>
        <v>9</v>
      </c>
      <c r="Z710" t="str">
        <f>""</f>
        <v/>
      </c>
      <c r="AA710" t="str">
        <f>"9122848360"</f>
        <v>9122848360</v>
      </c>
      <c r="AB710" t="str">
        <f>"9122848360"</f>
        <v>9122848360</v>
      </c>
      <c r="AC710" t="str">
        <f>"9122848360"</f>
        <v>9122848360</v>
      </c>
      <c r="AD710" t="str">
        <f>"9122848360"</f>
        <v>9122848360</v>
      </c>
      <c r="AE710" t="str">
        <f>""</f>
        <v/>
      </c>
    </row>
    <row r="711" spans="1:31" x14ac:dyDescent="0.45">
      <c r="A711" t="str">
        <f>"ЕРЕМЕЕВ НИКОЛАЙ ВАСИЛЬЕВИЧ"</f>
        <v>ЕРЕМЕЕВ НИКОЛАЙ ВАСИЛЬЕВИЧ</v>
      </c>
      <c r="B711" t="str">
        <f>"1956-03-14"</f>
        <v>1956-03-14</v>
      </c>
      <c r="C711" t="str">
        <f>"75 00 681266"</f>
        <v>75 00 681266</v>
      </c>
      <c r="D711" t="str">
        <f>"4854630376211358"</f>
        <v>4854630376211358</v>
      </c>
      <c r="E711" t="str">
        <f>"2021-04-30"</f>
        <v>2021-04-30</v>
      </c>
      <c r="F711" t="str">
        <f>"Q"</f>
        <v>Q</v>
      </c>
      <c r="G711" t="str">
        <f>"Q"</f>
        <v>Q</v>
      </c>
      <c r="H711" t="str">
        <f>"40817810267720698745"</f>
        <v>40817810267720698745</v>
      </c>
      <c r="I711" t="str">
        <f>"1791"</f>
        <v>1791</v>
      </c>
      <c r="J711" t="str">
        <f>"0077"</f>
        <v>0077</v>
      </c>
      <c r="K711" t="str">
        <f>"0.00"</f>
        <v>0.00</v>
      </c>
      <c r="L711" t="str">
        <f>"628001 ОБЛ ТЮМЕНСКАЯ   Г ХАНТЫ-МАНСИЙСК   УЛ ЧЕРНЫШЕВСКОГО д. 16"</f>
        <v>628001 ОБЛ ТЮМЕНСКАЯ   Г ХАНТЫ-МАНСИЙСК   УЛ ЧЕРНЫШЕВСКОГО д. 16</v>
      </c>
      <c r="M711" t="str">
        <f t="shared" si="115"/>
        <v>2019-08-24</v>
      </c>
      <c r="N711" t="str">
        <f>"ЮГУ"</f>
        <v>ЮГУ</v>
      </c>
      <c r="O711" t="str">
        <f>"628001"</f>
        <v>628001</v>
      </c>
      <c r="P711" t="str">
        <f>"ОБЛ ТЮМЕНСКАЯ"</f>
        <v>ОБЛ ТЮМЕНСКАЯ</v>
      </c>
      <c r="Q711" t="str">
        <f>""</f>
        <v/>
      </c>
      <c r="R711" t="str">
        <f>"Г ХАНТЫ-МАНСИЙСК"</f>
        <v>Г ХАНТЫ-МАНСИЙСК</v>
      </c>
      <c r="S711" t="str">
        <f>""</f>
        <v/>
      </c>
      <c r="T711" t="str">
        <f>"УЛ 40 ЛЕТИЯ ПОБЕДЫ"</f>
        <v>УЛ 40 ЛЕТИЯ ПОБЕДЫ</v>
      </c>
      <c r="U711" s="1" t="str">
        <f>"3"</f>
        <v>3</v>
      </c>
      <c r="V711" s="1" t="str">
        <f>""</f>
        <v/>
      </c>
      <c r="W711" s="1" t="str">
        <f>""</f>
        <v/>
      </c>
      <c r="X711" s="1" t="str">
        <f>""</f>
        <v/>
      </c>
      <c r="Y711" s="1" t="str">
        <f>"234"</f>
        <v>234</v>
      </c>
      <c r="Z711" t="str">
        <f>""</f>
        <v/>
      </c>
      <c r="AA711" t="str">
        <f>"9048111045"</f>
        <v>9048111045</v>
      </c>
      <c r="AB711" t="str">
        <f>"9048111045"</f>
        <v>9048111045</v>
      </c>
      <c r="AC711" t="str">
        <f>"9048111045"</f>
        <v>9048111045</v>
      </c>
      <c r="AD711" t="str">
        <f>"9821075585"</f>
        <v>9821075585</v>
      </c>
      <c r="AE711" t="str">
        <f>""</f>
        <v/>
      </c>
    </row>
    <row r="712" spans="1:31" x14ac:dyDescent="0.45">
      <c r="A712" t="str">
        <f>"РОГАЧЁВА ТАТЬЯНА ВАСИЛЬЕВНА"</f>
        <v>РОГАЧЁВА ТАТЬЯНА ВАСИЛЬЕВНА</v>
      </c>
      <c r="B712" t="str">
        <f>"1954-08-22"</f>
        <v>1954-08-22</v>
      </c>
      <c r="C712" t="str">
        <f>"75 00 559007"</f>
        <v>75 00 559007</v>
      </c>
      <c r="D712" t="str">
        <f>"4854630420571526"</f>
        <v>4854630420571526</v>
      </c>
      <c r="E712" t="str">
        <f>"2021-04-30"</f>
        <v>2021-04-30</v>
      </c>
      <c r="F712" t="str">
        <f t="shared" ref="F712:G715" si="116">"+"</f>
        <v>+</v>
      </c>
      <c r="G712" t="str">
        <f t="shared" si="116"/>
        <v>+</v>
      </c>
      <c r="H712" t="str">
        <f>"40817810216991464130"</f>
        <v>40817810216991464130</v>
      </c>
      <c r="I712" t="str">
        <f>"8597"</f>
        <v>8597</v>
      </c>
      <c r="J712" t="str">
        <f>"0476"</f>
        <v>0476</v>
      </c>
      <c r="K712" t="str">
        <f>"24000.00"</f>
        <v>24000.00</v>
      </c>
      <c r="L712" t="str">
        <f>"454000 ОБЛ ЧЕЛЯБИНСКАЯ П КОРКИНСКИЙ Г КОРКИНО   ПР-КТ ГОРНЯКОВ д. 8"</f>
        <v>454000 ОБЛ ЧЕЛЯБИНСКАЯ П КОРКИНСКИЙ Г КОРКИНО   ПР-КТ ГОРНЯКОВ д. 8</v>
      </c>
      <c r="M712" t="str">
        <f t="shared" si="115"/>
        <v>2019-08-24</v>
      </c>
      <c r="N712" t="str">
        <f>"УПФР"</f>
        <v>УПФР</v>
      </c>
      <c r="O712" t="str">
        <f>"454000"</f>
        <v>454000</v>
      </c>
      <c r="P712" t="str">
        <f>"ОБЛ ЧЕЛЯБИНСКАЯ"</f>
        <v>ОБЛ ЧЕЛЯБИНСКАЯ</v>
      </c>
      <c r="Q712" t="str">
        <f>"Р-Н КОРКИНСКИЙ"</f>
        <v>Р-Н КОРКИНСКИЙ</v>
      </c>
      <c r="R712" t="str">
        <f>"Г КОРКИНО"</f>
        <v>Г КОРКИНО</v>
      </c>
      <c r="S712" t="str">
        <f>""</f>
        <v/>
      </c>
      <c r="T712" t="str">
        <f>"УЛ КАМЕНСКАЯ"</f>
        <v>УЛ КАМЕНСКАЯ</v>
      </c>
      <c r="U712" s="1" t="str">
        <f>"30"</f>
        <v>30</v>
      </c>
      <c r="V712" s="1" t="str">
        <f>""</f>
        <v/>
      </c>
      <c r="W712" s="1" t="str">
        <f>""</f>
        <v/>
      </c>
      <c r="X712" s="1" t="str">
        <f>""</f>
        <v/>
      </c>
      <c r="Y712" s="1" t="str">
        <f>""</f>
        <v/>
      </c>
      <c r="Z712" t="str">
        <f>""</f>
        <v/>
      </c>
      <c r="AA712" t="str">
        <f>"9630927040"</f>
        <v>9630927040</v>
      </c>
      <c r="AB712" t="str">
        <f>"9630927040"</f>
        <v>9630927040</v>
      </c>
      <c r="AC712" t="str">
        <f>"9514828065"</f>
        <v>9514828065</v>
      </c>
      <c r="AD712" t="str">
        <f>"9630927040"</f>
        <v>9630927040</v>
      </c>
      <c r="AE712" t="str">
        <f>""</f>
        <v/>
      </c>
    </row>
    <row r="713" spans="1:31" x14ac:dyDescent="0.45">
      <c r="A713" t="str">
        <f>"ПОПОВА ОЛЬГА ВИТАЛЬЕВНА"</f>
        <v>ПОПОВА ОЛЬГА ВИТАЛЬЕВНА</v>
      </c>
      <c r="B713" t="str">
        <f>"1972-07-31"</f>
        <v>1972-07-31</v>
      </c>
      <c r="C713" t="str">
        <f>"71 17 306183"</f>
        <v>71 17 306183</v>
      </c>
      <c r="D713" t="str">
        <f>"5313100694554873"</f>
        <v>5313100694554873</v>
      </c>
      <c r="E713" t="str">
        <f>"2020-09-30"</f>
        <v>2020-09-30</v>
      </c>
      <c r="F713" t="str">
        <f t="shared" si="116"/>
        <v>+</v>
      </c>
      <c r="G713" t="str">
        <f t="shared" si="116"/>
        <v>+</v>
      </c>
      <c r="H713" t="str">
        <f>"40817810116992454854"</f>
        <v>40817810116992454854</v>
      </c>
      <c r="I713" t="str">
        <f>"8647"</f>
        <v>8647</v>
      </c>
      <c r="J713" t="str">
        <f>"0216"</f>
        <v>0216</v>
      </c>
      <c r="K713" t="str">
        <f>"20000.00"</f>
        <v>20000.00</v>
      </c>
      <c r="L713" t="str">
        <f>"627141 ОБЛ ТЮМЕНСКАЯ   Г ЗАВОДОУКОВСК   УЛ ХАХИНА д. 19"</f>
        <v>627141 ОБЛ ТЮМЕНСКАЯ   Г ЗАВОДОУКОВСК   УЛ ХАХИНА д. 19</v>
      </c>
      <c r="M713" t="str">
        <f t="shared" si="115"/>
        <v>2019-08-24</v>
      </c>
      <c r="N713" t="str">
        <f>"ГБУЗ ТО ОБЛАСТНАЯ БОЛЬНИЦА №12"</f>
        <v>ГБУЗ ТО ОБЛАСТНАЯ БОЛЬНИЦА №12</v>
      </c>
      <c r="O713" t="str">
        <f>"627140"</f>
        <v>627140</v>
      </c>
      <c r="P713" t="str">
        <f>"ОБЛ ТЮМЕНСКАЯ"</f>
        <v>ОБЛ ТЮМЕНСКАЯ</v>
      </c>
      <c r="Q713" t="str">
        <f>""</f>
        <v/>
      </c>
      <c r="R713" t="str">
        <f>"Г ЗАВОДОУКОВСК"</f>
        <v>Г ЗАВОДОУКОВСК</v>
      </c>
      <c r="S713" t="str">
        <f>""</f>
        <v/>
      </c>
      <c r="T713" t="str">
        <f>"УЛ МОЛОДЕЖНАЯ"</f>
        <v>УЛ МОЛОДЕЖНАЯ</v>
      </c>
      <c r="U713" s="1" t="str">
        <f>"33"</f>
        <v>33</v>
      </c>
      <c r="V713" s="1" t="str">
        <f>""</f>
        <v/>
      </c>
      <c r="W713" s="1" t="str">
        <f>""</f>
        <v/>
      </c>
      <c r="X713" s="1" t="str">
        <f>""</f>
        <v/>
      </c>
      <c r="Y713" s="1" t="str">
        <f>""</f>
        <v/>
      </c>
      <c r="Z713" t="str">
        <f>""</f>
        <v/>
      </c>
      <c r="AA713" t="str">
        <f>"3454222274"</f>
        <v>3454222274</v>
      </c>
      <c r="AB713" t="str">
        <f>"9523460802"</f>
        <v>9523460802</v>
      </c>
      <c r="AC713" t="str">
        <f>"3454290320"</f>
        <v>3454290320</v>
      </c>
      <c r="AD713" t="str">
        <f>"9523460802"</f>
        <v>9523460802</v>
      </c>
      <c r="AE713" t="str">
        <f>""</f>
        <v/>
      </c>
    </row>
    <row r="714" spans="1:31" x14ac:dyDescent="0.45">
      <c r="A714" t="str">
        <f>"БЕЗРУКОВА ТАТЬЯНА ГАВРИЛОВНА"</f>
        <v>БЕЗРУКОВА ТАТЬЯНА ГАВРИЛОВНА</v>
      </c>
      <c r="B714" t="str">
        <f>"1957-04-21"</f>
        <v>1957-04-21</v>
      </c>
      <c r="C714" t="str">
        <f>"65 04 753045"</f>
        <v>65 04 753045</v>
      </c>
      <c r="D714" t="str">
        <f>"4854630358892225"</f>
        <v>4854630358892225</v>
      </c>
      <c r="E714" t="str">
        <f>"2021-05-31"</f>
        <v>2021-05-31</v>
      </c>
      <c r="F714" t="str">
        <f t="shared" si="116"/>
        <v>+</v>
      </c>
      <c r="G714" t="str">
        <f t="shared" si="116"/>
        <v>+</v>
      </c>
      <c r="H714" t="str">
        <f>"40817810616991464138"</f>
        <v>40817810616991464138</v>
      </c>
      <c r="I714" t="str">
        <f>"7003"</f>
        <v>7003</v>
      </c>
      <c r="J714" t="str">
        <f>"0457"</f>
        <v>0457</v>
      </c>
      <c r="K714" t="str">
        <f>"20000.00"</f>
        <v>20000.00</v>
      </c>
      <c r="L714" t="str">
        <f>"620000 ОБЛ СВЕРДЛОВСКАЯ   Г ЕКАТЕРИНБУРГ   УЛ ПАТРИОТОВ д. 31"</f>
        <v>620000 ОБЛ СВЕРДЛОВСКАЯ   Г ЕКАТЕРИНБУРГ   УЛ ПАТРИОТОВ д. 31</v>
      </c>
      <c r="M714" t="str">
        <f t="shared" si="115"/>
        <v>2019-08-24</v>
      </c>
      <c r="N714" t="str">
        <f>"ПЕНСИОНЕР"</f>
        <v>ПЕНСИОНЕР</v>
      </c>
      <c r="O714" t="str">
        <f>"620000"</f>
        <v>620000</v>
      </c>
      <c r="P714" t="str">
        <f>"ОБЛ СВЕРДЛОВСКАЯ"</f>
        <v>ОБЛ СВЕРДЛОВСКАЯ</v>
      </c>
      <c r="Q714" t="str">
        <f>""</f>
        <v/>
      </c>
      <c r="R714" t="str">
        <f>"Г ЕКАТЕРИНБУРГ"</f>
        <v>Г ЕКАТЕРИНБУРГ</v>
      </c>
      <c r="S714" t="str">
        <f>""</f>
        <v/>
      </c>
      <c r="T714" t="str">
        <f>"УЛ ПАТРИОТОВ"</f>
        <v>УЛ ПАТРИОТОВ</v>
      </c>
      <c r="U714" s="1" t="str">
        <f>"31"</f>
        <v>31</v>
      </c>
      <c r="V714" s="1" t="str">
        <f>""</f>
        <v/>
      </c>
      <c r="W714" s="1" t="str">
        <f>""</f>
        <v/>
      </c>
      <c r="X714" s="1" t="str">
        <f>""</f>
        <v/>
      </c>
      <c r="Y714" s="1" t="str">
        <f>""</f>
        <v/>
      </c>
      <c r="Z714" t="str">
        <f>"9045486370"</f>
        <v>9045486370</v>
      </c>
      <c r="AA714" t="str">
        <f>"9045486370"</f>
        <v>9045486370</v>
      </c>
      <c r="AB714" t="str">
        <f>"9045486370"</f>
        <v>9045486370</v>
      </c>
      <c r="AC714" t="str">
        <f>"9045486370"</f>
        <v>9045486370</v>
      </c>
      <c r="AD714" t="str">
        <f>"9045486370"</f>
        <v>9045486370</v>
      </c>
      <c r="AE714" t="str">
        <f>"9045486370"</f>
        <v>9045486370</v>
      </c>
    </row>
    <row r="715" spans="1:31" x14ac:dyDescent="0.45">
      <c r="A715" t="str">
        <f>"ЮДАКОВА НАТАЛЬЯ АНАТОЛЬЕВНА"</f>
        <v>ЮДАКОВА НАТАЛЬЯ АНАТОЛЬЕВНА</v>
      </c>
      <c r="B715" t="str">
        <f>"1981-08-23"</f>
        <v>1981-08-23</v>
      </c>
      <c r="C715" t="str">
        <f>"67 04 507721"</f>
        <v>67 04 507721</v>
      </c>
      <c r="D715" t="str">
        <f>"4854630377896181"</f>
        <v>4854630377896181</v>
      </c>
      <c r="E715" t="str">
        <f>"2021-04-30"</f>
        <v>2021-04-30</v>
      </c>
      <c r="F715" t="str">
        <f t="shared" si="116"/>
        <v>+</v>
      </c>
      <c r="G715" t="str">
        <f t="shared" si="116"/>
        <v>+</v>
      </c>
      <c r="H715" t="str">
        <f>"40817810016992200632"</f>
        <v>40817810016992200632</v>
      </c>
      <c r="I715" t="str">
        <f>"5940"</f>
        <v>5940</v>
      </c>
      <c r="J715" t="str">
        <f>"0133"</f>
        <v>0133</v>
      </c>
      <c r="K715" t="str">
        <f>"215000.00"</f>
        <v>215000.00</v>
      </c>
      <c r="L715" t="str">
        <f>"628672 ОБЛ ТЮМЕНСКАЯ     Г ЛАНГЕПАС УЛ ЛЕНИНА д. 11"</f>
        <v>628672 ОБЛ ТЮМЕНСКАЯ     Г ЛАНГЕПАС УЛ ЛЕНИНА д. 11</v>
      </c>
      <c r="M715" t="str">
        <f t="shared" si="115"/>
        <v>2019-08-24</v>
      </c>
      <c r="N715" t="str">
        <f>"УРС"</f>
        <v>УРС</v>
      </c>
      <c r="O715" t="str">
        <f>"628672"</f>
        <v>628672</v>
      </c>
      <c r="P715" t="str">
        <f>"ОБЛ ТЮМЕНСКАЯ"</f>
        <v>ОБЛ ТЮМЕНСКАЯ</v>
      </c>
      <c r="Q715" t="str">
        <f>""</f>
        <v/>
      </c>
      <c r="R715" t="str">
        <f>""</f>
        <v/>
      </c>
      <c r="S715" t="str">
        <f>"Г ЛАНГЕПАС"</f>
        <v>Г ЛАНГЕПАС</v>
      </c>
      <c r="T715" t="str">
        <f>"УЛ МИРА"</f>
        <v>УЛ МИРА</v>
      </c>
      <c r="U715" s="1" t="str">
        <f>"11"</f>
        <v>11</v>
      </c>
      <c r="V715" s="1" t="str">
        <f>""</f>
        <v/>
      </c>
      <c r="W715" s="1" t="str">
        <f>""</f>
        <v/>
      </c>
      <c r="X715" s="1" t="str">
        <f>""</f>
        <v/>
      </c>
      <c r="Y715" s="1" t="str">
        <f>"101"</f>
        <v>101</v>
      </c>
      <c r="Z715" t="str">
        <f>""</f>
        <v/>
      </c>
      <c r="AA715" t="str">
        <f>"9088992486"</f>
        <v>9088992486</v>
      </c>
      <c r="AB715" t="str">
        <f>"9224004199"</f>
        <v>9224004199</v>
      </c>
      <c r="AC715" t="str">
        <f>"9088992486"</f>
        <v>9088992486</v>
      </c>
      <c r="AD715" t="str">
        <f>"9224004199"</f>
        <v>9224004199</v>
      </c>
      <c r="AE715" t="str">
        <f>""</f>
        <v/>
      </c>
    </row>
    <row r="716" spans="1:31" x14ac:dyDescent="0.45">
      <c r="A716" t="str">
        <f>"МИХАЙЛОВА ОКСАНА ВИКТОРОВНА"</f>
        <v>МИХАЙЛОВА ОКСАНА ВИКТОРОВНА</v>
      </c>
      <c r="B716" t="str">
        <f>"1977-04-25"</f>
        <v>1977-04-25</v>
      </c>
      <c r="C716" t="str">
        <f>"65 03 749726"</f>
        <v>65 03 749726</v>
      </c>
      <c r="D716" t="str">
        <f>"4854630405910053"</f>
        <v>4854630405910053</v>
      </c>
      <c r="E716" t="str">
        <f>"2021-04-30"</f>
        <v>2021-04-30</v>
      </c>
      <c r="F716" t="str">
        <f>"Q"</f>
        <v>Q</v>
      </c>
      <c r="G716" t="str">
        <f>"Q"</f>
        <v>Q</v>
      </c>
      <c r="H716" t="str">
        <f>"40817810216991464156"</f>
        <v>40817810216991464156</v>
      </c>
      <c r="I716" t="str">
        <f>"7003"</f>
        <v>7003</v>
      </c>
      <c r="J716" t="str">
        <f>"0509"</f>
        <v>0509</v>
      </c>
      <c r="K716" t="str">
        <f>"0.00"</f>
        <v>0.00</v>
      </c>
      <c r="L716" t="str">
        <f>"623780 ОБЛ СВЕРДЛОВСКАЯ Р-Н АРТЕМОВСКИЙ Г АРТЕМОВСКИЙ   ПЕР ВАЙНЕРА д. 3А кв. 8"</f>
        <v>623780 ОБЛ СВЕРДЛОВСКАЯ Р-Н АРТЕМОВСКИЙ Г АРТЕМОВСКИЙ   ПЕР ВАЙНЕРА д. 3А кв. 8</v>
      </c>
      <c r="M716" t="str">
        <f t="shared" si="115"/>
        <v>2019-08-24</v>
      </c>
      <c r="N716" t="str">
        <f>"ИП МИХАЙЛОВА ОКСАНА ВИКТОРОВНА"</f>
        <v>ИП МИХАЙЛОВА ОКСАНА ВИКТОРОВНА</v>
      </c>
      <c r="O716" t="str">
        <f>"623780"</f>
        <v>623780</v>
      </c>
      <c r="P716" t="str">
        <f>"ОБЛ СВЕРДЛОВСКАЯ"</f>
        <v>ОБЛ СВЕРДЛОВСКАЯ</v>
      </c>
      <c r="Q716" t="str">
        <f>"Р-Н АРТЕМОВСКИЙ"</f>
        <v>Р-Н АРТЕМОВСКИЙ</v>
      </c>
      <c r="R716" t="str">
        <f>"Г АРТЕМОВСКИЙ"</f>
        <v>Г АРТЕМОВСКИЙ</v>
      </c>
      <c r="S716" t="str">
        <f>""</f>
        <v/>
      </c>
      <c r="T716" t="str">
        <f>"ПЕР ВАЙНЕРА"</f>
        <v>ПЕР ВАЙНЕРА</v>
      </c>
      <c r="U716" s="1" t="str">
        <f>"3А"</f>
        <v>3А</v>
      </c>
      <c r="V716" s="1" t="str">
        <f>""</f>
        <v/>
      </c>
      <c r="W716" s="1" t="str">
        <f>""</f>
        <v/>
      </c>
      <c r="X716" s="1" t="str">
        <f>""</f>
        <v/>
      </c>
      <c r="Y716" s="1" t="str">
        <f>"8"</f>
        <v>8</v>
      </c>
      <c r="Z716" t="str">
        <f>""</f>
        <v/>
      </c>
      <c r="AA716" t="str">
        <f>"3436324779"</f>
        <v>3436324779</v>
      </c>
      <c r="AB716" t="str">
        <f>"9068022504"</f>
        <v>9068022504</v>
      </c>
      <c r="AC716" t="str">
        <f>"9068022504"</f>
        <v>9068022504</v>
      </c>
      <c r="AD716" t="str">
        <f>"9068022504"</f>
        <v>9068022504</v>
      </c>
      <c r="AE716" t="str">
        <f>""</f>
        <v/>
      </c>
    </row>
    <row r="717" spans="1:31" x14ac:dyDescent="0.45">
      <c r="A717" t="str">
        <f>"ВОЛКОВА ТАТЬЯНА НИКОЛАЕВНА"</f>
        <v>ВОЛКОВА ТАТЬЯНА НИКОЛАЕВНА</v>
      </c>
      <c r="B717" t="str">
        <f>"1984-12-31"</f>
        <v>1984-12-31</v>
      </c>
      <c r="C717" t="str">
        <f>"37 05 004814"</f>
        <v>37 05 004814</v>
      </c>
      <c r="D717" t="str">
        <f>"5313100782908080"</f>
        <v>5313100782908080</v>
      </c>
      <c r="E717" t="str">
        <f>"2020-10-31"</f>
        <v>2020-10-31</v>
      </c>
      <c r="F717" t="str">
        <f t="shared" ref="F717:G720" si="117">"+"</f>
        <v>+</v>
      </c>
      <c r="G717" t="str">
        <f t="shared" si="117"/>
        <v>+</v>
      </c>
      <c r="H717" t="str">
        <f>"40817810516991464157"</f>
        <v>40817810516991464157</v>
      </c>
      <c r="I717" t="str">
        <f>"8599"</f>
        <v>8599</v>
      </c>
      <c r="J717" t="str">
        <f>"0062"</f>
        <v>0062</v>
      </c>
      <c r="K717" t="str">
        <f>"53000.00"</f>
        <v>53000.00</v>
      </c>
      <c r="L717" t="str">
        <f>"641000 ОБЛ КУРГАНСКАЯ   Г КУРГАН   УЛ ПАНФИЛОВА д. 17"</f>
        <v>641000 ОБЛ КУРГАНСКАЯ   Г КУРГАН   УЛ ПАНФИЛОВА д. 17</v>
      </c>
      <c r="M717" t="str">
        <f t="shared" si="115"/>
        <v>2019-08-24</v>
      </c>
      <c r="N717" t="str">
        <f>"ИП ВОЛКОВА"</f>
        <v>ИП ВОЛКОВА</v>
      </c>
      <c r="O717" t="str">
        <f>"641000"</f>
        <v>641000</v>
      </c>
      <c r="P717" t="str">
        <f>"ОБЛ КУРГАНСКАЯ"</f>
        <v>ОБЛ КУРГАНСКАЯ</v>
      </c>
      <c r="Q717" t="str">
        <f>""</f>
        <v/>
      </c>
      <c r="R717" t="str">
        <f>"Г КУРГАН"</f>
        <v>Г КУРГАН</v>
      </c>
      <c r="S717" t="str">
        <f>""</f>
        <v/>
      </c>
      <c r="T717" t="str">
        <f>"УЛ МАТРОСОВА"</f>
        <v>УЛ МАТРОСОВА</v>
      </c>
      <c r="U717" s="1" t="str">
        <f>"58"</f>
        <v>58</v>
      </c>
      <c r="V717" s="1" t="str">
        <f>""</f>
        <v/>
      </c>
      <c r="W717" s="1" t="str">
        <f>""</f>
        <v/>
      </c>
      <c r="X717" s="1" t="str">
        <f>""</f>
        <v/>
      </c>
      <c r="Y717" s="1" t="str">
        <f>""</f>
        <v/>
      </c>
      <c r="Z717" t="str">
        <f>"9058539293"</f>
        <v>9058539293</v>
      </c>
      <c r="AA717" t="str">
        <f>"9630014858"</f>
        <v>9630014858</v>
      </c>
      <c r="AB717" t="str">
        <f>"9058539293"</f>
        <v>9058539293</v>
      </c>
      <c r="AC717" t="str">
        <f>"9630014858"</f>
        <v>9630014858</v>
      </c>
      <c r="AD717" t="str">
        <f>"9058539293"</f>
        <v>9058539293</v>
      </c>
      <c r="AE717" t="str">
        <f>"9058539293"</f>
        <v>9058539293</v>
      </c>
    </row>
    <row r="718" spans="1:31" x14ac:dyDescent="0.45">
      <c r="A718" t="str">
        <f>"ЛАБУШКИН ЕВГЕНИЙ ГРИГОРЬЕВИЧ"</f>
        <v>ЛАБУШКИН ЕВГЕНИЙ ГРИГОРЬЕВИЧ</v>
      </c>
      <c r="B718" t="str">
        <f>"1955-05-05"</f>
        <v>1955-05-05</v>
      </c>
      <c r="C718" t="str">
        <f>"65 02 646001"</f>
        <v>65 02 646001</v>
      </c>
      <c r="D718" t="str">
        <f>"4854630378849916"</f>
        <v>4854630378849916</v>
      </c>
      <c r="E718" t="str">
        <f>"2021-04-30"</f>
        <v>2021-04-30</v>
      </c>
      <c r="F718" t="str">
        <f t="shared" si="117"/>
        <v>+</v>
      </c>
      <c r="G718" t="str">
        <f t="shared" si="117"/>
        <v>+</v>
      </c>
      <c r="H718" t="str">
        <f>"40817810116991464175"</f>
        <v>40817810116991464175</v>
      </c>
      <c r="I718" t="str">
        <f>"7003"</f>
        <v>7003</v>
      </c>
      <c r="J718" t="str">
        <f>"0757"</f>
        <v>0757</v>
      </c>
      <c r="K718" t="str">
        <f>"15000.00"</f>
        <v>15000.00</v>
      </c>
      <c r="L718" t="str">
        <f>"620000 ОБЛ СВЕРДЛОВСКАЯ Р-Н ПРИГОРОДНЫЙ   С БРОДОВО УЛ МИРА д. 44"</f>
        <v>620000 ОБЛ СВЕРДЛОВСКАЯ Р-Н ПРИГОРОДНЫЙ   С БРОДОВО УЛ МИРА д. 44</v>
      </c>
      <c r="M718" t="str">
        <f t="shared" si="115"/>
        <v>2019-08-24</v>
      </c>
      <c r="N718" t="str">
        <f>"ПЕНСИОНЕР"</f>
        <v>ПЕНСИОНЕР</v>
      </c>
      <c r="O718" t="str">
        <f>"620000"</f>
        <v>620000</v>
      </c>
      <c r="P718" t="str">
        <f>"ОБЛ СВЕРДЛОВСКАЯ"</f>
        <v>ОБЛ СВЕРДЛОВСКАЯ</v>
      </c>
      <c r="Q718" t="str">
        <f>"Р-Н ПРИГОРОДНЫЙ"</f>
        <v>Р-Н ПРИГОРОДНЫЙ</v>
      </c>
      <c r="R718" t="str">
        <f>""</f>
        <v/>
      </c>
      <c r="S718" t="str">
        <f>"С БРОДОВО"</f>
        <v>С БРОДОВО</v>
      </c>
      <c r="T718" t="str">
        <f>"УЛ МИРА"</f>
        <v>УЛ МИРА</v>
      </c>
      <c r="U718" s="1" t="str">
        <f>"44"</f>
        <v>44</v>
      </c>
      <c r="V718" s="1" t="str">
        <f>""</f>
        <v/>
      </c>
      <c r="W718" s="1" t="str">
        <f>""</f>
        <v/>
      </c>
      <c r="X718" s="1" t="str">
        <f>""</f>
        <v/>
      </c>
      <c r="Y718" s="1" t="str">
        <f>""</f>
        <v/>
      </c>
      <c r="Z718" t="str">
        <f>""</f>
        <v/>
      </c>
      <c r="AA718" t="str">
        <f>"9530494118"</f>
        <v>9530494118</v>
      </c>
      <c r="AB718" t="str">
        <f>"9530494112"</f>
        <v>9530494112</v>
      </c>
      <c r="AC718" t="str">
        <f>"9530494118"</f>
        <v>9530494118</v>
      </c>
      <c r="AD718" t="str">
        <f>"9530494112"</f>
        <v>9530494112</v>
      </c>
      <c r="AE718" t="str">
        <f>""</f>
        <v/>
      </c>
    </row>
    <row r="719" spans="1:31" x14ac:dyDescent="0.45">
      <c r="A719" t="str">
        <f>"САЙФУТДИНОВА ГУЗЕЛИЯ НУРИТДИНОВНА"</f>
        <v>САЙФУТДИНОВА ГУЗЕЛИЯ НУРИТДИНОВНА</v>
      </c>
      <c r="B719" t="str">
        <f>"1981-07-31"</f>
        <v>1981-07-31</v>
      </c>
      <c r="C719" t="str">
        <f>"80 04 411508"</f>
        <v>80 04 411508</v>
      </c>
      <c r="D719" t="str">
        <f>"5313100206425026"</f>
        <v>5313100206425026</v>
      </c>
      <c r="E719" t="str">
        <f>"2021-03-31"</f>
        <v>2021-03-31</v>
      </c>
      <c r="F719" t="str">
        <f t="shared" si="117"/>
        <v>+</v>
      </c>
      <c r="G719" t="str">
        <f t="shared" si="117"/>
        <v>+</v>
      </c>
      <c r="H719" t="str">
        <f>"40817810016991429870"</f>
        <v>40817810016991429870</v>
      </c>
      <c r="I719" t="str">
        <f>"8598"</f>
        <v>8598</v>
      </c>
      <c r="J719" t="str">
        <f>"0713"</f>
        <v>0713</v>
      </c>
      <c r="K719" t="str">
        <f>"65000.00"</f>
        <v>65000.00</v>
      </c>
      <c r="L719" t="str">
        <f>"450000 РЕСП БАШКОРТОСТАН Р-Н ИШИМБАЙСКИЙ   С КУЗЯНОВО УЛ ШКОЛЬНАЯ д. 63"</f>
        <v>450000 РЕСП БАШКОРТОСТАН Р-Н ИШИМБАЙСКИЙ   С КУЗЯНОВО УЛ ШКОЛЬНАЯ д. 63</v>
      </c>
      <c r="M719" t="str">
        <f t="shared" si="115"/>
        <v>2019-08-24</v>
      </c>
      <c r="N719" t="str">
        <f>"МБОУ СОШ С КУЗЯНОВО"</f>
        <v>МБОУ СОШ С КУЗЯНОВО</v>
      </c>
      <c r="O719" t="str">
        <f>"450000"</f>
        <v>450000</v>
      </c>
      <c r="P719" t="str">
        <f>"РЕСП БАШКОРТОСТАН"</f>
        <v>РЕСП БАШКОРТОСТАН</v>
      </c>
      <c r="Q719" t="str">
        <f>"Р-Н ИШИМБАЙСКИЙ"</f>
        <v>Р-Н ИШИМБАЙСКИЙ</v>
      </c>
      <c r="R719" t="str">
        <f>""</f>
        <v/>
      </c>
      <c r="S719" t="str">
        <f>"С КУЗЯНОВО"</f>
        <v>С КУЗЯНОВО</v>
      </c>
      <c r="T719" t="str">
        <f>"УЛ ШКОЛЬНАЯ"</f>
        <v>УЛ ШКОЛЬНАЯ</v>
      </c>
      <c r="U719" s="1" t="str">
        <f>"63"</f>
        <v>63</v>
      </c>
      <c r="V719" s="1" t="str">
        <f>""</f>
        <v/>
      </c>
      <c r="W719" s="1" t="str">
        <f>""</f>
        <v/>
      </c>
      <c r="X719" s="1" t="str">
        <f>""</f>
        <v/>
      </c>
      <c r="Y719" s="1" t="str">
        <f>""</f>
        <v/>
      </c>
      <c r="Z719" t="str">
        <f>"3479473264"</f>
        <v>3479473264</v>
      </c>
      <c r="AA719" t="str">
        <f>"3479473264"</f>
        <v>3479473264</v>
      </c>
      <c r="AB719" t="str">
        <f>"9656452436"</f>
        <v>9656452436</v>
      </c>
      <c r="AC719" t="str">
        <f>"3479473264"</f>
        <v>3479473264</v>
      </c>
      <c r="AD719" t="str">
        <f>"9656452436"</f>
        <v>9656452436</v>
      </c>
      <c r="AE719" t="str">
        <f>"3479473264"</f>
        <v>3479473264</v>
      </c>
    </row>
    <row r="720" spans="1:31" x14ac:dyDescent="0.45">
      <c r="A720" t="str">
        <f>"БЕКМАНСУРОВА ТАТЬЯНА МИХАЙЛОВНА"</f>
        <v>БЕКМАНСУРОВА ТАТЬЯНА МИХАЙЛОВНА</v>
      </c>
      <c r="B720" t="str">
        <f>"1974-04-26"</f>
        <v>1974-04-26</v>
      </c>
      <c r="C720" t="str">
        <f>"65 19 882110"</f>
        <v>65 19 882110</v>
      </c>
      <c r="D720" t="str">
        <f>"4854630381769531"</f>
        <v>4854630381769531</v>
      </c>
      <c r="E720" t="str">
        <f>"2021-04-30"</f>
        <v>2021-04-30</v>
      </c>
      <c r="F720" t="str">
        <f t="shared" si="117"/>
        <v>+</v>
      </c>
      <c r="G720" t="str">
        <f t="shared" si="117"/>
        <v>+</v>
      </c>
      <c r="H720" t="str">
        <f>"40817810116991424704"</f>
        <v>40817810116991424704</v>
      </c>
      <c r="I720" t="str">
        <f>"7003"</f>
        <v>7003</v>
      </c>
      <c r="J720" t="str">
        <f>"0706"</f>
        <v>0706</v>
      </c>
      <c r="K720" t="str">
        <f>"56000.00"</f>
        <v>56000.00</v>
      </c>
      <c r="L720" t="str">
        <f>"620000 ОБЛ СВЕРДЛОВСКАЯ   Г ЕКАТЕРИНБУРГ   УЛ МОСТОВАЯ д. 17А"</f>
        <v>620000 ОБЛ СВЕРДЛОВСКАЯ   Г ЕКАТЕРИНБУРГ   УЛ МОСТОВАЯ д. 17А</v>
      </c>
      <c r="M720" t="str">
        <f t="shared" si="115"/>
        <v>2019-08-24</v>
      </c>
      <c r="N720" t="str">
        <f>"ООО ПРОМКОМПЛЕКТЦЕНТР"</f>
        <v>ООО ПРОМКОМПЛЕКТЦЕНТР</v>
      </c>
      <c r="O720" t="str">
        <f>"620000"</f>
        <v>620000</v>
      </c>
      <c r="P720" t="str">
        <f>"ОБЛ СВЕРДЛОВСКАЯ"</f>
        <v>ОБЛ СВЕРДЛОВСКАЯ</v>
      </c>
      <c r="Q720" t="str">
        <f>""</f>
        <v/>
      </c>
      <c r="R720" t="str">
        <f>"Г РЕВДА"</f>
        <v>Г РЕВДА</v>
      </c>
      <c r="S720" t="str">
        <f>""</f>
        <v/>
      </c>
      <c r="T720" t="str">
        <f>"УЛ МИРА"</f>
        <v>УЛ МИРА</v>
      </c>
      <c r="U720" s="1" t="str">
        <f>"37"</f>
        <v>37</v>
      </c>
      <c r="V720" s="1" t="str">
        <f>""</f>
        <v/>
      </c>
      <c r="W720" s="1" t="str">
        <f>""</f>
        <v/>
      </c>
      <c r="X720" s="1" t="str">
        <f>""</f>
        <v/>
      </c>
      <c r="Y720" s="1" t="str">
        <f>"15"</f>
        <v>15</v>
      </c>
      <c r="Z720" t="str">
        <f>"+7 (982) 6603934"</f>
        <v>+7 (982) 6603934</v>
      </c>
      <c r="AA720" t="str">
        <f>"+7 (982) 6603934"</f>
        <v>+7 (982) 6603934</v>
      </c>
      <c r="AB720" t="str">
        <f>"+7 (982) 6603934"</f>
        <v>+7 (982) 6603934</v>
      </c>
      <c r="AC720" t="str">
        <f>"9826603934"</f>
        <v>9826603934</v>
      </c>
      <c r="AD720" t="str">
        <f>"9826603934"</f>
        <v>9826603934</v>
      </c>
      <c r="AE720" t="str">
        <f>"9826603934"</f>
        <v>9826603934</v>
      </c>
    </row>
    <row r="721" spans="1:31" x14ac:dyDescent="0.45">
      <c r="A721" t="str">
        <f>"ПОПОВА СВЕТЛАНА ВАСИЛЬЕВНА"</f>
        <v>ПОПОВА СВЕТЛАНА ВАСИЛЬЕВНА</v>
      </c>
      <c r="B721" t="str">
        <f>"1963-06-23"</f>
        <v>1963-06-23</v>
      </c>
      <c r="C721" t="str">
        <f>"75 08 331802"</f>
        <v>75 08 331802</v>
      </c>
      <c r="D721" t="str">
        <f>"4854630407404386"</f>
        <v>4854630407404386</v>
      </c>
      <c r="E721" t="str">
        <f>"2021-04-30"</f>
        <v>2021-04-30</v>
      </c>
      <c r="F721" t="str">
        <f>"Q"</f>
        <v>Q</v>
      </c>
      <c r="G721" t="str">
        <f>"Q"</f>
        <v>Q</v>
      </c>
      <c r="H721" t="str">
        <f>"40817810416991424705"</f>
        <v>40817810416991424705</v>
      </c>
      <c r="I721" t="str">
        <f>"8597"</f>
        <v>8597</v>
      </c>
      <c r="J721" t="str">
        <f>"0206"</f>
        <v>0206</v>
      </c>
      <c r="K721" t="str">
        <f>"0.00"</f>
        <v>0.00</v>
      </c>
      <c r="L721" t="str">
        <f>"454000 ОБЛ ЧЕЛЯБИНСКАЯ   Г ЧЕЛЯБИНСК   ТРАКТ ТРАКТ д. 21И"</f>
        <v>454000 ОБЛ ЧЕЛЯБИНСКАЯ   Г ЧЕЛЯБИНСК   ТРАКТ ТРАКТ д. 21И</v>
      </c>
      <c r="M721" t="str">
        <f t="shared" si="115"/>
        <v>2019-08-24</v>
      </c>
      <c r="N721" t="str">
        <f>"ООО УРАЛБЫТХИМ"</f>
        <v>ООО УРАЛБЫТХИМ</v>
      </c>
      <c r="O721" t="str">
        <f>"454000"</f>
        <v>454000</v>
      </c>
      <c r="P721" t="str">
        <f>"ОБЛ ЧЕЛЯБИНСКАЯ"</f>
        <v>ОБЛ ЧЕЛЯБИНСКАЯ</v>
      </c>
      <c r="Q721" t="str">
        <f>""</f>
        <v/>
      </c>
      <c r="R721" t="str">
        <f>"Г ЧЕЛЯБИНСК"</f>
        <v>Г ЧЕЛЯБИНСК</v>
      </c>
      <c r="S721" t="str">
        <f>""</f>
        <v/>
      </c>
      <c r="T721" t="str">
        <f>"УЛ ДЗЕРЖИНСКОГО"</f>
        <v>УЛ ДЗЕРЖИНСКОГО</v>
      </c>
      <c r="U721" s="1" t="str">
        <f>"99"</f>
        <v>99</v>
      </c>
      <c r="V721" s="1" t="str">
        <f>""</f>
        <v/>
      </c>
      <c r="W721" s="1" t="str">
        <f>""</f>
        <v/>
      </c>
      <c r="X721" s="1" t="str">
        <f>""</f>
        <v/>
      </c>
      <c r="Y721" s="1" t="str">
        <f>"127"</f>
        <v>127</v>
      </c>
      <c r="Z721" t="str">
        <f>""</f>
        <v/>
      </c>
      <c r="AA721" t="str">
        <f>"3512571392"</f>
        <v>3512571392</v>
      </c>
      <c r="AB721" t="str">
        <f>"9517751501"</f>
        <v>9517751501</v>
      </c>
      <c r="AC721" t="str">
        <f>"9193506818"</f>
        <v>9193506818</v>
      </c>
      <c r="AD721" t="str">
        <f>"9517751501"</f>
        <v>9517751501</v>
      </c>
      <c r="AE721" t="str">
        <f>""</f>
        <v/>
      </c>
    </row>
    <row r="722" spans="1:31" x14ac:dyDescent="0.45">
      <c r="A722" t="str">
        <f>"ХОЗИКОВА МАРИНА ЮРЬЕВНА"</f>
        <v>ХОЗИКОВА МАРИНА ЮРЬЕВНА</v>
      </c>
      <c r="B722" t="str">
        <f>"1960-04-20"</f>
        <v>1960-04-20</v>
      </c>
      <c r="C722" t="str">
        <f>"67 06 709627"</f>
        <v>67 06 709627</v>
      </c>
      <c r="D722" t="str">
        <f>"4854630429170601"</f>
        <v>4854630429170601</v>
      </c>
      <c r="E722" t="str">
        <f>"2021-04-30"</f>
        <v>2021-04-30</v>
      </c>
      <c r="F722" t="str">
        <f>"+"</f>
        <v>+</v>
      </c>
      <c r="G722" t="str">
        <f>"J"</f>
        <v>J</v>
      </c>
      <c r="H722" t="str">
        <f>"40817810516992067184"</f>
        <v>40817810516992067184</v>
      </c>
      <c r="I722" t="str">
        <f>"5940"</f>
        <v>5940</v>
      </c>
      <c r="J722" t="str">
        <f>"0071"</f>
        <v>0071</v>
      </c>
      <c r="K722" t="str">
        <f>"60000.00"</f>
        <v>60000.00</v>
      </c>
      <c r="L722" t="str">
        <f>"628484 ОБЛ ТЮМЕНСКАЯ   Г КОГАЛЫМ   УЛ ЛЕНИНГРАДСКАЯ д. 21 кв. 86"</f>
        <v>628484 ОБЛ ТЮМЕНСКАЯ   Г КОГАЛЫМ   УЛ ЛЕНИНГРАДСКАЯ д. 21 кв. 86</v>
      </c>
      <c r="M722" t="str">
        <f t="shared" si="115"/>
        <v>2019-08-24</v>
      </c>
      <c r="N722" t="str">
        <f>"ПЕНСИОНЕР"</f>
        <v>ПЕНСИОНЕР</v>
      </c>
      <c r="O722" t="str">
        <f>"628484"</f>
        <v>628484</v>
      </c>
      <c r="P722" t="str">
        <f>"ОБЛ ТЮМЕНСКАЯ"</f>
        <v>ОБЛ ТЮМЕНСКАЯ</v>
      </c>
      <c r="Q722" t="str">
        <f>""</f>
        <v/>
      </c>
      <c r="R722" t="str">
        <f>"Г КОГАЛЫМ"</f>
        <v>Г КОГАЛЫМ</v>
      </c>
      <c r="S722" t="str">
        <f>""</f>
        <v/>
      </c>
      <c r="T722" t="str">
        <f>"УЛ ЛЕНИНГРАДСКАЯ"</f>
        <v>УЛ ЛЕНИНГРАДСКАЯ</v>
      </c>
      <c r="U722" s="1" t="str">
        <f>"21"</f>
        <v>21</v>
      </c>
      <c r="V722" s="1" t="str">
        <f>""</f>
        <v/>
      </c>
      <c r="W722" s="1" t="str">
        <f>""</f>
        <v/>
      </c>
      <c r="X722" s="1" t="str">
        <f>""</f>
        <v/>
      </c>
      <c r="Y722" s="1" t="str">
        <f>"86"</f>
        <v>86</v>
      </c>
      <c r="Z722" t="str">
        <f>""</f>
        <v/>
      </c>
      <c r="AA722" t="str">
        <f>"9527019923"</f>
        <v>9527019923</v>
      </c>
      <c r="AB722" t="str">
        <f>"9527019923"</f>
        <v>9527019923</v>
      </c>
      <c r="AC722" t="str">
        <f>"9527019923"</f>
        <v>9527019923</v>
      </c>
      <c r="AD722" t="str">
        <f>"9527019923"</f>
        <v>9527019923</v>
      </c>
      <c r="AE722" t="str">
        <f>""</f>
        <v/>
      </c>
    </row>
    <row r="723" spans="1:31" x14ac:dyDescent="0.45">
      <c r="A723" t="str">
        <f>"ЧИРКОВА СВЕТЛАНА БОРИСОВНА"</f>
        <v>ЧИРКОВА СВЕТЛАНА БОРИСОВНА</v>
      </c>
      <c r="B723" t="str">
        <f>"1963-02-19"</f>
        <v>1963-02-19</v>
      </c>
      <c r="C723" t="str">
        <f>"65 08 363704"</f>
        <v>65 08 363704</v>
      </c>
      <c r="D723" t="str">
        <f>"4854630424237785"</f>
        <v>4854630424237785</v>
      </c>
      <c r="E723" t="str">
        <f>"2021-05-31"</f>
        <v>2021-05-31</v>
      </c>
      <c r="F723" t="str">
        <f>"+"</f>
        <v>+</v>
      </c>
      <c r="G723" t="str">
        <f t="shared" ref="G723:G729" si="118">"+"</f>
        <v>+</v>
      </c>
      <c r="H723" t="str">
        <f>"40817810216991464208"</f>
        <v>40817810216991464208</v>
      </c>
      <c r="I723" t="str">
        <f>"7003"</f>
        <v>7003</v>
      </c>
      <c r="J723" t="str">
        <f>"0727"</f>
        <v>0727</v>
      </c>
      <c r="K723" t="str">
        <f>"265000.00"</f>
        <v>265000.00</v>
      </c>
      <c r="L723" t="str">
        <f>"622000 ОБЛ СВЕРДЛОВСКАЯ   Г НИЖНИЙ ТАГИЛ   УЛ КРАСНОАРМЕЙСКАЯ д. 46"</f>
        <v>622000 ОБЛ СВЕРДЛОВСКАЯ   Г НИЖНИЙ ТАГИЛ   УЛ КРАСНОАРМЕЙСКАЯ д. 46</v>
      </c>
      <c r="M723" t="str">
        <f t="shared" si="115"/>
        <v>2019-08-24</v>
      </c>
      <c r="N723" t="str">
        <f>"АДМИНИСТРАЦИЯ ГОРНОУРАЛЬСКОГО ОКР"</f>
        <v>АДМИНИСТРАЦИЯ ГОРНОУРАЛЬСКОГО ОКР</v>
      </c>
      <c r="O723" t="str">
        <f>"622000"</f>
        <v>622000</v>
      </c>
      <c r="P723" t="str">
        <f>"ОБЛ СВЕРДЛОВСКАЯ"</f>
        <v>ОБЛ СВЕРДЛОВСКАЯ</v>
      </c>
      <c r="Q723" t="str">
        <f>""</f>
        <v/>
      </c>
      <c r="R723" t="str">
        <f>""</f>
        <v/>
      </c>
      <c r="S723" t="str">
        <f>"Г Н ТАГИЛ"</f>
        <v>Г Н ТАГИЛ</v>
      </c>
      <c r="T723" t="str">
        <f>"УЛ КРАСНОАРМЕЙСКАЯ"</f>
        <v>УЛ КРАСНОАРМЕЙСКАЯ</v>
      </c>
      <c r="U723" s="1" t="str">
        <f>"78"</f>
        <v>78</v>
      </c>
      <c r="V723" s="1" t="str">
        <f>""</f>
        <v/>
      </c>
      <c r="W723" s="1" t="str">
        <f>""</f>
        <v/>
      </c>
      <c r="X723" s="1" t="str">
        <f>""</f>
        <v/>
      </c>
      <c r="Y723" s="1" t="str">
        <f>"22"</f>
        <v>22</v>
      </c>
      <c r="Z723" t="str">
        <f>"3435457072"</f>
        <v>3435457072</v>
      </c>
      <c r="AA723" t="str">
        <f>"9502065189"</f>
        <v>9502065189</v>
      </c>
      <c r="AB723" t="str">
        <f>"9502065189"</f>
        <v>9502065189</v>
      </c>
      <c r="AC723" t="str">
        <f>"9502065189"</f>
        <v>9502065189</v>
      </c>
      <c r="AD723" t="str">
        <f>"9502065189"</f>
        <v>9502065189</v>
      </c>
      <c r="AE723" t="str">
        <f>"3435457072"</f>
        <v>3435457072</v>
      </c>
    </row>
    <row r="724" spans="1:31" x14ac:dyDescent="0.45">
      <c r="A724" t="str">
        <f>"БАЛЯСОВА АННА ВАЛЕНТИНОВНА"</f>
        <v>БАЛЯСОВА АННА ВАЛЕНТИНОВНА</v>
      </c>
      <c r="B724" t="str">
        <f>"1976-03-27"</f>
        <v>1976-03-27</v>
      </c>
      <c r="C724" t="str">
        <f>"80 05 012620"</f>
        <v>80 05 012620</v>
      </c>
      <c r="D724" t="str">
        <f>"4854630053532944"</f>
        <v>4854630053532944</v>
      </c>
      <c r="E724" t="str">
        <f>"2021-04-30"</f>
        <v>2021-04-30</v>
      </c>
      <c r="F724" t="str">
        <f>"M"</f>
        <v>M</v>
      </c>
      <c r="G724" t="str">
        <f t="shared" si="118"/>
        <v>+</v>
      </c>
      <c r="H724" t="str">
        <f>"40817810316991427873"</f>
        <v>40817810316991427873</v>
      </c>
      <c r="I724" t="str">
        <f>"8598"</f>
        <v>8598</v>
      </c>
      <c r="J724" t="str">
        <f>"0373"</f>
        <v>0373</v>
      </c>
      <c r="K724" t="str">
        <f>"41000.00"</f>
        <v>41000.00</v>
      </c>
      <c r="L724" t="str">
        <f>"450000 ОБЛ ТЮМЕНСКАЯ   Г НОВЫЙ УРЕНГОЙ   УЛ ПРОМЫСЛОВАЯ д. 29"</f>
        <v>450000 ОБЛ ТЮМЕНСКАЯ   Г НОВЫЙ УРЕНГОЙ   УЛ ПРОМЫСЛОВАЯ д. 29</v>
      </c>
      <c r="M724" t="str">
        <f t="shared" si="115"/>
        <v>2019-08-24</v>
      </c>
      <c r="N724" t="str">
        <f>"ГАЗЭНЕРГОСТРОЙ"</f>
        <v>ГАЗЭНЕРГОСТРОЙ</v>
      </c>
      <c r="O724" t="str">
        <f>"453100"</f>
        <v>453100</v>
      </c>
      <c r="P724" t="str">
        <f>"РЕСП БАШКОРТОСТАН"</f>
        <v>РЕСП БАШКОРТОСТАН</v>
      </c>
      <c r="Q724" t="str">
        <f>"Р-Н СТЕРЛИТАМАКСКИЙ"</f>
        <v>Р-Н СТЕРЛИТАМАКСКИЙ</v>
      </c>
      <c r="R724" t="str">
        <f>""</f>
        <v/>
      </c>
      <c r="S724" t="str">
        <f>"С ПОКРОВКА"</f>
        <v>С ПОКРОВКА</v>
      </c>
      <c r="T724" t="str">
        <f>"УЛ К. МАРКСА"</f>
        <v>УЛ К. МАРКСА</v>
      </c>
      <c r="U724" s="1" t="str">
        <f>"24"</f>
        <v>24</v>
      </c>
      <c r="V724" s="1" t="str">
        <f>""</f>
        <v/>
      </c>
      <c r="W724" s="1" t="str">
        <f>""</f>
        <v/>
      </c>
      <c r="X724" s="1" t="str">
        <f>""</f>
        <v/>
      </c>
      <c r="Y724" s="1" t="str">
        <f>""</f>
        <v/>
      </c>
      <c r="Z724" t="str">
        <f>""</f>
        <v/>
      </c>
      <c r="AA724" t="str">
        <f>"9822667624"</f>
        <v>9822667624</v>
      </c>
      <c r="AB724" t="str">
        <f>"9822667624"</f>
        <v>9822667624</v>
      </c>
      <c r="AC724" t="str">
        <f>"9822667624"</f>
        <v>9822667624</v>
      </c>
      <c r="AD724" t="str">
        <f>"9822667624"</f>
        <v>9822667624</v>
      </c>
      <c r="AE724" t="str">
        <f>""</f>
        <v/>
      </c>
    </row>
    <row r="725" spans="1:31" x14ac:dyDescent="0.45">
      <c r="A725" t="str">
        <f>"БАДРИТДИНОВ РАДИС РАМАЗАНОВИЧ"</f>
        <v>БАДРИТДИНОВ РАДИС РАМАЗАНОВИЧ</v>
      </c>
      <c r="B725" t="str">
        <f>"1953-11-13"</f>
        <v>1953-11-13</v>
      </c>
      <c r="C725" t="str">
        <f>"80 02 644818"</f>
        <v>80 02 644818</v>
      </c>
      <c r="D725" t="str">
        <f>"4276011695947875"</f>
        <v>4276011695947875</v>
      </c>
      <c r="E725" t="str">
        <f t="shared" ref="E725:E731" si="119">"2021-05-31"</f>
        <v>2021-05-31</v>
      </c>
      <c r="F725" t="str">
        <f>"+"</f>
        <v>+</v>
      </c>
      <c r="G725" t="str">
        <f t="shared" si="118"/>
        <v>+</v>
      </c>
      <c r="H725" t="str">
        <f>"40817810316991427909"</f>
        <v>40817810316991427909</v>
      </c>
      <c r="I725" t="str">
        <f>"8598"</f>
        <v>8598</v>
      </c>
      <c r="J725" t="str">
        <f>"0539"</f>
        <v>0539</v>
      </c>
      <c r="K725" t="str">
        <f>"57000.00"</f>
        <v>57000.00</v>
      </c>
      <c r="L725" t="str">
        <f>"452960 РЕСП АДЫГЕЯ Р-Н БУРАЕВСКИЙ   С БУРАЕВО УЛ ЭНЕРГЕТИКОВ д. 5 кв. 2"</f>
        <v>452960 РЕСП АДЫГЕЯ Р-Н БУРАЕВСКИЙ   С БУРАЕВО УЛ ЭНЕРГЕТИКОВ д. 5 кв. 2</v>
      </c>
      <c r="M725" t="str">
        <f t="shared" si="115"/>
        <v>2019-08-24</v>
      </c>
      <c r="N725" t="str">
        <f>"ОТСУТСТВУЕТ"</f>
        <v>ОТСУТСТВУЕТ</v>
      </c>
      <c r="O725" t="str">
        <f>"452960"</f>
        <v>452960</v>
      </c>
      <c r="P725" t="str">
        <f>"РЕСП АДЫГЕЯ"</f>
        <v>РЕСП АДЫГЕЯ</v>
      </c>
      <c r="Q725" t="str">
        <f>"Р-Н БУРАЕВСКИЙ"</f>
        <v>Р-Н БУРАЕВСКИЙ</v>
      </c>
      <c r="R725" t="str">
        <f>""</f>
        <v/>
      </c>
      <c r="S725" t="str">
        <f>"С БУРАЕВО"</f>
        <v>С БУРАЕВО</v>
      </c>
      <c r="T725" t="str">
        <f>"УЛ ЭНЕРГЕТИКОВ"</f>
        <v>УЛ ЭНЕРГЕТИКОВ</v>
      </c>
      <c r="U725" s="1" t="str">
        <f>"5"</f>
        <v>5</v>
      </c>
      <c r="V725" s="1" t="str">
        <f>""</f>
        <v/>
      </c>
      <c r="W725" s="1" t="str">
        <f>""</f>
        <v/>
      </c>
      <c r="X725" s="1" t="str">
        <f>""</f>
        <v/>
      </c>
      <c r="Y725" s="1" t="str">
        <f>"2"</f>
        <v>2</v>
      </c>
      <c r="Z725" t="str">
        <f>""</f>
        <v/>
      </c>
      <c r="AA725" t="str">
        <f>"9063743742"</f>
        <v>9063743742</v>
      </c>
      <c r="AB725" t="str">
        <f>"9063743742"</f>
        <v>9063743742</v>
      </c>
      <c r="AC725" t="str">
        <f>""</f>
        <v/>
      </c>
      <c r="AD725" t="str">
        <f>"9063743742"</f>
        <v>9063743742</v>
      </c>
      <c r="AE725" t="str">
        <f>""</f>
        <v/>
      </c>
    </row>
    <row r="726" spans="1:31" x14ac:dyDescent="0.45">
      <c r="A726" t="str">
        <f>"ПЕТРОПАВЛОВСКИЙ ДМИТРИЙ ЮРЬЕВИЧ"</f>
        <v>ПЕТРОПАВЛОВСКИЙ ДМИТРИЙ ЮРЬЕВИЧ</v>
      </c>
      <c r="B726" t="str">
        <f>"1989-10-27"</f>
        <v>1989-10-27</v>
      </c>
      <c r="C726" t="str">
        <f>"65 10 939286"</f>
        <v>65 10 939286</v>
      </c>
      <c r="D726" t="str">
        <f>"4279011650264172"</f>
        <v>4279011650264172</v>
      </c>
      <c r="E726" t="str">
        <f t="shared" si="119"/>
        <v>2021-05-31</v>
      </c>
      <c r="F726" t="str">
        <f>"+"</f>
        <v>+</v>
      </c>
      <c r="G726" t="str">
        <f t="shared" si="118"/>
        <v>+</v>
      </c>
      <c r="H726" t="str">
        <f>"40817810716991427910"</f>
        <v>40817810716991427910</v>
      </c>
      <c r="I726" t="str">
        <f>"7003"</f>
        <v>7003</v>
      </c>
      <c r="J726" t="str">
        <f>"0368"</f>
        <v>0368</v>
      </c>
      <c r="K726" t="str">
        <f>"70000.00"</f>
        <v>70000.00</v>
      </c>
      <c r="L726" t="str">
        <f>"620000 ОБЛ СВЕРДЛОВСКАЯ   Г ЕКАТЕРИНБУРГ   УЛ ЭСКАДРОННАЯ д. 45"</f>
        <v>620000 ОБЛ СВЕРДЛОВСКАЯ   Г ЕКАТЕРИНБУРГ   УЛ ЭСКАДРОННАЯ д. 45</v>
      </c>
      <c r="M726" t="str">
        <f t="shared" si="115"/>
        <v>2019-08-24</v>
      </c>
      <c r="N726" t="str">
        <f>"ООО ДОБРОГОСТ"</f>
        <v>ООО ДОБРОГОСТ</v>
      </c>
      <c r="O726" t="str">
        <f>"620000"</f>
        <v>620000</v>
      </c>
      <c r="P726" t="str">
        <f>"ОБЛ СВЕРДЛОВСКАЯ"</f>
        <v>ОБЛ СВЕРДЛОВСКАЯ</v>
      </c>
      <c r="Q726" t="str">
        <f>""</f>
        <v/>
      </c>
      <c r="R726" t="str">
        <f>"Г ЕКАТЕРИНБУРГ"</f>
        <v>Г ЕКАТЕРИНБУРГ</v>
      </c>
      <c r="S726" t="str">
        <f>""</f>
        <v/>
      </c>
      <c r="T726" t="str">
        <f>"УЛ МУСОРГСКОГО/ПЕР. ДИЗЕЛЬНЫЙ"</f>
        <v>УЛ МУСОРГСКОГО/ПЕР. ДИЗЕЛЬНЫЙ</v>
      </c>
      <c r="U726" s="1" t="str">
        <f>"41/77"</f>
        <v>41/77</v>
      </c>
      <c r="V726" s="1" t="str">
        <f>""</f>
        <v/>
      </c>
      <c r="W726" s="1" t="str">
        <f>""</f>
        <v/>
      </c>
      <c r="X726" s="1" t="str">
        <f>""</f>
        <v/>
      </c>
      <c r="Y726" s="1" t="str">
        <f>""</f>
        <v/>
      </c>
      <c r="Z726" t="str">
        <f>"9193664856"</f>
        <v>9193664856</v>
      </c>
      <c r="AA726" t="str">
        <f>"9126633457"</f>
        <v>9126633457</v>
      </c>
      <c r="AB726" t="str">
        <f>"9193664856"</f>
        <v>9193664856</v>
      </c>
      <c r="AC726" t="str">
        <f>"9126633457"</f>
        <v>9126633457</v>
      </c>
      <c r="AD726" t="str">
        <f>"9193664856"</f>
        <v>9193664856</v>
      </c>
      <c r="AE726" t="str">
        <f>"9193664856"</f>
        <v>9193664856</v>
      </c>
    </row>
    <row r="727" spans="1:31" x14ac:dyDescent="0.45">
      <c r="A727" t="str">
        <f>"ПЕРШИНА АЛЬБИНА ЮМАХУЖЕВНА"</f>
        <v>ПЕРШИНА АЛЬБИНА ЮМАХУЖЕВНА</v>
      </c>
      <c r="B727" t="str">
        <f>"1978-04-14"</f>
        <v>1978-04-14</v>
      </c>
      <c r="C727" t="str">
        <f>"75 09 513520"</f>
        <v>75 09 513520</v>
      </c>
      <c r="D727" t="str">
        <f>"4279011616441120"</f>
        <v>4279011616441120</v>
      </c>
      <c r="E727" t="str">
        <f t="shared" si="119"/>
        <v>2021-05-31</v>
      </c>
      <c r="F727" t="str">
        <f>"+"</f>
        <v>+</v>
      </c>
      <c r="G727" t="str">
        <f t="shared" si="118"/>
        <v>+</v>
      </c>
      <c r="H727" t="str">
        <f>"40817810916991427914"</f>
        <v>40817810916991427914</v>
      </c>
      <c r="I727" t="str">
        <f>"8597"</f>
        <v>8597</v>
      </c>
      <c r="J727" t="str">
        <f>"0268"</f>
        <v>0268</v>
      </c>
      <c r="K727" t="str">
        <f>"190000.00"</f>
        <v>190000.00</v>
      </c>
      <c r="L727" t="str">
        <f>"477000 ОБЛ МОСКОВСКАЯ   Г МОСКВА   ПРОЕЗД МУРМАНСКИЙ д. 1А стр. 1"</f>
        <v>477000 ОБЛ МОСКОВСКАЯ   Г МОСКВА   ПРОЕЗД МУРМАНСКИЙ д. 1А стр. 1</v>
      </c>
      <c r="M727" t="str">
        <f t="shared" si="115"/>
        <v>2019-08-24</v>
      </c>
      <c r="N727" t="str">
        <f>"ООО УК РБИ КЛИНИНГ"</f>
        <v>ООО УК РБИ КЛИНИНГ</v>
      </c>
      <c r="O727" t="str">
        <f>"454000"</f>
        <v>454000</v>
      </c>
      <c r="P727" t="str">
        <f>"ОБЛ ЧЕЛЯБИНСКАЯ"</f>
        <v>ОБЛ ЧЕЛЯБИНСКАЯ</v>
      </c>
      <c r="Q727" t="str">
        <f>""</f>
        <v/>
      </c>
      <c r="R727" t="str">
        <f>"Г ЧЕЛЯБИНСК"</f>
        <v>Г ЧЕЛЯБИНСК</v>
      </c>
      <c r="S727" t="str">
        <f>""</f>
        <v/>
      </c>
      <c r="T727" t="str">
        <f>"УЛ САЛАВАТА ЮЛАЕВА"</f>
        <v>УЛ САЛАВАТА ЮЛАЕВА</v>
      </c>
      <c r="U727" s="1" t="str">
        <f>"13А"</f>
        <v>13А</v>
      </c>
      <c r="V727" s="1" t="str">
        <f>""</f>
        <v/>
      </c>
      <c r="W727" s="1" t="str">
        <f>""</f>
        <v/>
      </c>
      <c r="X727" s="1" t="str">
        <f>""</f>
        <v/>
      </c>
      <c r="Y727" s="1" t="str">
        <f>"60"</f>
        <v>60</v>
      </c>
      <c r="Z727" t="str">
        <f>""</f>
        <v/>
      </c>
      <c r="AA727" t="str">
        <f>"3517422496"</f>
        <v>3517422496</v>
      </c>
      <c r="AB727" t="str">
        <f>"9514731127"</f>
        <v>9514731127</v>
      </c>
      <c r="AC727" t="str">
        <f>"9323068861"</f>
        <v>9323068861</v>
      </c>
      <c r="AD727" t="str">
        <f>"9514731127"</f>
        <v>9514731127</v>
      </c>
      <c r="AE727" t="str">
        <f>""</f>
        <v/>
      </c>
    </row>
    <row r="728" spans="1:31" x14ac:dyDescent="0.45">
      <c r="A728" t="str">
        <f>"БОГДАНОВА ТАТЬЯНА ВАЛЕНТИНОВНА"</f>
        <v>БОГДАНОВА ТАТЬЯНА ВАЛЕНТИНОВНА</v>
      </c>
      <c r="B728" t="str">
        <f>"1965-12-08"</f>
        <v>1965-12-08</v>
      </c>
      <c r="C728" t="str">
        <f>"80 10 201639"</f>
        <v>80 10 201639</v>
      </c>
      <c r="D728" t="str">
        <f>"4279011654176398"</f>
        <v>4279011654176398</v>
      </c>
      <c r="E728" t="str">
        <f t="shared" si="119"/>
        <v>2021-05-31</v>
      </c>
      <c r="F728" t="str">
        <f>"+"</f>
        <v>+</v>
      </c>
      <c r="G728" t="str">
        <f t="shared" si="118"/>
        <v>+</v>
      </c>
      <c r="H728" t="str">
        <f>"40817810516991427916"</f>
        <v>40817810516991427916</v>
      </c>
      <c r="I728" t="str">
        <f>"8598"</f>
        <v>8598</v>
      </c>
      <c r="J728" t="str">
        <f>"0558"</f>
        <v>0558</v>
      </c>
      <c r="K728" t="str">
        <f>"20000.00"</f>
        <v>20000.00</v>
      </c>
      <c r="L728" t="str">
        <f>"450000 РЕСП БАШКОРТОСТАН Р-Н АСКИНСКИ   С АСКИНО УЛ СОВЕТСКАЯ д. 10/1"</f>
        <v>450000 РЕСП БАШКОРТОСТАН Р-Н АСКИНСКИ   С АСКИНО УЛ СОВЕТСКАЯ д. 10/1</v>
      </c>
      <c r="M728" t="str">
        <f t="shared" si="115"/>
        <v>2019-08-24</v>
      </c>
      <c r="N728" t="s">
        <v>55</v>
      </c>
      <c r="O728" t="str">
        <f>"450000"</f>
        <v>450000</v>
      </c>
      <c r="P728" t="str">
        <f>"РЕСП БАШКОРТОСТАН"</f>
        <v>РЕСП БАШКОРТОСТАН</v>
      </c>
      <c r="Q728" t="str">
        <f>"Р-Н АСКИНСКИЙ"</f>
        <v>Р-Н АСКИНСКИЙ</v>
      </c>
      <c r="R728" t="str">
        <f>""</f>
        <v/>
      </c>
      <c r="S728" t="str">
        <f>"С АСКИНО"</f>
        <v>С АСКИНО</v>
      </c>
      <c r="T728" t="str">
        <f>"УЛ ПОЛЕВАЯ"</f>
        <v>УЛ ПОЛЕВАЯ</v>
      </c>
      <c r="U728" s="1" t="str">
        <f>"11"</f>
        <v>11</v>
      </c>
      <c r="V728" s="1" t="str">
        <f>""</f>
        <v/>
      </c>
      <c r="W728" s="1" t="str">
        <f>""</f>
        <v/>
      </c>
      <c r="X728" s="1" t="str">
        <f>""</f>
        <v/>
      </c>
      <c r="Y728" s="1" t="str">
        <f>"2"</f>
        <v>2</v>
      </c>
      <c r="Z728" t="str">
        <f>""</f>
        <v/>
      </c>
      <c r="AA728" t="str">
        <f>"9373510635"</f>
        <v>9373510635</v>
      </c>
      <c r="AB728" t="str">
        <f>"9373510635"</f>
        <v>9373510635</v>
      </c>
      <c r="AC728" t="str">
        <f>"3477121208"</f>
        <v>3477121208</v>
      </c>
      <c r="AD728" t="str">
        <f>"9373510635"</f>
        <v>9373510635</v>
      </c>
      <c r="AE728" t="str">
        <f>""</f>
        <v/>
      </c>
    </row>
    <row r="729" spans="1:31" x14ac:dyDescent="0.45">
      <c r="A729" t="str">
        <f>"ЗАЙНАГАБДИНОВА ИЛЮЗА ИСМАГИЛОВНА"</f>
        <v>ЗАЙНАГАБДИНОВА ИЛЮЗА ИСМАГИЛОВНА</v>
      </c>
      <c r="B729" t="str">
        <f>"1995-07-11"</f>
        <v>1995-07-11</v>
      </c>
      <c r="C729" t="str">
        <f>"80 15 145745"</f>
        <v>80 15 145745</v>
      </c>
      <c r="D729" t="str">
        <f>"4276011697716088"</f>
        <v>4276011697716088</v>
      </c>
      <c r="E729" t="str">
        <f t="shared" si="119"/>
        <v>2021-05-31</v>
      </c>
      <c r="F729" t="str">
        <f>"+"</f>
        <v>+</v>
      </c>
      <c r="G729" t="str">
        <f t="shared" si="118"/>
        <v>+</v>
      </c>
      <c r="H729" t="str">
        <f>"40817810816991427917"</f>
        <v>40817810816991427917</v>
      </c>
      <c r="I729" t="str">
        <f>"8598"</f>
        <v>8598</v>
      </c>
      <c r="J729" t="str">
        <f>"0788"</f>
        <v>0788</v>
      </c>
      <c r="K729" t="str">
        <f>"200000.00"</f>
        <v>200000.00</v>
      </c>
      <c r="L729" t="str">
        <f>"453100 РЕСП БАШКОРТОСТАН   Г МЕЛЕУЗ   УЛ ЛЕНИНА д. 35"</f>
        <v>453100 РЕСП БАШКОРТОСТАН   Г МЕЛЕУЗ   УЛ ЛЕНИНА д. 35</v>
      </c>
      <c r="M729" t="str">
        <f t="shared" si="115"/>
        <v>2019-08-24</v>
      </c>
      <c r="N729" t="str">
        <f>"'ЦЕНТР ИСКУССТВА И КРАСОТЫ'"</f>
        <v>'ЦЕНТР ИСКУССТВА И КРАСОТЫ'</v>
      </c>
      <c r="O729" t="str">
        <f>"453100"</f>
        <v>453100</v>
      </c>
      <c r="P729" t="str">
        <f>"РЕСП БАШКОРТОСТАН"</f>
        <v>РЕСП БАШКОРТОСТАН</v>
      </c>
      <c r="Q729" t="str">
        <f>""</f>
        <v/>
      </c>
      <c r="R729" t="str">
        <f>"Г МЕЛЕУЗ"</f>
        <v>Г МЕЛЕУЗ</v>
      </c>
      <c r="S729" t="str">
        <f>""</f>
        <v/>
      </c>
      <c r="T729" t="str">
        <f>"УЛ СМОЛЕНСКАЯ"</f>
        <v>УЛ СМОЛЕНСКАЯ</v>
      </c>
      <c r="U729" s="1" t="str">
        <f>"31"</f>
        <v>31</v>
      </c>
      <c r="V729" s="1" t="str">
        <f>""</f>
        <v/>
      </c>
      <c r="W729" s="1" t="str">
        <f>""</f>
        <v/>
      </c>
      <c r="X729" s="1" t="str">
        <f>""</f>
        <v/>
      </c>
      <c r="Y729" s="1" t="str">
        <f>"25"</f>
        <v>25</v>
      </c>
      <c r="Z729" t="str">
        <f>""</f>
        <v/>
      </c>
      <c r="AA729" t="str">
        <f>""</f>
        <v/>
      </c>
      <c r="AB729" t="str">
        <f>"9174494102"</f>
        <v>9174494102</v>
      </c>
      <c r="AC729" t="str">
        <f>""</f>
        <v/>
      </c>
      <c r="AD729" t="str">
        <f>"9174494102"</f>
        <v>9174494102</v>
      </c>
      <c r="AE729" t="str">
        <f>""</f>
        <v/>
      </c>
    </row>
    <row r="730" spans="1:31" x14ac:dyDescent="0.45">
      <c r="A730" t="str">
        <f>"БИРЮКОВ ДМИТРИЙ ВИКТОРОВИЧ"</f>
        <v>БИРЮКОВ ДМИТРИЙ ВИКТОРОВИЧ</v>
      </c>
      <c r="B730" t="str">
        <f>"1978-10-28"</f>
        <v>1978-10-28</v>
      </c>
      <c r="C730" t="str">
        <f>"80 04 653273"</f>
        <v>80 04 653273</v>
      </c>
      <c r="D730" t="str">
        <f>"4279011685923552"</f>
        <v>4279011685923552</v>
      </c>
      <c r="E730" t="str">
        <f t="shared" si="119"/>
        <v>2021-05-31</v>
      </c>
      <c r="F730" t="str">
        <f>"Q"</f>
        <v>Q</v>
      </c>
      <c r="G730" t="str">
        <f>"Q"</f>
        <v>Q</v>
      </c>
      <c r="H730" t="str">
        <f>"40817810416991427919"</f>
        <v>40817810416991427919</v>
      </c>
      <c r="I730" t="str">
        <f>"8598"</f>
        <v>8598</v>
      </c>
      <c r="J730" t="str">
        <f>"0190"</f>
        <v>0190</v>
      </c>
      <c r="K730" t="str">
        <f>"0.00"</f>
        <v>0.00</v>
      </c>
      <c r="L730" t="str">
        <f>"450000 РЕСП БАШКОРТОСТАН Р-Н ИГЛИНСКИЙ   П УЛУ ТЕЛЯК УЛ НЕФТЯНИКОВ д. 16"</f>
        <v>450000 РЕСП БАШКОРТОСТАН Р-Н ИГЛИНСКИЙ   П УЛУ ТЕЛЯК УЛ НЕФТЯНИКОВ д. 16</v>
      </c>
      <c r="M730" t="str">
        <f t="shared" si="115"/>
        <v>2019-08-24</v>
      </c>
      <c r="N730" t="str">
        <f>"АО ТРАНСНЕФТЬ-УРАЛ"</f>
        <v>АО ТРАНСНЕФТЬ-УРАЛ</v>
      </c>
      <c r="O730" t="str">
        <f>"450000"</f>
        <v>450000</v>
      </c>
      <c r="P730" t="str">
        <f>"РЕСП БАШКОРТОСТАН"</f>
        <v>РЕСП БАШКОРТОСТАН</v>
      </c>
      <c r="Q730" t="str">
        <f>"Р-Н ИГЛИНСКИЙ"</f>
        <v>Р-Н ИГЛИНСКИЙ</v>
      </c>
      <c r="R730" t="str">
        <f>""</f>
        <v/>
      </c>
      <c r="S730" t="str">
        <f>"П УЛУ-ТЕЛЯК"</f>
        <v>П УЛУ-ТЕЛЯК</v>
      </c>
      <c r="T730" t="str">
        <f>"УЛ НЕФТЯНИКОВ"</f>
        <v>УЛ НЕФТЯНИКОВ</v>
      </c>
      <c r="U730" s="1" t="str">
        <f>"16"</f>
        <v>16</v>
      </c>
      <c r="V730" s="1" t="str">
        <f>""</f>
        <v/>
      </c>
      <c r="W730" s="1" t="str">
        <f>""</f>
        <v/>
      </c>
      <c r="X730" s="1" t="str">
        <f>""</f>
        <v/>
      </c>
      <c r="Y730" s="1" t="str">
        <f>""</f>
        <v/>
      </c>
      <c r="Z730" t="str">
        <f>"3472792756"</f>
        <v>3472792756</v>
      </c>
      <c r="AA730" t="str">
        <f>"9173433330"</f>
        <v>9173433330</v>
      </c>
      <c r="AB730" t="str">
        <f>"9656446865"</f>
        <v>9656446865</v>
      </c>
      <c r="AC730" t="str">
        <f>"9173433330"</f>
        <v>9173433330</v>
      </c>
      <c r="AD730" t="str">
        <f>"9656446865"</f>
        <v>9656446865</v>
      </c>
      <c r="AE730" t="str">
        <f>"3472792756"</f>
        <v>3472792756</v>
      </c>
    </row>
    <row r="731" spans="1:31" x14ac:dyDescent="0.45">
      <c r="A731" t="str">
        <f>"СЕЛИВАНОВА НАТАЛЬЯ КОНСТАНТИНОВНА"</f>
        <v>СЕЛИВАНОВА НАТАЛЬЯ КОНСТАНТИНОВНА</v>
      </c>
      <c r="B731" t="str">
        <f>"1993-11-26"</f>
        <v>1993-11-26</v>
      </c>
      <c r="C731" t="str">
        <f>"65 13 758508"</f>
        <v>65 13 758508</v>
      </c>
      <c r="D731" t="str">
        <f>"5469016703669498"</f>
        <v>5469016703669498</v>
      </c>
      <c r="E731" t="str">
        <f t="shared" si="119"/>
        <v>2021-05-31</v>
      </c>
      <c r="F731" t="str">
        <f>"+"</f>
        <v>+</v>
      </c>
      <c r="G731" t="str">
        <f>"W"</f>
        <v>W</v>
      </c>
      <c r="H731" t="str">
        <f>"40817810116992200422"</f>
        <v>40817810116992200422</v>
      </c>
      <c r="I731" t="str">
        <f>"1791"</f>
        <v>1791</v>
      </c>
      <c r="J731" t="str">
        <f>"0112"</f>
        <v>0112</v>
      </c>
      <c r="K731" t="str">
        <f>"50000.00"</f>
        <v>50000.00</v>
      </c>
      <c r="L731" t="str">
        <f>"628240 АО ХАНТЫ-МАНСИЙСКИЙ   Г СОВЕТСКИЙ   УЛ ГАСТЕЛЛО д. 19"</f>
        <v>628240 АО ХАНТЫ-МАНСИЙСКИЙ   Г СОВЕТСКИЙ   УЛ ГАСТЕЛЛО д. 19</v>
      </c>
      <c r="M731" t="str">
        <f t="shared" si="115"/>
        <v>2019-08-24</v>
      </c>
      <c r="N731" t="str">
        <f>"ЗАО ТАНДЕР"</f>
        <v>ЗАО ТАНДЕР</v>
      </c>
      <c r="O731" t="str">
        <f>"628240"</f>
        <v>628240</v>
      </c>
      <c r="P731" t="str">
        <f>"ОБЛ ТЮМЕНСКАЯ"</f>
        <v>ОБЛ ТЮМЕНСКАЯ</v>
      </c>
      <c r="Q731" t="str">
        <f>"АО ХМАО"</f>
        <v>АО ХМАО</v>
      </c>
      <c r="R731" t="str">
        <f>"Г СОВЕТСКИЙ"</f>
        <v>Г СОВЕТСКИЙ</v>
      </c>
      <c r="S731" t="str">
        <f>""</f>
        <v/>
      </c>
      <c r="T731" t="str">
        <f>"УЛ ЛЕНИНА"</f>
        <v>УЛ ЛЕНИНА</v>
      </c>
      <c r="U731" s="1" t="str">
        <f>"20"</f>
        <v>20</v>
      </c>
      <c r="V731" s="1" t="str">
        <f>""</f>
        <v/>
      </c>
      <c r="W731" s="1" t="str">
        <f>""</f>
        <v/>
      </c>
      <c r="X731" s="1" t="str">
        <f>""</f>
        <v/>
      </c>
      <c r="Y731" s="1" t="str">
        <f>"7"</f>
        <v>7</v>
      </c>
      <c r="Z731" t="str">
        <f>""</f>
        <v/>
      </c>
      <c r="AA731" t="str">
        <f>"9122605850"</f>
        <v>9122605850</v>
      </c>
      <c r="AB731" t="str">
        <f>"9088905987"</f>
        <v>9088905987</v>
      </c>
      <c r="AC731" t="str">
        <f>""</f>
        <v/>
      </c>
      <c r="AD731" t="str">
        <f>"9088905987"</f>
        <v>9088905987</v>
      </c>
      <c r="AE731" t="str">
        <f>""</f>
        <v/>
      </c>
    </row>
    <row r="732" spans="1:31" x14ac:dyDescent="0.45">
      <c r="A732" t="str">
        <f>"ДАКУМБЕКОВ ЖАКСЫЛЫК АБИКЕЕВИЧ"</f>
        <v>ДАКУМБЕКОВ ЖАКСЫЛЫК АБИКЕЕВИЧ</v>
      </c>
      <c r="B732" t="str">
        <f>"1968-05-02"</f>
        <v>1968-05-02</v>
      </c>
      <c r="C732" t="str">
        <f>"75 12 233512"</f>
        <v>75 12 233512</v>
      </c>
      <c r="D732" t="str">
        <f>"4854630429626362"</f>
        <v>4854630429626362</v>
      </c>
      <c r="E732" t="str">
        <f>"2020-09-30"</f>
        <v>2020-09-30</v>
      </c>
      <c r="F732" t="str">
        <f>"+"</f>
        <v>+</v>
      </c>
      <c r="G732" t="str">
        <f>"+"</f>
        <v>+</v>
      </c>
      <c r="H732" t="str">
        <f>"40817810116991464104"</f>
        <v>40817810116991464104</v>
      </c>
      <c r="I732" t="str">
        <f>"8597"</f>
        <v>8597</v>
      </c>
      <c r="J732" t="str">
        <f>"0447"</f>
        <v>0447</v>
      </c>
      <c r="K732" t="str">
        <f>"25000.00"</f>
        <v>25000.00</v>
      </c>
      <c r="L732" t="str">
        <f>"454000 ОБЛ ЧЕЛЯБИНСКАЯ Р-Н ТРОИЦКИЙ   П ПЛОДОВЫЙ УЛ НЕТ"</f>
        <v>454000 ОБЛ ЧЕЛЯБИНСКАЯ Р-Н ТРОИЦКИЙ   П ПЛОДОВЫЙ УЛ НЕТ</v>
      </c>
      <c r="M732" t="str">
        <f t="shared" si="115"/>
        <v>2019-08-24</v>
      </c>
      <c r="N732" t="str">
        <f>"ПЕНСИОНЕР"</f>
        <v>ПЕНСИОНЕР</v>
      </c>
      <c r="O732" t="str">
        <f>"454000"</f>
        <v>454000</v>
      </c>
      <c r="P732" t="str">
        <f>"ОБЛ ЧЕЛЯБИНСКАЯ"</f>
        <v>ОБЛ ЧЕЛЯБИНСКАЯ</v>
      </c>
      <c r="Q732" t="str">
        <f>"Р-Н ТРОИЦКИЙ"</f>
        <v>Р-Н ТРОИЦКИЙ</v>
      </c>
      <c r="R732" t="str">
        <f>""</f>
        <v/>
      </c>
      <c r="S732" t="str">
        <f>"П ПЛОДОВЫЙ"</f>
        <v>П ПЛОДОВЫЙ</v>
      </c>
      <c r="T732" t="str">
        <f>"УЛ САДОВАЯ"</f>
        <v>УЛ САДОВАЯ</v>
      </c>
      <c r="U732" s="1" t="str">
        <f>"9"</f>
        <v>9</v>
      </c>
      <c r="V732" s="1" t="str">
        <f>""</f>
        <v/>
      </c>
      <c r="W732" s="1" t="str">
        <f>""</f>
        <v/>
      </c>
      <c r="X732" s="1" t="str">
        <f>""</f>
        <v/>
      </c>
      <c r="Y732" s="1" t="str">
        <f>"3"</f>
        <v>3</v>
      </c>
      <c r="Z732" t="str">
        <f>"3516320652"</f>
        <v>3516320652</v>
      </c>
      <c r="AA732" t="str">
        <f>"9525151998"</f>
        <v>9525151998</v>
      </c>
      <c r="AB732" t="str">
        <f>"9525151998"</f>
        <v>9525151998</v>
      </c>
      <c r="AC732" t="str">
        <f>"9525151998"</f>
        <v>9525151998</v>
      </c>
      <c r="AD732" t="str">
        <f>"9525151998"</f>
        <v>9525151998</v>
      </c>
      <c r="AE732" t="str">
        <f>""</f>
        <v/>
      </c>
    </row>
    <row r="733" spans="1:31" x14ac:dyDescent="0.45">
      <c r="A733" t="str">
        <f>"ШИХАЛЕЕВ ЕВГЕНИЙ АРКАДЬЕВИЧ"</f>
        <v>ШИХАЛЕЕВ ЕВГЕНИЙ АРКАДЬЕВИЧ</v>
      </c>
      <c r="B733" t="str">
        <f>"1987-09-23"</f>
        <v>1987-09-23</v>
      </c>
      <c r="C733" t="str">
        <f>"37 07 232982"</f>
        <v>37 07 232982</v>
      </c>
      <c r="D733" t="str">
        <f>"4854630411479945"</f>
        <v>4854630411479945</v>
      </c>
      <c r="E733" t="str">
        <f>"2021-04-30"</f>
        <v>2021-04-30</v>
      </c>
      <c r="F733" t="str">
        <f>"Q"</f>
        <v>Q</v>
      </c>
      <c r="G733" t="str">
        <f>"Q"</f>
        <v>Q</v>
      </c>
      <c r="H733" t="str">
        <f>"40817810416991464105"</f>
        <v>40817810416991464105</v>
      </c>
      <c r="I733" t="str">
        <f>"8599"</f>
        <v>8599</v>
      </c>
      <c r="J733" t="str">
        <f>"0036"</f>
        <v>0036</v>
      </c>
      <c r="K733" t="str">
        <f>"0.00"</f>
        <v>0.00</v>
      </c>
      <c r="L733" t="str">
        <f>"641000 ОБЛ КУРГАНСКАЯ   Г КУРГАН   УЛ СТАНЦИОННАЯ д. 1"</f>
        <v>641000 ОБЛ КУРГАНСКАЯ   Г КУРГАН   УЛ СТАНЦИОННАЯ д. 1</v>
      </c>
      <c r="M733" t="str">
        <f t="shared" si="115"/>
        <v>2019-08-24</v>
      </c>
      <c r="N733" t="str">
        <f>"РЖД"</f>
        <v>РЖД</v>
      </c>
      <c r="O733" t="str">
        <f>"641000"</f>
        <v>641000</v>
      </c>
      <c r="P733" t="str">
        <f>"ОБЛ КУРГАНСКАЯ"</f>
        <v>ОБЛ КУРГАНСКАЯ</v>
      </c>
      <c r="Q733" t="str">
        <f>""</f>
        <v/>
      </c>
      <c r="R733" t="str">
        <f>"Г КУРГАН"</f>
        <v>Г КУРГАН</v>
      </c>
      <c r="S733" t="str">
        <f>""</f>
        <v/>
      </c>
      <c r="T733" t="str">
        <f>"УЛ КУЙБЫШЕВА"</f>
        <v>УЛ КУЙБЫШЕВА</v>
      </c>
      <c r="U733" s="1" t="str">
        <f>"187"</f>
        <v>187</v>
      </c>
      <c r="V733" s="1" t="str">
        <f>""</f>
        <v/>
      </c>
      <c r="W733" s="1" t="str">
        <f>""</f>
        <v/>
      </c>
      <c r="X733" s="1" t="str">
        <f>""</f>
        <v/>
      </c>
      <c r="Y733" s="1" t="str">
        <f>"79"</f>
        <v>79</v>
      </c>
      <c r="Z733" t="str">
        <f>"9650052105"</f>
        <v>9650052105</v>
      </c>
      <c r="AA733" t="str">
        <f>"9080025502"</f>
        <v>9080025502</v>
      </c>
      <c r="AB733" t="str">
        <f>"9080025502"</f>
        <v>9080025502</v>
      </c>
      <c r="AC733" t="str">
        <f>"9080025502"</f>
        <v>9080025502</v>
      </c>
      <c r="AD733" t="str">
        <f>"9080025502"</f>
        <v>9080025502</v>
      </c>
      <c r="AE733" t="str">
        <f>"9650052105"</f>
        <v>9650052105</v>
      </c>
    </row>
    <row r="734" spans="1:31" x14ac:dyDescent="0.45">
      <c r="A734" t="str">
        <f>"ЛЕБЕДЕВА ТАТЬЯНА ВЯЧЕСЛАВОВНА"</f>
        <v>ЛЕБЕДЕВА ТАТЬЯНА ВЯЧЕСЛАВОВНА</v>
      </c>
      <c r="B734" t="str">
        <f>"1961-11-08"</f>
        <v>1961-11-08</v>
      </c>
      <c r="C734" t="str">
        <f>"75 05 904566"</f>
        <v>75 05 904566</v>
      </c>
      <c r="D734" t="str">
        <f>"4854630385172948"</f>
        <v>4854630385172948</v>
      </c>
      <c r="E734" t="str">
        <f>"2021-04-30"</f>
        <v>2021-04-30</v>
      </c>
      <c r="F734" t="str">
        <f>"+"</f>
        <v>+</v>
      </c>
      <c r="G734" t="str">
        <f>"+"</f>
        <v>+</v>
      </c>
      <c r="H734" t="str">
        <f>"40817810716991464106"</f>
        <v>40817810716991464106</v>
      </c>
      <c r="I734" t="str">
        <f>"8597"</f>
        <v>8597</v>
      </c>
      <c r="J734" t="str">
        <f>"0375"</f>
        <v>0375</v>
      </c>
      <c r="K734" t="str">
        <f>"53000.00"</f>
        <v>53000.00</v>
      </c>
      <c r="L734" t="str">
        <f>"454000 ОБЛ ЧЕЛЯБИНСКАЯ   Г МАГНИТОГОРСК   ПР-КТ КАРЛА МАРКСА д. 94"</f>
        <v>454000 ОБЛ ЧЕЛЯБИНСКАЯ   Г МАГНИТОГОРСК   ПР-КТ КАРЛА МАРКСА д. 94</v>
      </c>
      <c r="M734" t="str">
        <f t="shared" si="115"/>
        <v>2019-08-24</v>
      </c>
      <c r="N734" t="str">
        <f>"НОТАРИАЛЬНАЯ КОМПАНИЯ"</f>
        <v>НОТАРИАЛЬНАЯ КОМПАНИЯ</v>
      </c>
      <c r="O734" t="str">
        <f>"454000"</f>
        <v>454000</v>
      </c>
      <c r="P734" t="str">
        <f>"ОБЛ ЧЕЛЯБИНСКАЯ"</f>
        <v>ОБЛ ЧЕЛЯБИНСКАЯ</v>
      </c>
      <c r="Q734" t="str">
        <f>""</f>
        <v/>
      </c>
      <c r="R734" t="str">
        <f>"Г МАГНИТОГОРСК"</f>
        <v>Г МАГНИТОГОРСК</v>
      </c>
      <c r="S734" t="str">
        <f>""</f>
        <v/>
      </c>
      <c r="T734" t="str">
        <f>"УЛ РЫСАКОВА"</f>
        <v>УЛ РЫСАКОВА</v>
      </c>
      <c r="U734" s="1" t="str">
        <f>"45"</f>
        <v>45</v>
      </c>
      <c r="V734" s="1" t="str">
        <f>""</f>
        <v/>
      </c>
      <c r="W734" s="1" t="str">
        <f>""</f>
        <v/>
      </c>
      <c r="X734" s="1" t="str">
        <f>""</f>
        <v/>
      </c>
      <c r="Y734" s="1" t="str">
        <f>""</f>
        <v/>
      </c>
      <c r="Z734" t="str">
        <f>""</f>
        <v/>
      </c>
      <c r="AA734" t="str">
        <f>"9068539290"</f>
        <v>9068539290</v>
      </c>
      <c r="AB734" t="str">
        <f>"9048100453"</f>
        <v>9048100453</v>
      </c>
      <c r="AC734" t="str">
        <f>"9068539290"</f>
        <v>9068539290</v>
      </c>
      <c r="AD734" t="str">
        <f>"9048100453"</f>
        <v>9048100453</v>
      </c>
      <c r="AE734" t="str">
        <f>""</f>
        <v/>
      </c>
    </row>
    <row r="735" spans="1:31" x14ac:dyDescent="0.45">
      <c r="A735" t="str">
        <f>"ЗУБКОВА ГАЛИНА ВИКТОРОВНА"</f>
        <v>ЗУБКОВА ГАЛИНА ВИКТОРОВНА</v>
      </c>
      <c r="B735" t="str">
        <f>"1958-11-24"</f>
        <v>1958-11-24</v>
      </c>
      <c r="C735" t="str">
        <f>"71 08 604100"</f>
        <v>71 08 604100</v>
      </c>
      <c r="D735" t="str">
        <f>"5313100751400895"</f>
        <v>5313100751400895</v>
      </c>
      <c r="E735" t="str">
        <f>"2021-03-31"</f>
        <v>2021-03-31</v>
      </c>
      <c r="F735" t="str">
        <f>"+"</f>
        <v>+</v>
      </c>
      <c r="G735" t="str">
        <f>"+"</f>
        <v>+</v>
      </c>
      <c r="H735" t="str">
        <f>"40817810816992066212"</f>
        <v>40817810816992066212</v>
      </c>
      <c r="I735" t="str">
        <f>"8647"</f>
        <v>8647</v>
      </c>
      <c r="J735" t="str">
        <f>"0158"</f>
        <v>0158</v>
      </c>
      <c r="K735" t="str">
        <f>"50000.00"</f>
        <v>50000.00</v>
      </c>
      <c r="L735" t="str">
        <f>"625530 ОБЛ ТЮМЕНСКАЯ Р-Н ТЮМЕНСКИЙ   П ВИНЗИЛИ УЛ КОМСОМОЛЬСКАЯ д. 1"</f>
        <v>625530 ОБЛ ТЮМЕНСКАЯ Р-Н ТЮМЕНСКИЙ   П ВИНЗИЛИ УЛ КОМСОМОЛЬСКАЯ д. 1</v>
      </c>
      <c r="M735" t="str">
        <f t="shared" si="115"/>
        <v>2019-08-24</v>
      </c>
      <c r="N735" t="str">
        <f>"МАОУ ВИНЗИЛИНСКАЯ СОШ ИМ. КОВАЛЬЧУКА"</f>
        <v>МАОУ ВИНЗИЛИНСКАЯ СОШ ИМ. КОВАЛЬЧУКА</v>
      </c>
      <c r="O735" t="str">
        <f>"625530"</f>
        <v>625530</v>
      </c>
      <c r="P735" t="str">
        <f>"ОБЛ ТЮМЕНСКАЯ"</f>
        <v>ОБЛ ТЮМЕНСКАЯ</v>
      </c>
      <c r="Q735" t="str">
        <f>"Р-Н ТЮМЕНСКИЙ"</f>
        <v>Р-Н ТЮМЕНСКИЙ</v>
      </c>
      <c r="R735" t="str">
        <f>""</f>
        <v/>
      </c>
      <c r="S735" t="str">
        <f>"П ВИНЗИЛИ"</f>
        <v>П ВИНЗИЛИ</v>
      </c>
      <c r="T735" t="str">
        <f>"УЛ 60 ЛЕТ ОКТЯБРЯ"</f>
        <v>УЛ 60 ЛЕТ ОКТЯБРЯ</v>
      </c>
      <c r="U735" s="1" t="str">
        <f>"11А"</f>
        <v>11А</v>
      </c>
      <c r="V735" s="1" t="str">
        <f>""</f>
        <v/>
      </c>
      <c r="W735" s="1" t="str">
        <f>""</f>
        <v/>
      </c>
      <c r="X735" s="1" t="str">
        <f>""</f>
        <v/>
      </c>
      <c r="Y735" s="1" t="str">
        <f>"22"</f>
        <v>22</v>
      </c>
      <c r="Z735" t="str">
        <f>"3452727018"</f>
        <v>3452727018</v>
      </c>
      <c r="AA735" t="str">
        <f>"9220779976"</f>
        <v>9220779976</v>
      </c>
      <c r="AB735" t="str">
        <f>"9504980962"</f>
        <v>9504980962</v>
      </c>
      <c r="AC735" t="str">
        <f>"9220779976"</f>
        <v>9220779976</v>
      </c>
      <c r="AD735" t="str">
        <f>"9504980962"</f>
        <v>9504980962</v>
      </c>
      <c r="AE735" t="str">
        <f>"3452727018"</f>
        <v>3452727018</v>
      </c>
    </row>
    <row r="736" spans="1:31" x14ac:dyDescent="0.45">
      <c r="A736" t="str">
        <f>"СИДОРОВА ГАЛИНА АЛЕКСЕЕВНА"</f>
        <v>СИДОРОВА ГАЛИНА АЛЕКСЕЕВНА</v>
      </c>
      <c r="B736" t="str">
        <f>"1955-09-12"</f>
        <v>1955-09-12</v>
      </c>
      <c r="C736" t="str">
        <f>"65 00 767709"</f>
        <v>65 00 767709</v>
      </c>
      <c r="D736" t="str">
        <f>"5313100313639311"</f>
        <v>5313100313639311</v>
      </c>
      <c r="E736" t="str">
        <f>"2020-11-30"</f>
        <v>2020-11-30</v>
      </c>
      <c r="F736" t="str">
        <f>"Q"</f>
        <v>Q</v>
      </c>
      <c r="G736" t="str">
        <f>"Q"</f>
        <v>Q</v>
      </c>
      <c r="H736" t="str">
        <f>"40817810916991427820"</f>
        <v>40817810916991427820</v>
      </c>
      <c r="I736" t="str">
        <f>"7003"</f>
        <v>7003</v>
      </c>
      <c r="J736" t="str">
        <f>"0616"</f>
        <v>0616</v>
      </c>
      <c r="K736" t="str">
        <f t="shared" ref="K736:K737" si="120">"0.00"</f>
        <v>0.00</v>
      </c>
      <c r="L736" t="str">
        <f>"623650 ОБЛ СВЕРДЛОВСКАЯ     РП ТУГУЛЫМ УЛ ЛЕНИНА д. 65"</f>
        <v>623650 ОБЛ СВЕРДЛОВСКАЯ     РП ТУГУЛЫМ УЛ ЛЕНИНА д. 65</v>
      </c>
      <c r="M736" t="str">
        <f t="shared" si="115"/>
        <v>2019-08-24</v>
      </c>
      <c r="N736" t="str">
        <f>"УПФ РФ В ТУГУЛЫМСКОМ РАЙОНЕ"</f>
        <v>УПФ РФ В ТУГУЛЫМСКОМ РАЙОНЕ</v>
      </c>
      <c r="O736" t="str">
        <f>"623650"</f>
        <v>623650</v>
      </c>
      <c r="P736" t="str">
        <f>"ОБЛ СВЕРДЛОВСКАЯ"</f>
        <v>ОБЛ СВЕРДЛОВСКАЯ</v>
      </c>
      <c r="Q736" t="str">
        <f>""</f>
        <v/>
      </c>
      <c r="R736" t="str">
        <f>""</f>
        <v/>
      </c>
      <c r="S736" t="str">
        <f>"РП ТУГУЛЫМ"</f>
        <v>РП ТУГУЛЫМ</v>
      </c>
      <c r="T736" t="str">
        <f>"УЛ ГАГАРИНА"</f>
        <v>УЛ ГАГАРИНА</v>
      </c>
      <c r="U736" s="1" t="str">
        <f>"44"</f>
        <v>44</v>
      </c>
      <c r="V736" s="1" t="str">
        <f>""</f>
        <v/>
      </c>
      <c r="W736" s="1" t="str">
        <f>""</f>
        <v/>
      </c>
      <c r="X736" s="1" t="str">
        <f>""</f>
        <v/>
      </c>
      <c r="Y736" s="1" t="str">
        <f>"1"</f>
        <v>1</v>
      </c>
      <c r="Z736" t="str">
        <f>"3436721960"</f>
        <v>3436721960</v>
      </c>
      <c r="AA736" t="str">
        <f>"3436722615"</f>
        <v>3436722615</v>
      </c>
      <c r="AB736" t="str">
        <f>"9022589480"</f>
        <v>9022589480</v>
      </c>
      <c r="AC736" t="str">
        <f>"9022589480"</f>
        <v>9022589480</v>
      </c>
      <c r="AD736" t="str">
        <f>"9022589480"</f>
        <v>9022589480</v>
      </c>
      <c r="AE736" t="str">
        <f>"9022589480"</f>
        <v>9022589480</v>
      </c>
    </row>
    <row r="737" spans="1:31" x14ac:dyDescent="0.45">
      <c r="A737" t="str">
        <f>"НЕЙМАН ЛАРИСА АНАТОЛЬЕВНА"</f>
        <v>НЕЙМАН ЛАРИСА АНАТОЛЬЕВНА</v>
      </c>
      <c r="B737" t="str">
        <f>"1961-09-18"</f>
        <v>1961-09-18</v>
      </c>
      <c r="C737" t="str">
        <f>"80 06 140791"</f>
        <v>80 06 140791</v>
      </c>
      <c r="D737" t="str">
        <f>"4854630191726697"</f>
        <v>4854630191726697</v>
      </c>
      <c r="E737" t="str">
        <f>"2020-11-30"</f>
        <v>2020-11-30</v>
      </c>
      <c r="F737" t="str">
        <f>"Q"</f>
        <v>Q</v>
      </c>
      <c r="G737" t="str">
        <f>"Q"</f>
        <v>Q</v>
      </c>
      <c r="H737" t="str">
        <f>"40817810216991427821"</f>
        <v>40817810216991427821</v>
      </c>
      <c r="I737" t="str">
        <f>"8598"</f>
        <v>8598</v>
      </c>
      <c r="J737" t="str">
        <f>"0233"</f>
        <v>0233</v>
      </c>
      <c r="K737" t="str">
        <f t="shared" si="120"/>
        <v>0.00</v>
      </c>
      <c r="L737" t="str">
        <f>"450501 РЕСП БАШКОРТОСТАН Р-Н УФИМСКИЙ   С БУЛГАКОВО УЛ ЛЕСНАЯ д. 10 кв. 2"</f>
        <v>450501 РЕСП БАШКОРТОСТАН Р-Н УФИМСКИЙ   С БУЛГАКОВО УЛ ЛЕСНАЯ д. 10 кв. 2</v>
      </c>
      <c r="M737" t="str">
        <f t="shared" si="115"/>
        <v>2019-08-24</v>
      </c>
      <c r="N737" t="str">
        <f>"СОТР"</f>
        <v>СОТР</v>
      </c>
      <c r="O737" t="str">
        <f>"450501"</f>
        <v>450501</v>
      </c>
      <c r="P737" t="str">
        <f>"РЕСП БАШКОРТОСТАН"</f>
        <v>РЕСП БАШКОРТОСТАН</v>
      </c>
      <c r="Q737" t="str">
        <f>"Р-Н УФИМСКИЙ"</f>
        <v>Р-Н УФИМСКИЙ</v>
      </c>
      <c r="R737" t="str">
        <f>""</f>
        <v/>
      </c>
      <c r="S737" t="str">
        <f>"С БУЛГАКОВО"</f>
        <v>С БУЛГАКОВО</v>
      </c>
      <c r="T737" t="str">
        <f>"УЛ ЛЕСНАЯ"</f>
        <v>УЛ ЛЕСНАЯ</v>
      </c>
      <c r="U737" s="1" t="str">
        <f>"10"</f>
        <v>10</v>
      </c>
      <c r="V737" s="1" t="str">
        <f>""</f>
        <v/>
      </c>
      <c r="W737" s="1" t="str">
        <f>""</f>
        <v/>
      </c>
      <c r="X737" s="1" t="str">
        <f>""</f>
        <v/>
      </c>
      <c r="Y737" s="1" t="str">
        <f>"2"</f>
        <v>2</v>
      </c>
      <c r="Z737" t="str">
        <f>""</f>
        <v/>
      </c>
      <c r="AA737" t="str">
        <f>"9273140019"</f>
        <v>9273140019</v>
      </c>
      <c r="AB737" t="str">
        <f>"9273140019"</f>
        <v>9273140019</v>
      </c>
      <c r="AC737" t="str">
        <f>"9273140019"</f>
        <v>9273140019</v>
      </c>
      <c r="AD737" t="str">
        <f>"9273140019"</f>
        <v>9273140019</v>
      </c>
      <c r="AE737" t="str">
        <f>""</f>
        <v/>
      </c>
    </row>
    <row r="738" spans="1:31" x14ac:dyDescent="0.45">
      <c r="A738" t="str">
        <f>"СУВОРОВ АЛЕКСЕЙ ВЕНИАМИНОВИЧ"</f>
        <v>СУВОРОВ АЛЕКСЕЙ ВЕНИАМИНОВИЧ</v>
      </c>
      <c r="B738" t="str">
        <f>"1965-12-20"</f>
        <v>1965-12-20</v>
      </c>
      <c r="C738" t="str">
        <f>"37 10 401377"</f>
        <v>37 10 401377</v>
      </c>
      <c r="D738" t="str">
        <f>"4854630409237842"</f>
        <v>4854630409237842</v>
      </c>
      <c r="E738" t="str">
        <f>"2021-04-30"</f>
        <v>2021-04-30</v>
      </c>
      <c r="F738" t="str">
        <f>"+"</f>
        <v>+</v>
      </c>
      <c r="G738" t="str">
        <f>"+"</f>
        <v>+</v>
      </c>
      <c r="H738" t="str">
        <f>"40817810716991464119"</f>
        <v>40817810716991464119</v>
      </c>
      <c r="I738" t="str">
        <f>"8599"</f>
        <v>8599</v>
      </c>
      <c r="J738" t="str">
        <f>"0149"</f>
        <v>0149</v>
      </c>
      <c r="K738" t="str">
        <f>"100000.00"</f>
        <v>100000.00</v>
      </c>
      <c r="L738" t="str">
        <f>"641000 ОБЛ КУРГАНСКАЯ Р-Н ЮРГАМЫШСКИЙ Г ЮРГАМЫШ   УЛ МИРА д. 77"</f>
        <v>641000 ОБЛ КУРГАНСКАЯ Р-Н ЮРГАМЫШСКИЙ Г ЮРГАМЫШ   УЛ МИРА д. 77</v>
      </c>
      <c r="M738" t="str">
        <f t="shared" si="115"/>
        <v>2019-08-24</v>
      </c>
      <c r="N738" t="str">
        <f>"ЛЕСЗОХ"</f>
        <v>ЛЕСЗОХ</v>
      </c>
      <c r="O738" t="str">
        <f>"641000"</f>
        <v>641000</v>
      </c>
      <c r="P738" t="str">
        <f>"ОБЛ КУРГАНСКАЯ"</f>
        <v>ОБЛ КУРГАНСКАЯ</v>
      </c>
      <c r="Q738" t="str">
        <f>"Р-Н МИШКИНСКИЙ"</f>
        <v>Р-Н МИШКИНСКИЙ</v>
      </c>
      <c r="R738" t="str">
        <f>""</f>
        <v/>
      </c>
      <c r="S738" t="str">
        <f>"РП МИШКИНО"</f>
        <v>РП МИШКИНО</v>
      </c>
      <c r="T738" t="str">
        <f>"УЛ 70 ЛЕТ СОВЕТСКОЙ ВЛАСТИ"</f>
        <v>УЛ 70 ЛЕТ СОВЕТСКОЙ ВЛАСТИ</v>
      </c>
      <c r="U738" s="1" t="str">
        <f>"20"</f>
        <v>20</v>
      </c>
      <c r="V738" s="1" t="str">
        <f>""</f>
        <v/>
      </c>
      <c r="W738" s="1" t="str">
        <f>""</f>
        <v/>
      </c>
      <c r="X738" s="1" t="str">
        <f>""</f>
        <v/>
      </c>
      <c r="Y738" s="1" t="str">
        <f>""</f>
        <v/>
      </c>
      <c r="Z738" t="str">
        <f>"35248 91656"</f>
        <v>35248 91656</v>
      </c>
      <c r="AA738" t="str">
        <f>"9195774951"</f>
        <v>9195774951</v>
      </c>
      <c r="AB738" t="str">
        <f>"9125217647"</f>
        <v>9125217647</v>
      </c>
      <c r="AC738" t="str">
        <f>"9195774951"</f>
        <v>9195774951</v>
      </c>
      <c r="AD738" t="str">
        <f>"9125217647"</f>
        <v>9125217647</v>
      </c>
      <c r="AE738" t="str">
        <f>""</f>
        <v/>
      </c>
    </row>
    <row r="739" spans="1:31" x14ac:dyDescent="0.45">
      <c r="A739" t="str">
        <f>"АКТУГАНОВ ИЛЬГИЗ МИНЕХАНОВИЧ"</f>
        <v>АКТУГАНОВ ИЛЬГИЗ МИНЕХАНОВИЧ</v>
      </c>
      <c r="B739" t="str">
        <f>"1965-10-24"</f>
        <v>1965-10-24</v>
      </c>
      <c r="C739" t="str">
        <f>"80 10 105881"</f>
        <v>80 10 105881</v>
      </c>
      <c r="D739" t="str">
        <f>"4854630376498252"</f>
        <v>4854630376498252</v>
      </c>
      <c r="E739" t="str">
        <f>"2021-04-30"</f>
        <v>2021-04-30</v>
      </c>
      <c r="F739" t="str">
        <f>"Q"</f>
        <v>Q</v>
      </c>
      <c r="G739" t="str">
        <f>"Q"</f>
        <v>Q</v>
      </c>
      <c r="H739" t="str">
        <f>"40817810967720715588"</f>
        <v>40817810967720715588</v>
      </c>
      <c r="I739" t="str">
        <f>"5940"</f>
        <v>5940</v>
      </c>
      <c r="J739" t="str">
        <f>"0129"</f>
        <v>0129</v>
      </c>
      <c r="K739" t="str">
        <f>"0.00"</f>
        <v>0.00</v>
      </c>
      <c r="L739" t="str">
        <f>"628600 ОБЛ ТЮМЕНСКАЯ   Г НИЖНЕВАРТОВСК   УЛ ИНДУСТРИАЛЬНАЯ д. 1"</f>
        <v>628600 ОБЛ ТЮМЕНСКАЯ   Г НИЖНЕВАРТОВСК   УЛ ИНДУСТРИАЛЬНАЯ д. 1</v>
      </c>
      <c r="M739" t="str">
        <f t="shared" si="115"/>
        <v>2019-08-24</v>
      </c>
      <c r="N739" t="str">
        <f>"АО СНПХ"</f>
        <v>АО СНПХ</v>
      </c>
      <c r="O739" t="str">
        <f>"450000"</f>
        <v>450000</v>
      </c>
      <c r="P739" t="str">
        <f>"РЕСП БАШКОРТОСТАН"</f>
        <v>РЕСП БАШКОРТОСТАН</v>
      </c>
      <c r="Q739" t="str">
        <f>"Р-Н МИЯКИНСКИЙ"</f>
        <v>Р-Н МИЯКИНСКИЙ</v>
      </c>
      <c r="R739" t="str">
        <f>""</f>
        <v/>
      </c>
      <c r="S739" t="str">
        <f>"С УРШАКБАШ-КАРАМАЛЛЫ"</f>
        <v>С УРШАКБАШ-КАРАМАЛЛЫ</v>
      </c>
      <c r="T739" t="str">
        <f>"УЛ МОЛОДЕЖНАЯ"</f>
        <v>УЛ МОЛОДЕЖНАЯ</v>
      </c>
      <c r="U739" s="1" t="str">
        <f>"7"</f>
        <v>7</v>
      </c>
      <c r="V739" s="1" t="str">
        <f>""</f>
        <v/>
      </c>
      <c r="W739" s="1" t="str">
        <f>""</f>
        <v/>
      </c>
      <c r="X739" s="1" t="str">
        <f>""</f>
        <v/>
      </c>
      <c r="Y739" s="1" t="str">
        <f>"1"</f>
        <v>1</v>
      </c>
      <c r="Z739" t="str">
        <f>""</f>
        <v/>
      </c>
      <c r="AA739" t="str">
        <f>"9273287504"</f>
        <v>9273287504</v>
      </c>
      <c r="AB739" t="str">
        <f>"9991337715"</f>
        <v>9991337715</v>
      </c>
      <c r="AC739" t="str">
        <f>"9273287504"</f>
        <v>9273287504</v>
      </c>
      <c r="AD739" t="str">
        <f>"9991337715"</f>
        <v>9991337715</v>
      </c>
      <c r="AE739" t="str">
        <f>""</f>
        <v/>
      </c>
    </row>
    <row r="740" spans="1:31" x14ac:dyDescent="0.45">
      <c r="A740" t="str">
        <f>"ЕМЕЛЬЯНОВА ИРИНА ЛЕОНИДОВНА"</f>
        <v>ЕМЕЛЬЯНОВА ИРИНА ЛЕОНИДОВНА</v>
      </c>
      <c r="B740" t="str">
        <f>"1969-10-07"</f>
        <v>1969-10-07</v>
      </c>
      <c r="C740" t="str">
        <f>"65 14 812580"</f>
        <v>65 14 812580</v>
      </c>
      <c r="D740" t="str">
        <f>"4854630270207726"</f>
        <v>4854630270207726</v>
      </c>
      <c r="E740" t="str">
        <f>"2021-05-31"</f>
        <v>2021-05-31</v>
      </c>
      <c r="F740" t="str">
        <f>"M"</f>
        <v>M</v>
      </c>
      <c r="G740" t="str">
        <f>"+"</f>
        <v>+</v>
      </c>
      <c r="H740" t="str">
        <f>"40817810016991464149"</f>
        <v>40817810016991464149</v>
      </c>
      <c r="I740" t="str">
        <f>"7003"</f>
        <v>7003</v>
      </c>
      <c r="J740" t="str">
        <f>"0560"</f>
        <v>0560</v>
      </c>
      <c r="K740" t="str">
        <f>"25000.00"</f>
        <v>25000.00</v>
      </c>
      <c r="L740" t="str">
        <f>"624300 ОБЛ СВЕРДЛОВСКАЯ   Г КУШВА   УЛ 40 ОКТЯБРЯ д. 2"</f>
        <v>624300 ОБЛ СВЕРДЛОВСКАЯ   Г КУШВА   УЛ 40 ОКТЯБРЯ д. 2</v>
      </c>
      <c r="M740" t="str">
        <f t="shared" si="115"/>
        <v>2019-08-24</v>
      </c>
      <c r="N740" t="str">
        <f>"ООО МОЛОЧНАЯ БЛАГОДАТЬ"</f>
        <v>ООО МОЛОЧНАЯ БЛАГОДАТЬ</v>
      </c>
      <c r="O740" t="str">
        <f>"624300"</f>
        <v>624300</v>
      </c>
      <c r="P740" t="str">
        <f>"ОБЛ СВЕРДЛОВСКАЯ"</f>
        <v>ОБЛ СВЕРДЛОВСКАЯ</v>
      </c>
      <c r="Q740" t="str">
        <f>""</f>
        <v/>
      </c>
      <c r="R740" t="str">
        <f>"Г КУШВА"</f>
        <v>Г КУШВА</v>
      </c>
      <c r="S740" t="str">
        <f>""</f>
        <v/>
      </c>
      <c r="T740" t="str">
        <f>"УЛ ЛУНАЧАРСКОГО"</f>
        <v>УЛ ЛУНАЧАРСКОГО</v>
      </c>
      <c r="U740" s="1" t="str">
        <f>"22"</f>
        <v>22</v>
      </c>
      <c r="V740" s="1" t="str">
        <f>""</f>
        <v/>
      </c>
      <c r="W740" s="1" t="str">
        <f>""</f>
        <v/>
      </c>
      <c r="X740" s="1" t="str">
        <f>""</f>
        <v/>
      </c>
      <c r="Y740" s="1" t="str">
        <f>"21"</f>
        <v>21</v>
      </c>
      <c r="Z740" t="str">
        <f>""</f>
        <v/>
      </c>
      <c r="AA740" t="str">
        <f>"9920154938"</f>
        <v>9920154938</v>
      </c>
      <c r="AB740" t="str">
        <f>"9920154938"</f>
        <v>9920154938</v>
      </c>
      <c r="AC740" t="str">
        <f>"9920154938"</f>
        <v>9920154938</v>
      </c>
      <c r="AD740" t="str">
        <f>"9222196661"</f>
        <v>9222196661</v>
      </c>
      <c r="AE740" t="str">
        <f>""</f>
        <v/>
      </c>
    </row>
    <row r="741" spans="1:31" x14ac:dyDescent="0.45">
      <c r="A741" t="str">
        <f>"ФИЛАТОВА ИРИНА АЛЕКСАНДРОВНА"</f>
        <v>ФИЛАТОВА ИРИНА АЛЕКСАНДРОВНА</v>
      </c>
      <c r="B741" t="str">
        <f>"1996-11-20"</f>
        <v>1996-11-20</v>
      </c>
      <c r="C741" t="str">
        <f>"67 16 610915"</f>
        <v>67 16 610915</v>
      </c>
      <c r="D741" t="str">
        <f>"5313100260471775"</f>
        <v>5313100260471775</v>
      </c>
      <c r="E741" t="str">
        <f>"2021-03-31"</f>
        <v>2021-03-31</v>
      </c>
      <c r="F741" t="str">
        <f>"+"</f>
        <v>+</v>
      </c>
      <c r="G741" t="str">
        <f>"7"</f>
        <v>7</v>
      </c>
      <c r="H741" t="str">
        <f>"40817810416992502480"</f>
        <v>40817810416992502480</v>
      </c>
      <c r="I741" t="str">
        <f>"1791"</f>
        <v>1791</v>
      </c>
      <c r="J741" t="str">
        <f>"0100"</f>
        <v>0100</v>
      </c>
      <c r="K741" t="str">
        <f>"49996.93"</f>
        <v>49996.93</v>
      </c>
      <c r="L741" t="str">
        <f>"628181 ОБЛ ТЮМЕНСКАЯ   Г НЯГАНЬ   УЛ ЛЕНИНА д. 28"</f>
        <v>628181 ОБЛ ТЮМЕНСКАЯ   Г НЯГАНЬ   УЛ ЛЕНИНА д. 28</v>
      </c>
      <c r="M741" t="str">
        <f t="shared" si="115"/>
        <v>2019-08-24</v>
      </c>
      <c r="N741" t="str">
        <f>"ПАО ВЫМПЕЛКОМ"</f>
        <v>ПАО ВЫМПЕЛКОМ</v>
      </c>
      <c r="O741" t="str">
        <f>"628256"</f>
        <v>628256</v>
      </c>
      <c r="P741" t="str">
        <f>"ОБЛ ТЮМЕНСКАЯ"</f>
        <v>ОБЛ ТЮМЕНСКАЯ</v>
      </c>
      <c r="Q741" t="str">
        <f>"Р-Н СОВЕТСКИЙ"</f>
        <v>Р-Н СОВЕТСКИЙ</v>
      </c>
      <c r="R741" t="str">
        <f>""</f>
        <v/>
      </c>
      <c r="S741" t="str">
        <f>"П КОММУНИСТИЧЕСКИЙ"</f>
        <v>П КОММУНИСТИЧЕСКИЙ</v>
      </c>
      <c r="T741" t="str">
        <f>"УЛ МЕДИКОВ"</f>
        <v>УЛ МЕДИКОВ</v>
      </c>
      <c r="U741" s="1" t="str">
        <f>"11"</f>
        <v>11</v>
      </c>
      <c r="V741" s="1" t="str">
        <f>""</f>
        <v/>
      </c>
      <c r="W741" s="1" t="str">
        <f>""</f>
        <v/>
      </c>
      <c r="X741" s="1" t="str">
        <f>""</f>
        <v/>
      </c>
      <c r="Y741" s="1" t="str">
        <f>"11"</f>
        <v>11</v>
      </c>
      <c r="Z741" t="str">
        <f>""</f>
        <v/>
      </c>
      <c r="AA741" t="str">
        <f>"9090366996"</f>
        <v>9090366996</v>
      </c>
      <c r="AB741" t="str">
        <f>"9028545730"</f>
        <v>9028545730</v>
      </c>
      <c r="AC741" t="str">
        <f>"9090366996"</f>
        <v>9090366996</v>
      </c>
      <c r="AD741" t="str">
        <f>"9028545730"</f>
        <v>9028545730</v>
      </c>
      <c r="AE741" t="str">
        <f>""</f>
        <v/>
      </c>
    </row>
    <row r="742" spans="1:31" x14ac:dyDescent="0.45">
      <c r="A742" t="str">
        <f>"БЕГАЛИ АНДРЕЙ ИВАНОВИЧ"</f>
        <v>БЕГАЛИ АНДРЕЙ ИВАНОВИЧ</v>
      </c>
      <c r="B742" t="str">
        <f>"1985-08-06"</f>
        <v>1985-08-06</v>
      </c>
      <c r="C742" t="str">
        <f>"67 04 469290"</f>
        <v>67 04 469290</v>
      </c>
      <c r="D742" t="str">
        <f>"4279016721301879"</f>
        <v>4279016721301879</v>
      </c>
      <c r="E742" t="str">
        <f>"2021-05-31"</f>
        <v>2021-05-31</v>
      </c>
      <c r="F742" t="str">
        <f>"+"</f>
        <v>+</v>
      </c>
      <c r="G742" t="str">
        <f>"+"</f>
        <v>+</v>
      </c>
      <c r="H742" t="str">
        <f>"40817810516992277767"</f>
        <v>40817810516992277767</v>
      </c>
      <c r="I742" t="str">
        <f>"8647"</f>
        <v>8647</v>
      </c>
      <c r="J742" t="str">
        <f>"0184"</f>
        <v>0184</v>
      </c>
      <c r="K742" t="str">
        <f>"20000.00"</f>
        <v>20000.00</v>
      </c>
      <c r="L742" t="str">
        <f>"625000 ОБЛ ТЮМЕНСКАЯ     Г ТЮМЕНЬ УЛ МАЛЫГИНА д. 4 корп. 1"</f>
        <v>625000 ОБЛ ТЮМЕНСКАЯ     Г ТЮМЕНЬ УЛ МАЛЫГИНА д. 4 корп. 1</v>
      </c>
      <c r="M742" t="str">
        <f t="shared" si="115"/>
        <v>2019-08-24</v>
      </c>
      <c r="N742" t="str">
        <f>"АНО ТИММ"</f>
        <v>АНО ТИММ</v>
      </c>
      <c r="O742" t="str">
        <f>"625000"</f>
        <v>625000</v>
      </c>
      <c r="P742" t="str">
        <f>"ОБЛ ТЮМЕНСКАЯ"</f>
        <v>ОБЛ ТЮМЕНСКАЯ</v>
      </c>
      <c r="Q742" t="str">
        <f>""</f>
        <v/>
      </c>
      <c r="R742" t="str">
        <f>"Г ТЮМЕНЬ"</f>
        <v>Г ТЮМЕНЬ</v>
      </c>
      <c r="S742" t="str">
        <f>""</f>
        <v/>
      </c>
      <c r="T742" t="str">
        <f>"УЛ ЯЛУТОРОВСКАЯ"</f>
        <v>УЛ ЯЛУТОРОВСКАЯ</v>
      </c>
      <c r="U742" s="1" t="str">
        <f>"14"</f>
        <v>14</v>
      </c>
      <c r="V742" s="1" t="str">
        <f>""</f>
        <v/>
      </c>
      <c r="W742" s="1" t="str">
        <f>""</f>
        <v/>
      </c>
      <c r="X742" s="1" t="str">
        <f>""</f>
        <v/>
      </c>
      <c r="Y742" s="1" t="str">
        <f>"23"</f>
        <v>23</v>
      </c>
      <c r="Z742" t="str">
        <f>""</f>
        <v/>
      </c>
      <c r="AA742" t="str">
        <f>"9526709628"</f>
        <v>9526709628</v>
      </c>
      <c r="AB742" t="str">
        <f>"9829069989"</f>
        <v>9829069989</v>
      </c>
      <c r="AC742" t="str">
        <f>"9526709628"</f>
        <v>9526709628</v>
      </c>
      <c r="AD742" t="str">
        <f>"9829069989"</f>
        <v>9829069989</v>
      </c>
      <c r="AE742" t="str">
        <f>""</f>
        <v/>
      </c>
    </row>
    <row r="743" spans="1:31" x14ac:dyDescent="0.45">
      <c r="A743" t="str">
        <f>"МЕНЬЩИКОВА ОЛЬГА ВИКТОРОВНА"</f>
        <v>МЕНЬЩИКОВА ОЛЬГА ВИКТОРОВНА</v>
      </c>
      <c r="B743" t="str">
        <f>"1986-09-22"</f>
        <v>1986-09-22</v>
      </c>
      <c r="C743" t="str">
        <f>"71 07 579625"</f>
        <v>71 07 579625</v>
      </c>
      <c r="D743" t="str">
        <f>"4854630396885173"</f>
        <v>4854630396885173</v>
      </c>
      <c r="E743" t="str">
        <f>"2021-04-30"</f>
        <v>2021-04-30</v>
      </c>
      <c r="F743" t="str">
        <f>"+"</f>
        <v>+</v>
      </c>
      <c r="G743" t="str">
        <f>"+"</f>
        <v>+</v>
      </c>
      <c r="H743" t="str">
        <f>"40817810116992502573"</f>
        <v>40817810116992502573</v>
      </c>
      <c r="I743" t="str">
        <f>"8647"</f>
        <v>8647</v>
      </c>
      <c r="J743" t="str">
        <f>"0069"</f>
        <v>0069</v>
      </c>
      <c r="K743" t="str">
        <f>"16000.00"</f>
        <v>16000.00</v>
      </c>
      <c r="L743" t="str">
        <f>"625000 ОБЛ ТЮМЕНСКАЯ   Г ТЮМЕНЬ   УЛ ПРОКОПИЯ АРТОМОНОВА д. 13 корп. 1"</f>
        <v>625000 ОБЛ ТЮМЕНСКАЯ   Г ТЮМЕНЬ   УЛ ПРОКОПИЯ АРТОМОНОВА д. 13 корп. 1</v>
      </c>
      <c r="M743" t="str">
        <f t="shared" si="115"/>
        <v>2019-08-24</v>
      </c>
      <c r="N743" t="str">
        <f>"ООО МЕГАДЕНТ"</f>
        <v>ООО МЕГАДЕНТ</v>
      </c>
      <c r="O743" t="str">
        <f>"625000"</f>
        <v>625000</v>
      </c>
      <c r="P743" t="str">
        <f>"ОБЛ ТЮМЕНСКАЯ"</f>
        <v>ОБЛ ТЮМЕНСКАЯ</v>
      </c>
      <c r="Q743" t="str">
        <f>""</f>
        <v/>
      </c>
      <c r="R743" t="str">
        <f>"Г ТЮМЕНЬ"</f>
        <v>Г ТЮМЕНЬ</v>
      </c>
      <c r="S743" t="str">
        <f>""</f>
        <v/>
      </c>
      <c r="T743" t="str">
        <f>"УЛ ХАРЬКОВСКАЯ"</f>
        <v>УЛ ХАРЬКОВСКАЯ</v>
      </c>
      <c r="U743" s="1" t="str">
        <f>"56"</f>
        <v>56</v>
      </c>
      <c r="V743" s="1" t="str">
        <f>""</f>
        <v/>
      </c>
      <c r="W743" s="1" t="str">
        <f>""</f>
        <v/>
      </c>
      <c r="X743" s="1" t="str">
        <f>""</f>
        <v/>
      </c>
      <c r="Y743" s="1" t="str">
        <f>"69"</f>
        <v>69</v>
      </c>
      <c r="Z743" t="str">
        <f>""</f>
        <v/>
      </c>
      <c r="AA743" t="str">
        <f>"9523474955"</f>
        <v>9523474955</v>
      </c>
      <c r="AB743" t="str">
        <f>"9504964658"</f>
        <v>9504964658</v>
      </c>
      <c r="AC743" t="str">
        <f>"9523474955"</f>
        <v>9523474955</v>
      </c>
      <c r="AD743" t="str">
        <f>"9504964658"</f>
        <v>9504964658</v>
      </c>
      <c r="AE743" t="str">
        <f>""</f>
        <v/>
      </c>
    </row>
    <row r="744" spans="1:31" x14ac:dyDescent="0.45">
      <c r="A744" t="str">
        <f>"ШЕЛАЕВА ИРИНА ЕВГЕНИЕВНА"</f>
        <v>ШЕЛАЕВА ИРИНА ЕВГЕНИЕВНА</v>
      </c>
      <c r="B744" t="str">
        <f>"1982-08-02"</f>
        <v>1982-08-02</v>
      </c>
      <c r="C744" t="str">
        <f>"65 13 594377"</f>
        <v>65 13 594377</v>
      </c>
      <c r="D744" t="str">
        <f>"5313100308696045"</f>
        <v>5313100308696045</v>
      </c>
      <c r="E744" t="str">
        <f>"2020-11-30"</f>
        <v>2020-11-30</v>
      </c>
      <c r="F744" t="str">
        <f>"+"</f>
        <v>+</v>
      </c>
      <c r="G744" t="str">
        <f>"+"</f>
        <v>+</v>
      </c>
      <c r="H744" t="str">
        <f>"40817810116991424694"</f>
        <v>40817810116991424694</v>
      </c>
      <c r="I744" t="str">
        <f>"7003"</f>
        <v>7003</v>
      </c>
      <c r="J744" t="str">
        <f>"0453"</f>
        <v>0453</v>
      </c>
      <c r="K744" t="str">
        <f>"40000.00"</f>
        <v>40000.00</v>
      </c>
      <c r="L744" t="str">
        <f>"624221 ОБЛ СВЕРДЛОВСКАЯ   Г ЕКАТЕРИНБУРГ   УЛ ЛЕНИНА д. 17"</f>
        <v>624221 ОБЛ СВЕРДЛОВСКАЯ   Г ЕКАТЕРИНБУРГ   УЛ ЛЕНИНА д. 17</v>
      </c>
      <c r="M744" t="str">
        <f t="shared" si="115"/>
        <v>2019-08-24</v>
      </c>
      <c r="N744" t="str">
        <f>"МВД РОСССИИ ПО СВЕРДЛОВСКОЙ ОБЛАСТИ"</f>
        <v>МВД РОСССИИ ПО СВЕРДЛОВСКОЙ ОБЛАСТИ</v>
      </c>
      <c r="O744" t="str">
        <f>"620000"</f>
        <v>620000</v>
      </c>
      <c r="P744" t="str">
        <f>"ОБЛ СВЕРДЛОВСКАЯ"</f>
        <v>ОБЛ СВЕРДЛОВСКАЯ</v>
      </c>
      <c r="Q744" t="str">
        <f>""</f>
        <v/>
      </c>
      <c r="R744" t="str">
        <f>"Г ЕКАТЕРИНБУРГ"</f>
        <v>Г ЕКАТЕРИНБУРГ</v>
      </c>
      <c r="S744" t="str">
        <f>""</f>
        <v/>
      </c>
      <c r="T744" t="str">
        <f>"УЛ АКАДЕМИКА ШВАРЦА"</f>
        <v>УЛ АКАДЕМИКА ШВАРЦА</v>
      </c>
      <c r="U744" s="1" t="str">
        <f>"10"</f>
        <v>10</v>
      </c>
      <c r="V744" s="1" t="str">
        <f>""</f>
        <v/>
      </c>
      <c r="W744" s="1" t="str">
        <f>"3"</f>
        <v>3</v>
      </c>
      <c r="X744" s="1" t="str">
        <f>""</f>
        <v/>
      </c>
      <c r="Y744" s="1" t="str">
        <f>"225"</f>
        <v>225</v>
      </c>
      <c r="Z744" t="str">
        <f>"3434222882"</f>
        <v>3434222882</v>
      </c>
      <c r="AA744" t="str">
        <f>"9043827101"</f>
        <v>9043827101</v>
      </c>
      <c r="AB744" t="str">
        <f>"9043827101"</f>
        <v>9043827101</v>
      </c>
      <c r="AC744" t="str">
        <f>"9043827101"</f>
        <v>9043827101</v>
      </c>
      <c r="AD744" t="str">
        <f>"9043827101"</f>
        <v>9043827101</v>
      </c>
      <c r="AE744" t="str">
        <f>"3434222882"</f>
        <v>3434222882</v>
      </c>
    </row>
    <row r="745" spans="1:31" x14ac:dyDescent="0.45">
      <c r="A745" t="str">
        <f>"ЛАЗАРЕВ АНДРЕЙ ВАСИЛЬЕВИЧ"</f>
        <v>ЛАЗАРЕВ АНДРЕЙ ВАСИЛЬЕВИЧ</v>
      </c>
      <c r="B745" t="str">
        <f>"1963-08-15"</f>
        <v>1963-08-15</v>
      </c>
      <c r="C745" t="str">
        <f>"65 08 393437"</f>
        <v>65 08 393437</v>
      </c>
      <c r="D745" t="str">
        <f>"4854630204013505"</f>
        <v>4854630204013505</v>
      </c>
      <c r="E745" t="str">
        <f>"2021-04-30"</f>
        <v>2021-04-30</v>
      </c>
      <c r="F745" t="str">
        <f>"K"</f>
        <v>K</v>
      </c>
      <c r="G745" t="str">
        <f>"+"</f>
        <v>+</v>
      </c>
      <c r="H745" t="str">
        <f>"40817810016991464165"</f>
        <v>40817810016991464165</v>
      </c>
      <c r="I745" t="str">
        <f>"7003"</f>
        <v>7003</v>
      </c>
      <c r="J745" t="str">
        <f>"0549"</f>
        <v>0549</v>
      </c>
      <c r="K745" t="str">
        <f>"100000.00"</f>
        <v>100000.00</v>
      </c>
      <c r="L745" t="str">
        <f>"620000 ОБЛ СВЕРДЛОВСКАЯ   Г НОВАЯ ЛЯЛЯ   УЛ ЛОМОНОСОВА д. 6 кв. 2"</f>
        <v>620000 ОБЛ СВЕРДЛОВСКАЯ   Г НОВАЯ ЛЯЛЯ   УЛ ЛОМОНОСОВА д. 6 кв. 2</v>
      </c>
      <c r="M745" t="str">
        <f t="shared" si="115"/>
        <v>2019-08-24</v>
      </c>
      <c r="N745" t="str">
        <f>"ПЕНСИОНЕР"</f>
        <v>ПЕНСИОНЕР</v>
      </c>
      <c r="O745" t="str">
        <f>"620000"</f>
        <v>620000</v>
      </c>
      <c r="P745" t="str">
        <f>"ОБЛ СВЕРДЛОВСКАЯ"</f>
        <v>ОБЛ СВЕРДЛОВСКАЯ</v>
      </c>
      <c r="Q745" t="str">
        <f>""</f>
        <v/>
      </c>
      <c r="R745" t="str">
        <f>"Г НОВАЯ ЛЯЛЯ"</f>
        <v>Г НОВАЯ ЛЯЛЯ</v>
      </c>
      <c r="S745" t="str">
        <f>""</f>
        <v/>
      </c>
      <c r="T745" t="str">
        <f>"УЛ ЛОМОНОСОВА"</f>
        <v>УЛ ЛОМОНОСОВА</v>
      </c>
      <c r="U745" s="1" t="str">
        <f>"6"</f>
        <v>6</v>
      </c>
      <c r="V745" s="1" t="str">
        <f>""</f>
        <v/>
      </c>
      <c r="W745" s="1" t="str">
        <f>""</f>
        <v/>
      </c>
      <c r="X745" s="1" t="str">
        <f>""</f>
        <v/>
      </c>
      <c r="Y745" s="1" t="str">
        <f>"2"</f>
        <v>2</v>
      </c>
      <c r="Z745" t="str">
        <f>"3438922950"</f>
        <v>3438922950</v>
      </c>
      <c r="AA745" t="str">
        <f>"3438821788"</f>
        <v>3438821788</v>
      </c>
      <c r="AB745" t="str">
        <f>"9506347822"</f>
        <v>9506347822</v>
      </c>
      <c r="AC745" t="str">
        <f>"9502076549"</f>
        <v>9502076549</v>
      </c>
      <c r="AD745" t="str">
        <f>"9506347822"</f>
        <v>9506347822</v>
      </c>
      <c r="AE745" t="str">
        <f>""</f>
        <v/>
      </c>
    </row>
    <row r="746" spans="1:31" x14ac:dyDescent="0.45">
      <c r="A746" t="str">
        <f>"БЕЛЯКОВА АННА СУРЕНОВНА"</f>
        <v>БЕЛЯКОВА АННА СУРЕНОВНА</v>
      </c>
      <c r="B746" t="str">
        <f>"1961-02-13"</f>
        <v>1961-02-13</v>
      </c>
      <c r="C746" t="str">
        <f>"67 15 526281"</f>
        <v>67 15 526281</v>
      </c>
      <c r="D746" t="str">
        <f>"4854630398496730"</f>
        <v>4854630398496730</v>
      </c>
      <c r="E746" t="str">
        <f>"2020-11-30"</f>
        <v>2020-11-30</v>
      </c>
      <c r="F746" t="str">
        <f>"Q"</f>
        <v>Q</v>
      </c>
      <c r="G746" t="str">
        <f>"Q"</f>
        <v>Q</v>
      </c>
      <c r="H746" t="str">
        <f>"40817810516992066936"</f>
        <v>40817810516992066936</v>
      </c>
      <c r="I746" t="str">
        <f>"5940"</f>
        <v>5940</v>
      </c>
      <c r="J746" t="str">
        <f>"0131"</f>
        <v>0131</v>
      </c>
      <c r="K746" t="str">
        <f>"0.00"</f>
        <v>0.00</v>
      </c>
      <c r="L746" t="str">
        <f>"628464 ОБЛ ТЮМЕНСКАЯ   Г РАДУЖНЫЙ   УЛ СЕВ.ЗАП КОМ ЗОНА д. 5 кв. 2"</f>
        <v>628464 ОБЛ ТЮМЕНСКАЯ   Г РАДУЖНЫЙ   УЛ СЕВ.ЗАП КОМ ЗОНА д. 5 кв. 2</v>
      </c>
      <c r="M746" t="str">
        <f t="shared" si="115"/>
        <v>2019-08-24</v>
      </c>
      <c r="N746" t="str">
        <f>"ПЕНСИОНЕР"</f>
        <v>ПЕНСИОНЕР</v>
      </c>
      <c r="O746" t="str">
        <f>"628464"</f>
        <v>628464</v>
      </c>
      <c r="P746" t="str">
        <f>"ОБЛ ТЮМЕНСКАЯ"</f>
        <v>ОБЛ ТЮМЕНСКАЯ</v>
      </c>
      <c r="Q746" t="str">
        <f>""</f>
        <v/>
      </c>
      <c r="R746" t="str">
        <f>"Г РАДУЖНЫЙ"</f>
        <v>Г РАДУЖНЫЙ</v>
      </c>
      <c r="S746" t="str">
        <f>""</f>
        <v/>
      </c>
      <c r="T746" t="str">
        <f>"МКР СЕВ-ЗАП ЗОНА"</f>
        <v>МКР СЕВ-ЗАП ЗОНА</v>
      </c>
      <c r="U746" s="1" t="str">
        <f>"5"</f>
        <v>5</v>
      </c>
      <c r="V746" s="1" t="str">
        <f>""</f>
        <v/>
      </c>
      <c r="W746" s="1" t="str">
        <f>""</f>
        <v/>
      </c>
      <c r="X746" s="1" t="str">
        <f>""</f>
        <v/>
      </c>
      <c r="Y746" s="1" t="str">
        <f>"2"</f>
        <v>2</v>
      </c>
      <c r="Z746" t="str">
        <f>"9527032255"</f>
        <v>9527032255</v>
      </c>
      <c r="AA746" t="str">
        <f>"3466843825"</f>
        <v>3466843825</v>
      </c>
      <c r="AB746" t="str">
        <f>"9822268249"</f>
        <v>9822268249</v>
      </c>
      <c r="AC746" t="str">
        <f>"3466843825"</f>
        <v>3466843825</v>
      </c>
      <c r="AD746" t="str">
        <f>"9822268249"</f>
        <v>9822268249</v>
      </c>
      <c r="AE746" t="str">
        <f>"9527032255"</f>
        <v>9527032255</v>
      </c>
    </row>
    <row r="747" spans="1:31" x14ac:dyDescent="0.45">
      <c r="A747" t="str">
        <f>"ЧУХАРЕВА НАТАЛЬЯ ИВАНОВНА"</f>
        <v>ЧУХАРЕВА НАТАЛЬЯ ИВАНОВНА</v>
      </c>
      <c r="B747" t="str">
        <f>"1957-07-03"</f>
        <v>1957-07-03</v>
      </c>
      <c r="C747" t="str">
        <f>"75 03 778466"</f>
        <v>75 03 778466</v>
      </c>
      <c r="D747" t="str">
        <f>"4854630265279987"</f>
        <v>4854630265279987</v>
      </c>
      <c r="E747" t="str">
        <f>"2019-09-30"</f>
        <v>2019-09-30</v>
      </c>
      <c r="F747" t="str">
        <f>"Y"</f>
        <v>Y</v>
      </c>
      <c r="G747" t="str">
        <f>"Q"</f>
        <v>Q</v>
      </c>
      <c r="H747" t="str">
        <f>"40817810616991427845"</f>
        <v>40817810616991427845</v>
      </c>
      <c r="I747" t="str">
        <f>"8597"</f>
        <v>8597</v>
      </c>
      <c r="J747" t="str">
        <f>"0297"</f>
        <v>0297</v>
      </c>
      <c r="K747" t="str">
        <f>"0.00"</f>
        <v>0.00</v>
      </c>
      <c r="L747" t="str">
        <f>"456601 ОБЛ ЧЕЛЯБИНСКАЯ   Г КОПЕЙСК   ПЕР БОРЬБЫ д. 14"</f>
        <v>456601 ОБЛ ЧЕЛЯБИНСКАЯ   Г КОПЕЙСК   ПЕР БОРЬБЫ д. 14</v>
      </c>
      <c r="M747" t="str">
        <f t="shared" si="115"/>
        <v>2019-08-24</v>
      </c>
      <c r="N747" t="str">
        <f>"ПЕНСИОНЕР"</f>
        <v>ПЕНСИОНЕР</v>
      </c>
      <c r="O747" t="str">
        <f>"456657"</f>
        <v>456657</v>
      </c>
      <c r="P747" t="str">
        <f>"ОБЛ ЧЕЛЯБИНСКАЯ"</f>
        <v>ОБЛ ЧЕЛЯБИНСКАЯ</v>
      </c>
      <c r="Q747" t="str">
        <f>""</f>
        <v/>
      </c>
      <c r="R747" t="str">
        <f>"Г КОПЕЙСК"</f>
        <v>Г КОПЕЙСК</v>
      </c>
      <c r="S747" t="str">
        <f>""</f>
        <v/>
      </c>
      <c r="T747" t="str">
        <f>"ПЕР КУРСКИЙ"</f>
        <v>ПЕР КУРСКИЙ</v>
      </c>
      <c r="U747" s="1" t="str">
        <f>"7"</f>
        <v>7</v>
      </c>
      <c r="V747" s="1" t="str">
        <f>""</f>
        <v/>
      </c>
      <c r="W747" s="1" t="str">
        <f>""</f>
        <v/>
      </c>
      <c r="X747" s="1" t="str">
        <f>""</f>
        <v/>
      </c>
      <c r="Y747" s="1" t="str">
        <f>""</f>
        <v/>
      </c>
      <c r="Z747" t="str">
        <f>""</f>
        <v/>
      </c>
      <c r="AA747" t="str">
        <f>"9525027535"</f>
        <v>9525027535</v>
      </c>
      <c r="AB747" t="str">
        <f>"9525027535"</f>
        <v>9525027535</v>
      </c>
      <c r="AC747" t="str">
        <f>"9525027535"</f>
        <v>9525027535</v>
      </c>
      <c r="AD747" t="str">
        <f>"9525027535"</f>
        <v>9525027535</v>
      </c>
      <c r="AE747" t="str">
        <f>""</f>
        <v/>
      </c>
    </row>
    <row r="748" spans="1:31" x14ac:dyDescent="0.45">
      <c r="A748" t="str">
        <f>"ТРЕТНИКОВА ТАТЬЯНА ЮРЬЕВНА"</f>
        <v>ТРЕТНИКОВА ТАТЬЯНА ЮРЬЕВНА</v>
      </c>
      <c r="B748" t="str">
        <f>"1978-08-22"</f>
        <v>1978-08-22</v>
      </c>
      <c r="C748" t="str">
        <f>"65 14 847343"</f>
        <v>65 14 847343</v>
      </c>
      <c r="D748" t="str">
        <f>"4854630293214964"</f>
        <v>4854630293214964</v>
      </c>
      <c r="E748" t="str">
        <f>"2020-11-30"</f>
        <v>2020-11-30</v>
      </c>
      <c r="F748" t="str">
        <f t="shared" ref="F748:G754" si="121">"+"</f>
        <v>+</v>
      </c>
      <c r="G748" t="str">
        <f t="shared" si="121"/>
        <v>+</v>
      </c>
      <c r="H748" t="str">
        <f>"40817810716991424706"</f>
        <v>40817810716991424706</v>
      </c>
      <c r="I748" t="str">
        <f>"7003"</f>
        <v>7003</v>
      </c>
      <c r="J748" t="str">
        <f>"0419"</f>
        <v>0419</v>
      </c>
      <c r="K748" t="str">
        <f>"50000.00"</f>
        <v>50000.00</v>
      </c>
      <c r="L748" t="str">
        <f>"620041 ОБЛ СВЕРДЛОВСКАЯ   Г ЕКАТЕРИНБУРГ   УЛ КИСЛОРОДНАЯ д. 16"</f>
        <v>620041 ОБЛ СВЕРДЛОВСКАЯ   Г ЕКАТЕРИНБУРГ   УЛ КИСЛОРОДНАЯ д. 16</v>
      </c>
      <c r="M748" t="str">
        <f t="shared" si="115"/>
        <v>2019-08-24</v>
      </c>
      <c r="N748" t="str">
        <f>"СБЕРБАНК"</f>
        <v>СБЕРБАНК</v>
      </c>
      <c r="O748" t="str">
        <f>"620000"</f>
        <v>620000</v>
      </c>
      <c r="P748" t="str">
        <f>"ОБЛ СВЕРДЛОВСКАЯ"</f>
        <v>ОБЛ СВЕРДЛОВСКАЯ</v>
      </c>
      <c r="Q748" t="str">
        <f>""</f>
        <v/>
      </c>
      <c r="R748" t="str">
        <f>"Г ЕКАТЕРИНБУРГ"</f>
        <v>Г ЕКАТЕРИНБУРГ</v>
      </c>
      <c r="S748" t="str">
        <f>""</f>
        <v/>
      </c>
      <c r="T748" t="str">
        <f>"УЛ УРАЛЬСКАЯ"</f>
        <v>УЛ УРАЛЬСКАЯ</v>
      </c>
      <c r="U748" s="1" t="str">
        <f>"67"</f>
        <v>67</v>
      </c>
      <c r="V748" s="1" t="str">
        <f>""</f>
        <v/>
      </c>
      <c r="W748" s="1" t="str">
        <f>""</f>
        <v/>
      </c>
      <c r="X748" s="1" t="str">
        <f>""</f>
        <v/>
      </c>
      <c r="Y748" s="1" t="str">
        <f>"20"</f>
        <v>20</v>
      </c>
      <c r="Z748" t="str">
        <f>"9126211318"</f>
        <v>9126211318</v>
      </c>
      <c r="AA748" t="str">
        <f>"9126211318"</f>
        <v>9126211318</v>
      </c>
      <c r="AB748" t="str">
        <f>"9126211318"</f>
        <v>9126211318</v>
      </c>
      <c r="AC748" t="str">
        <f>"9126211318"</f>
        <v>9126211318</v>
      </c>
      <c r="AD748" t="str">
        <f>"9126211318"</f>
        <v>9126211318</v>
      </c>
      <c r="AE748" t="str">
        <f>"9126211318"</f>
        <v>9126211318</v>
      </c>
    </row>
    <row r="749" spans="1:31" x14ac:dyDescent="0.45">
      <c r="A749" t="str">
        <f>"АНТУШЕВА ДАРЬЯ ЮРЬЕВНА"</f>
        <v>АНТУШЕВА ДАРЬЯ ЮРЬЕВНА</v>
      </c>
      <c r="B749" t="str">
        <f>"1994-05-27"</f>
        <v>1994-05-27</v>
      </c>
      <c r="C749" t="str">
        <f>"71 14 085517"</f>
        <v>71 14 085517</v>
      </c>
      <c r="D749" t="str">
        <f>"4854630041266795"</f>
        <v>4854630041266795</v>
      </c>
      <c r="E749" t="str">
        <f>"2020-11-30"</f>
        <v>2020-11-30</v>
      </c>
      <c r="F749" t="str">
        <f t="shared" si="121"/>
        <v>+</v>
      </c>
      <c r="G749" t="str">
        <f t="shared" si="121"/>
        <v>+</v>
      </c>
      <c r="H749" t="str">
        <f>"40817810116992501134"</f>
        <v>40817810116992501134</v>
      </c>
      <c r="I749" t="str">
        <f>"8647"</f>
        <v>8647</v>
      </c>
      <c r="J749" t="str">
        <f>"0229"</f>
        <v>0229</v>
      </c>
      <c r="K749" t="str">
        <f>"10000.00"</f>
        <v>10000.00</v>
      </c>
      <c r="L749" t="str">
        <f>"627180 ОБЛ ТЮМЕНСКАЯ Р-Н УПОРОВСКИЙ   С УПОРОВО УЛ ВОЛОДАРСКОГО д. 33"</f>
        <v>627180 ОБЛ ТЮМЕНСКАЯ Р-Н УПОРОВСКИЙ   С УПОРОВО УЛ ВОЛОДАРСКОГО д. 33</v>
      </c>
      <c r="M749" t="str">
        <f t="shared" si="115"/>
        <v>2019-08-24</v>
      </c>
      <c r="N749" t="str">
        <f>"ГБУЗ ТО ОБЛАСТНЯ БОЛЬНИЦА №12"</f>
        <v>ГБУЗ ТО ОБЛАСТНЯ БОЛЬНИЦА №12</v>
      </c>
      <c r="O749" t="str">
        <f>"627180"</f>
        <v>627180</v>
      </c>
      <c r="P749" t="str">
        <f>"ОБЛ ТЮМЕНСКАЯ"</f>
        <v>ОБЛ ТЮМЕНСКАЯ</v>
      </c>
      <c r="Q749" t="str">
        <f>"Р-Н УПОРОВСКИЙ"</f>
        <v>Р-Н УПОРОВСКИЙ</v>
      </c>
      <c r="R749" t="str">
        <f>""</f>
        <v/>
      </c>
      <c r="S749" t="str">
        <f>"С УПОРОВО"</f>
        <v>С УПОРОВО</v>
      </c>
      <c r="T749" t="str">
        <f>"УЛ СИБИРСКАЯ"</f>
        <v>УЛ СИБИРСКАЯ</v>
      </c>
      <c r="U749" s="1" t="str">
        <f>"8"</f>
        <v>8</v>
      </c>
      <c r="V749" s="1" t="str">
        <f>""</f>
        <v/>
      </c>
      <c r="W749" s="1" t="str">
        <f>""</f>
        <v/>
      </c>
      <c r="X749" s="1" t="str">
        <f>""</f>
        <v/>
      </c>
      <c r="Y749" s="1" t="str">
        <f>"9"</f>
        <v>9</v>
      </c>
      <c r="Z749" t="str">
        <f>""</f>
        <v/>
      </c>
      <c r="AA749" t="str">
        <f>"9504805053"</f>
        <v>9504805053</v>
      </c>
      <c r="AB749" t="str">
        <f>"9504941726"</f>
        <v>9504941726</v>
      </c>
      <c r="AC749" t="str">
        <f>"9504805053"</f>
        <v>9504805053</v>
      </c>
      <c r="AD749" t="str">
        <f>"9504941726"</f>
        <v>9504941726</v>
      </c>
      <c r="AE749" t="str">
        <f>""</f>
        <v/>
      </c>
    </row>
    <row r="750" spans="1:31" x14ac:dyDescent="0.45">
      <c r="A750" t="str">
        <f>"БОБРОВА СВЕТЛАНА ВИКТОРОВНА"</f>
        <v>БОБРОВА СВЕТЛАНА ВИКТОРОВНА</v>
      </c>
      <c r="B750" t="str">
        <f>"1965-11-24"</f>
        <v>1965-11-24</v>
      </c>
      <c r="C750" t="str">
        <f>"65 11 046200"</f>
        <v>65 11 046200</v>
      </c>
      <c r="D750" t="str">
        <f>"5313100306991455"</f>
        <v>5313100306991455</v>
      </c>
      <c r="E750" t="str">
        <f>"2020-11-30"</f>
        <v>2020-11-30</v>
      </c>
      <c r="F750" t="str">
        <f t="shared" si="121"/>
        <v>+</v>
      </c>
      <c r="G750" t="str">
        <f t="shared" si="121"/>
        <v>+</v>
      </c>
      <c r="H750" t="str">
        <f>"40817810916991464197"</f>
        <v>40817810916991464197</v>
      </c>
      <c r="I750" t="str">
        <f>"7003"</f>
        <v>7003</v>
      </c>
      <c r="J750" t="str">
        <f>"6201"</f>
        <v>6201</v>
      </c>
      <c r="K750" t="str">
        <f>"110000.00"</f>
        <v>110000.00</v>
      </c>
      <c r="L750" t="str">
        <f>"620000 ОБЛ СВЕРДЛОВСКАЯ   Г ЕКАТЕРИНБУРГ   УЛ ГЕНЕРАЛЬСКАЯ д. 3"</f>
        <v>620000 ОБЛ СВЕРДЛОВСКАЯ   Г ЕКАТЕРИНБУРГ   УЛ ГЕНЕРАЛЬСКАЯ д. 3</v>
      </c>
      <c r="M750" t="str">
        <f t="shared" si="115"/>
        <v>2019-08-24</v>
      </c>
      <c r="N750" t="str">
        <f>"КИНОКОМПАНИЯ СНЕГА"</f>
        <v>КИНОКОМПАНИЯ СНЕГА</v>
      </c>
      <c r="O750" t="str">
        <f>"620000"</f>
        <v>620000</v>
      </c>
      <c r="P750" t="str">
        <f>"ОБЛ СВЕРДЛОВСКАЯ"</f>
        <v>ОБЛ СВЕРДЛОВСКАЯ</v>
      </c>
      <c r="Q750" t="str">
        <f>""</f>
        <v/>
      </c>
      <c r="R750" t="str">
        <f>"Г ЕКАТЕРИНБУРГ"</f>
        <v>Г ЕКАТЕРИНБУРГ</v>
      </c>
      <c r="S750" t="str">
        <f>""</f>
        <v/>
      </c>
      <c r="T750" t="str">
        <f>"УЛ БОЛЬШАКОВА"</f>
        <v>УЛ БОЛЬШАКОВА</v>
      </c>
      <c r="U750" s="1" t="str">
        <f>"17"</f>
        <v>17</v>
      </c>
      <c r="V750" s="1" t="str">
        <f>""</f>
        <v/>
      </c>
      <c r="W750" s="1" t="str">
        <f>""</f>
        <v/>
      </c>
      <c r="X750" s="1" t="str">
        <f>""</f>
        <v/>
      </c>
      <c r="Y750" s="1" t="str">
        <f>"141"</f>
        <v>141</v>
      </c>
      <c r="Z750" t="str">
        <f>""</f>
        <v/>
      </c>
      <c r="AA750" t="str">
        <f>"9126056460"</f>
        <v>9126056460</v>
      </c>
      <c r="AB750" t="str">
        <f>"9126056460"</f>
        <v>9126056460</v>
      </c>
      <c r="AC750" t="str">
        <f>"9126056460"</f>
        <v>9126056460</v>
      </c>
      <c r="AD750" t="str">
        <f>"9126056460"</f>
        <v>9126056460</v>
      </c>
      <c r="AE750" t="str">
        <f>""</f>
        <v/>
      </c>
    </row>
    <row r="751" spans="1:31" x14ac:dyDescent="0.45">
      <c r="A751" t="str">
        <f>"ШИРОКОВ СЕРГЕЙ ВЛАДИМИРОВИЧ"</f>
        <v>ШИРОКОВ СЕРГЕЙ ВЛАДИМИРОВИЧ</v>
      </c>
      <c r="B751" t="str">
        <f>"1980-02-14"</f>
        <v>1980-02-14</v>
      </c>
      <c r="C751" t="str">
        <f>"65 05 236421"</f>
        <v>65 05 236421</v>
      </c>
      <c r="D751" t="str">
        <f>"4276011611117298"</f>
        <v>4276011611117298</v>
      </c>
      <c r="E751" t="str">
        <f>"2022-02-28"</f>
        <v>2022-02-28</v>
      </c>
      <c r="F751" t="str">
        <f t="shared" si="121"/>
        <v>+</v>
      </c>
      <c r="G751" t="str">
        <f t="shared" si="121"/>
        <v>+</v>
      </c>
      <c r="H751" t="str">
        <f>"40817810516991464209"</f>
        <v>40817810516991464209</v>
      </c>
      <c r="I751" t="str">
        <f>"7003"</f>
        <v>7003</v>
      </c>
      <c r="J751" t="str">
        <f>"0839"</f>
        <v>0839</v>
      </c>
      <c r="K751" t="str">
        <f>"25000.00"</f>
        <v>25000.00</v>
      </c>
      <c r="L751" t="str">
        <f>"620000 ОБЛ СВЕРДЛОВСКАЯ   Г КАЧКАНАР   МКР 6А МКРН д. 1А кв. 134"</f>
        <v>620000 ОБЛ СВЕРДЛОВСКАЯ   Г КАЧКАНАР   МКР 6А МКРН д. 1А кв. 134</v>
      </c>
      <c r="M751" t="str">
        <f t="shared" si="115"/>
        <v>2019-08-24</v>
      </c>
      <c r="N751" t="str">
        <f>"ПЕНСИОНЕР"</f>
        <v>ПЕНСИОНЕР</v>
      </c>
      <c r="O751" t="str">
        <f>"620000"</f>
        <v>620000</v>
      </c>
      <c r="P751" t="str">
        <f>"ОБЛ СВЕРДЛОВСКАЯ"</f>
        <v>ОБЛ СВЕРДЛОВСКАЯ</v>
      </c>
      <c r="Q751" t="str">
        <f>""</f>
        <v/>
      </c>
      <c r="R751" t="str">
        <f>"Г КАЧКАНАР"</f>
        <v>Г КАЧКАНАР</v>
      </c>
      <c r="S751" t="str">
        <f>""</f>
        <v/>
      </c>
      <c r="T751" t="str">
        <f>"МКР 6А МИКРОРАЙОН"</f>
        <v>МКР 6А МИКРОРАЙОН</v>
      </c>
      <c r="U751" s="1" t="str">
        <f>"1А"</f>
        <v>1А</v>
      </c>
      <c r="V751" s="1" t="str">
        <f>""</f>
        <v/>
      </c>
      <c r="W751" s="1" t="str">
        <f>""</f>
        <v/>
      </c>
      <c r="X751" s="1" t="str">
        <f>""</f>
        <v/>
      </c>
      <c r="Y751" s="1" t="str">
        <f>"143"</f>
        <v>143</v>
      </c>
      <c r="Z751" t="str">
        <f>""</f>
        <v/>
      </c>
      <c r="AA751" t="str">
        <f>"9920006949"</f>
        <v>9920006949</v>
      </c>
      <c r="AB751" t="str">
        <f>"9530579791"</f>
        <v>9530579791</v>
      </c>
      <c r="AC751" t="str">
        <f>"9920006949"</f>
        <v>9920006949</v>
      </c>
      <c r="AD751" t="str">
        <f>"9530579791"</f>
        <v>9530579791</v>
      </c>
      <c r="AE751" t="str">
        <f>""</f>
        <v/>
      </c>
    </row>
    <row r="752" spans="1:31" x14ac:dyDescent="0.45">
      <c r="A752" t="str">
        <f>"ГУСЕВА ОЛЬГА НИКОЛАЕВНА"</f>
        <v>ГУСЕВА ОЛЬГА НИКОЛАЕВНА</v>
      </c>
      <c r="B752" t="str">
        <f>"1962-05-09"</f>
        <v>1962-05-09</v>
      </c>
      <c r="C752" t="str">
        <f>"80 06 232679"</f>
        <v>80 06 232679</v>
      </c>
      <c r="D752" t="str">
        <f>"4854630416539040"</f>
        <v>4854630416539040</v>
      </c>
      <c r="E752" t="str">
        <f>"2020-09-30"</f>
        <v>2020-09-30</v>
      </c>
      <c r="F752" t="str">
        <f t="shared" si="121"/>
        <v>+</v>
      </c>
      <c r="G752" t="str">
        <f t="shared" si="121"/>
        <v>+</v>
      </c>
      <c r="H752" t="str">
        <f>"40817810316991427886"</f>
        <v>40817810316991427886</v>
      </c>
      <c r="I752" t="str">
        <f>"8598"</f>
        <v>8598</v>
      </c>
      <c r="J752" t="str">
        <f>"0700"</f>
        <v>0700</v>
      </c>
      <c r="K752" t="str">
        <f>"10000.00"</f>
        <v>10000.00</v>
      </c>
      <c r="L752" t="str">
        <f>"450000 РЕСП БАШКОРТОСТАН   Г САЛАВАТ   УЛ КАЛИНИНА д. 37"</f>
        <v>450000 РЕСП БАШКОРТОСТАН   Г САЛАВАТ   УЛ КАЛИНИНА д. 37</v>
      </c>
      <c r="M752" t="str">
        <f t="shared" si="115"/>
        <v>2019-08-24</v>
      </c>
      <c r="N752" t="str">
        <f>"ПЕНСИОННЫЙ ФОНД ГОРОД САЛАВАТ"</f>
        <v>ПЕНСИОННЫЙ ФОНД ГОРОД САЛАВАТ</v>
      </c>
      <c r="O752" t="str">
        <f>"450000"</f>
        <v>450000</v>
      </c>
      <c r="P752" t="str">
        <f>"РЕСП БАШКОРТОСТАН"</f>
        <v>РЕСП БАШКОРТОСТАН</v>
      </c>
      <c r="Q752" t="str">
        <f>""</f>
        <v/>
      </c>
      <c r="R752" t="str">
        <f>"Г САЛАВАТ"</f>
        <v>Г САЛАВАТ</v>
      </c>
      <c r="S752" t="str">
        <f>""</f>
        <v/>
      </c>
      <c r="T752" t="str">
        <f>"УЛ НЕФТЯНИКОВ"</f>
        <v>УЛ НЕФТЯНИКОВ</v>
      </c>
      <c r="U752" s="1" t="str">
        <f>"11"</f>
        <v>11</v>
      </c>
      <c r="V752" s="1" t="str">
        <f>""</f>
        <v/>
      </c>
      <c r="W752" s="1" t="str">
        <f>""</f>
        <v/>
      </c>
      <c r="X752" s="1" t="str">
        <f>""</f>
        <v/>
      </c>
      <c r="Y752" s="1" t="str">
        <f>"7"</f>
        <v>7</v>
      </c>
      <c r="Z752" t="str">
        <f>""</f>
        <v/>
      </c>
      <c r="AA752" t="str">
        <f>"9874717693"</f>
        <v>9874717693</v>
      </c>
      <c r="AB752" t="str">
        <f>"9874717693"</f>
        <v>9874717693</v>
      </c>
      <c r="AC752" t="str">
        <f>"9874717693"</f>
        <v>9874717693</v>
      </c>
      <c r="AD752" t="str">
        <f>"9874717693"</f>
        <v>9874717693</v>
      </c>
      <c r="AE752" t="str">
        <f>""</f>
        <v/>
      </c>
    </row>
    <row r="753" spans="1:31" x14ac:dyDescent="0.45">
      <c r="A753" t="str">
        <f>"БУМАГИНА ТАТЬЯНА СЕРГЕЕВНА"</f>
        <v>БУМАГИНА ТАТЬЯНА СЕРГЕЕВНА</v>
      </c>
      <c r="B753" t="str">
        <f>"1981-09-21"</f>
        <v>1981-09-21</v>
      </c>
      <c r="C753" t="str">
        <f>"37 16 690314"</f>
        <v>37 16 690314</v>
      </c>
      <c r="D753" t="str">
        <f>"4279011658147536"</f>
        <v>4279011658147536</v>
      </c>
      <c r="E753" t="str">
        <f>"2021-05-31"</f>
        <v>2021-05-31</v>
      </c>
      <c r="F753" t="str">
        <f t="shared" si="121"/>
        <v>+</v>
      </c>
      <c r="G753" t="str">
        <f t="shared" si="121"/>
        <v>+</v>
      </c>
      <c r="H753" t="str">
        <f>"40817810816991427920"</f>
        <v>40817810816991427920</v>
      </c>
      <c r="I753" t="str">
        <f>"8599"</f>
        <v>8599</v>
      </c>
      <c r="J753" t="str">
        <f>"0049"</f>
        <v>0049</v>
      </c>
      <c r="K753" t="str">
        <f>"60000.00"</f>
        <v>60000.00</v>
      </c>
      <c r="L753" t="str">
        <f>"641000 ОБЛ КУРГАНСКАЯ   Г КУРГАН   УЛ ДЗЕРЖИНСКОГО д. 35"</f>
        <v>641000 ОБЛ КУРГАНСКАЯ   Г КУРГАН   УЛ ДЗЕРЖИНСКОГО д. 35</v>
      </c>
      <c r="M753" t="str">
        <f t="shared" si="115"/>
        <v>2019-08-24</v>
      </c>
      <c r="N753" t="str">
        <f>"КУРГАНСКИЙ ГОРОДСКОЙ СУД"</f>
        <v>КУРГАНСКИЙ ГОРОДСКОЙ СУД</v>
      </c>
      <c r="O753" t="str">
        <f>"640000"</f>
        <v>640000</v>
      </c>
      <c r="P753" t="str">
        <f>"ОБЛ КУРГАНСКАЯ"</f>
        <v>ОБЛ КУРГАНСКАЯ</v>
      </c>
      <c r="Q753" t="str">
        <f>""</f>
        <v/>
      </c>
      <c r="R753" t="str">
        <f>"Г КУРГАН"</f>
        <v>Г КУРГАН</v>
      </c>
      <c r="S753" t="str">
        <f>""</f>
        <v/>
      </c>
      <c r="T753" t="str">
        <f>"УЛ ТЕХНИЧЕСКАЯ"</f>
        <v>УЛ ТЕХНИЧЕСКАЯ</v>
      </c>
      <c r="U753" s="1" t="str">
        <f>"6"</f>
        <v>6</v>
      </c>
      <c r="V753" s="1" t="str">
        <f>""</f>
        <v/>
      </c>
      <c r="W753" s="1" t="str">
        <f>""</f>
        <v/>
      </c>
      <c r="X753" s="1" t="str">
        <f>""</f>
        <v/>
      </c>
      <c r="Y753" s="1" t="str">
        <f>"4"</f>
        <v>4</v>
      </c>
      <c r="Z753" t="str">
        <f>""</f>
        <v/>
      </c>
      <c r="AA753" t="str">
        <f>"9195615097"</f>
        <v>9195615097</v>
      </c>
      <c r="AB753" t="str">
        <f>"9125769316"</f>
        <v>9125769316</v>
      </c>
      <c r="AC753" t="str">
        <f>"9195615097"</f>
        <v>9195615097</v>
      </c>
      <c r="AD753" t="str">
        <f>"9125769316"</f>
        <v>9125769316</v>
      </c>
      <c r="AE753" t="str">
        <f>""</f>
        <v/>
      </c>
    </row>
    <row r="754" spans="1:31" x14ac:dyDescent="0.45">
      <c r="A754" t="str">
        <f>"ТУЛЫБАЕВ ТИМУР УРАЛОВИЧ"</f>
        <v>ТУЛЫБАЕВ ТИМУР УРАЛОВИЧ</v>
      </c>
      <c r="B754" t="str">
        <f>"1993-01-08"</f>
        <v>1993-01-08</v>
      </c>
      <c r="C754" t="str">
        <f>"80 13 860549"</f>
        <v>80 13 860549</v>
      </c>
      <c r="D754" t="str">
        <f>"4279011692753711"</f>
        <v>4279011692753711</v>
      </c>
      <c r="E754" t="str">
        <f>"2021-05-31"</f>
        <v>2021-05-31</v>
      </c>
      <c r="F754" t="str">
        <f t="shared" si="121"/>
        <v>+</v>
      </c>
      <c r="G754" t="str">
        <f t="shared" si="121"/>
        <v>+</v>
      </c>
      <c r="H754" t="str">
        <f>"40817810416991427922"</f>
        <v>40817810416991427922</v>
      </c>
      <c r="I754" t="str">
        <f>"8598"</f>
        <v>8598</v>
      </c>
      <c r="J754" t="str">
        <f>"0726"</f>
        <v>0726</v>
      </c>
      <c r="K754" t="str">
        <f>"90000.00"</f>
        <v>90000.00</v>
      </c>
      <c r="L754" t="str">
        <f>"450000 РЕСП БАШКОРТОСТАН   Г СИБАЙ   УЛ ИНДУСТРИАЛЬНОЕ ШОССЕ д. 13"</f>
        <v>450000 РЕСП БАШКОРТОСТАН   Г СИБАЙ   УЛ ИНДУСТРИАЛЬНОЕ ШОССЕ д. 13</v>
      </c>
      <c r="M754" t="str">
        <f t="shared" si="115"/>
        <v>2019-08-24</v>
      </c>
      <c r="N754" t="str">
        <f>"ОБОГОТИТЕЛЬНАЯ ФАБРИКА"</f>
        <v>ОБОГОТИТЕЛЬНАЯ ФАБРИКА</v>
      </c>
      <c r="O754" t="str">
        <f>"450000"</f>
        <v>450000</v>
      </c>
      <c r="P754" t="str">
        <f>"РЕСП БАШКОРТОСТАН"</f>
        <v>РЕСП БАШКОРТОСТАН</v>
      </c>
      <c r="Q754" t="str">
        <f>""</f>
        <v/>
      </c>
      <c r="R754" t="str">
        <f>"Г СИБАЙ"</f>
        <v>Г СИБАЙ</v>
      </c>
      <c r="S754" t="str">
        <f>""</f>
        <v/>
      </c>
      <c r="T754" t="str">
        <f>"УЛ ТОЛСТОГО"</f>
        <v>УЛ ТОЛСТОГО</v>
      </c>
      <c r="U754" s="1" t="str">
        <f>"121"</f>
        <v>121</v>
      </c>
      <c r="V754" s="1" t="str">
        <f>""</f>
        <v/>
      </c>
      <c r="W754" s="1" t="str">
        <f>""</f>
        <v/>
      </c>
      <c r="X754" s="1" t="str">
        <f>""</f>
        <v/>
      </c>
      <c r="Y754" s="1" t="str">
        <f>""</f>
        <v/>
      </c>
      <c r="Z754" t="str">
        <f>""</f>
        <v/>
      </c>
      <c r="AA754" t="str">
        <f>"9273440334"</f>
        <v>9273440334</v>
      </c>
      <c r="AB754" t="str">
        <f>"9273440334"</f>
        <v>9273440334</v>
      </c>
      <c r="AC754" t="str">
        <f>"9273440334"</f>
        <v>9273440334</v>
      </c>
      <c r="AD754" t="str">
        <f>"9273440334"</f>
        <v>9273440334</v>
      </c>
      <c r="AE754" t="str">
        <f>""</f>
        <v/>
      </c>
    </row>
    <row r="755" spans="1:31" x14ac:dyDescent="0.45">
      <c r="A755" t="str">
        <f>"БАЗАЕВА ОЛЬГА НИКОЛАЕВНА"</f>
        <v>БАЗАЕВА ОЛЬГА НИКОЛАЕВНА</v>
      </c>
      <c r="B755" t="str">
        <f>"1962-10-15"</f>
        <v>1962-10-15</v>
      </c>
      <c r="C755" t="str">
        <f>"65 07 218426"</f>
        <v>65 07 218426</v>
      </c>
      <c r="D755" t="str">
        <f>"4279011613867285"</f>
        <v>4279011613867285</v>
      </c>
      <c r="E755" t="str">
        <f>"2021-05-31"</f>
        <v>2021-05-31</v>
      </c>
      <c r="F755" t="str">
        <f>"Y"</f>
        <v>Y</v>
      </c>
      <c r="G755" t="str">
        <f>"Q"</f>
        <v>Q</v>
      </c>
      <c r="H755" t="str">
        <f>"40817810716991427923"</f>
        <v>40817810716991427923</v>
      </c>
      <c r="I755" t="str">
        <f>"7003"</f>
        <v>7003</v>
      </c>
      <c r="J755" t="str">
        <f>"0744"</f>
        <v>0744</v>
      </c>
      <c r="K755" t="str">
        <f>"0.00"</f>
        <v>0.00</v>
      </c>
      <c r="L755" t="str">
        <f>"620000 ОБЛ СВЕРДЛОВСКАЯ   Г НИЖНИЙ ТАГИЛ   ПР-КТ ОКТЯБРЬСКИЙ д. 28 кв. 280"</f>
        <v>620000 ОБЛ СВЕРДЛОВСКАЯ   Г НИЖНИЙ ТАГИЛ   ПР-КТ ОКТЯБРЬСКИЙ д. 28 кв. 280</v>
      </c>
      <c r="M755" t="str">
        <f t="shared" si="115"/>
        <v>2019-08-24</v>
      </c>
      <c r="N755" t="str">
        <f>"ПЕНСИОНЕР"</f>
        <v>ПЕНСИОНЕР</v>
      </c>
      <c r="O755" t="str">
        <f>"620000"</f>
        <v>620000</v>
      </c>
      <c r="P755" t="str">
        <f>"ОБЛ СВЕРДЛОВСКАЯ"</f>
        <v>ОБЛ СВЕРДЛОВСКАЯ</v>
      </c>
      <c r="Q755" t="str">
        <f>""</f>
        <v/>
      </c>
      <c r="R755" t="str">
        <f>"Г НИЖНИЙ ТАГИЛ"</f>
        <v>Г НИЖНИЙ ТАГИЛ</v>
      </c>
      <c r="S755" t="str">
        <f>""</f>
        <v/>
      </c>
      <c r="T755" t="str">
        <f>"ПР-КТ ОКТЯБРЬСКИЙ"</f>
        <v>ПР-КТ ОКТЯБРЬСКИЙ</v>
      </c>
      <c r="U755" s="1" t="str">
        <f>"28"</f>
        <v>28</v>
      </c>
      <c r="V755" s="1" t="str">
        <f>""</f>
        <v/>
      </c>
      <c r="W755" s="1" t="str">
        <f>""</f>
        <v/>
      </c>
      <c r="X755" s="1" t="str">
        <f>""</f>
        <v/>
      </c>
      <c r="Y755" s="1" t="str">
        <f>"280"</f>
        <v>280</v>
      </c>
      <c r="Z755" t="str">
        <f>""</f>
        <v/>
      </c>
      <c r="AA755" t="str">
        <f>"9220264647"</f>
        <v>9220264647</v>
      </c>
      <c r="AB755" t="str">
        <f>"9506553013"</f>
        <v>9506553013</v>
      </c>
      <c r="AC755" t="str">
        <f>"9220264647"</f>
        <v>9220264647</v>
      </c>
      <c r="AD755" t="str">
        <f>"9506553013"</f>
        <v>9506553013</v>
      </c>
      <c r="AE755" t="str">
        <f>""</f>
        <v/>
      </c>
    </row>
    <row r="756" spans="1:31" x14ac:dyDescent="0.45">
      <c r="A756" t="str">
        <f>"МЫМРИН ЕВГЕНИЙ СЕРГЕЕВИЧ"</f>
        <v>МЫМРИН ЕВГЕНИЙ СЕРГЕЕВИЧ</v>
      </c>
      <c r="B756" t="str">
        <f>"1982-09-02"</f>
        <v>1982-09-02</v>
      </c>
      <c r="C756" t="str">
        <f>"75 03 759906"</f>
        <v>75 03 759906</v>
      </c>
      <c r="D756" t="str">
        <f>"4276011697217830"</f>
        <v>4276011697217830</v>
      </c>
      <c r="E756" t="str">
        <f>"2021-05-31"</f>
        <v>2021-05-31</v>
      </c>
      <c r="F756" t="str">
        <f>"+"</f>
        <v>+</v>
      </c>
      <c r="G756" t="str">
        <f>"+"</f>
        <v>+</v>
      </c>
      <c r="H756" t="str">
        <f>"40817810016991427924"</f>
        <v>40817810016991427924</v>
      </c>
      <c r="I756" t="str">
        <f>"8597"</f>
        <v>8597</v>
      </c>
      <c r="J756" t="str">
        <f>"0319"</f>
        <v>0319</v>
      </c>
      <c r="K756" t="str">
        <f>"60000.00"</f>
        <v>60000.00</v>
      </c>
      <c r="L756" t="str">
        <f>"456082 ОБЛ ЧЕЛЯБИНСКАЯ   Г ТРЕХГОРНЫЙ   УЛ ЗАРЕЧНАЯ д. 10"</f>
        <v>456082 ОБЛ ЧЕЛЯБИНСКАЯ   Г ТРЕХГОРНЫЙ   УЛ ЗАРЕЧНАЯ д. 10</v>
      </c>
      <c r="M756" t="str">
        <f t="shared" si="115"/>
        <v>2019-08-24</v>
      </c>
      <c r="N756" t="str">
        <f>"ВЧ 3442"</f>
        <v>ВЧ 3442</v>
      </c>
      <c r="O756" t="str">
        <f>"456110"</f>
        <v>456110</v>
      </c>
      <c r="P756" t="str">
        <f>"ОБЛ ЧЕЛЯБИНСКАЯ"</f>
        <v>ОБЛ ЧЕЛЯБИНСКАЯ</v>
      </c>
      <c r="Q756" t="str">
        <f>"Р-Н КАТАВ-ИВАНОВСКИЙ"</f>
        <v>Р-Н КАТАВ-ИВАНОВСКИЙ</v>
      </c>
      <c r="R756" t="str">
        <f>"Г КАТАВ-ИВАНОВСК"</f>
        <v>Г КАТАВ-ИВАНОВСК</v>
      </c>
      <c r="S756" t="str">
        <f>""</f>
        <v/>
      </c>
      <c r="T756" t="str">
        <f>"УЛ УРАЛЬСКАЯ"</f>
        <v>УЛ УРАЛЬСКАЯ</v>
      </c>
      <c r="U756" s="1" t="str">
        <f>"36"</f>
        <v>36</v>
      </c>
      <c r="V756" s="1" t="str">
        <f>""</f>
        <v/>
      </c>
      <c r="W756" s="1" t="str">
        <f>""</f>
        <v/>
      </c>
      <c r="X756" s="1" t="str">
        <f>""</f>
        <v/>
      </c>
      <c r="Y756" s="1" t="str">
        <f>""</f>
        <v/>
      </c>
      <c r="Z756" t="str">
        <f>""</f>
        <v/>
      </c>
      <c r="AA756" t="str">
        <f>"9822864182"</f>
        <v>9822864182</v>
      </c>
      <c r="AB756" t="str">
        <f>"9222350858"</f>
        <v>9222350858</v>
      </c>
      <c r="AC756" t="str">
        <f>"9193147412"</f>
        <v>9193147412</v>
      </c>
      <c r="AD756" t="str">
        <f>"9822864182"</f>
        <v>9822864182</v>
      </c>
      <c r="AE756" t="str">
        <f>""</f>
        <v/>
      </c>
    </row>
    <row r="757" spans="1:31" x14ac:dyDescent="0.45">
      <c r="A757" t="str">
        <f>"ПУНЕГОВА ЮЛИЯ АЛЕКСАНДРОВНА"</f>
        <v>ПУНЕГОВА ЮЛИЯ АЛЕКСАНДРОВНА</v>
      </c>
      <c r="B757" t="str">
        <f>"1984-03-16"</f>
        <v>1984-03-16</v>
      </c>
      <c r="C757" t="str">
        <f>"65 12 472859"</f>
        <v>65 12 472859</v>
      </c>
      <c r="D757" t="str">
        <f>"4817810007555987"</f>
        <v>4817810007555987</v>
      </c>
      <c r="E757" t="str">
        <f>"2021-05-31"</f>
        <v>2021-05-31</v>
      </c>
      <c r="F757" t="str">
        <f>"Q"</f>
        <v>Q</v>
      </c>
      <c r="G757" t="str">
        <f>"Q"</f>
        <v>Q</v>
      </c>
      <c r="H757" t="str">
        <f>"40817810916991427927"</f>
        <v>40817810916991427927</v>
      </c>
      <c r="I757" t="str">
        <f>"7003"</f>
        <v>7003</v>
      </c>
      <c r="J757" t="str">
        <f>"0606"</f>
        <v>0606</v>
      </c>
      <c r="K757" t="str">
        <f>"0.00"</f>
        <v>0.00</v>
      </c>
      <c r="L757" t="str">
        <f>"620078 ОБЛ СВЕРДЛОВСКАЯ   Г ЕКАТЕРИНБУРГ   ПЕР ОТДЕЛЬНЫЙ д. 3"</f>
        <v>620078 ОБЛ СВЕРДЛОВСКАЯ   Г ЕКАТЕРИНБУРГ   ПЕР ОТДЕЛЬНЫЙ д. 3</v>
      </c>
      <c r="M757" t="str">
        <f t="shared" si="115"/>
        <v>2019-08-24</v>
      </c>
      <c r="N757" t="str">
        <f>"РОСПОТРЕБНАДЗОР"</f>
        <v>РОСПОТРЕБНАДЗОР</v>
      </c>
      <c r="O757" t="str">
        <f>"410000"</f>
        <v>410000</v>
      </c>
      <c r="P757" t="str">
        <f>"ОБЛ САРАТОВСКАЯ"</f>
        <v>ОБЛ САРАТОВСКАЯ</v>
      </c>
      <c r="Q757" t="str">
        <f>""</f>
        <v/>
      </c>
      <c r="R757" t="str">
        <f>"Г КАМЫШЛОВ"</f>
        <v>Г КАМЫШЛОВ</v>
      </c>
      <c r="S757" t="str">
        <f>""</f>
        <v/>
      </c>
      <c r="T757" t="str">
        <f>"УЛ ЛЕНИНА"</f>
        <v>УЛ ЛЕНИНА</v>
      </c>
      <c r="U757" s="1" t="str">
        <f>"6"</f>
        <v>6</v>
      </c>
      <c r="V757" s="1" t="str">
        <f>""</f>
        <v/>
      </c>
      <c r="W757" s="1" t="str">
        <f>""</f>
        <v/>
      </c>
      <c r="X757" s="1" t="str">
        <f>""</f>
        <v/>
      </c>
      <c r="Y757" s="1" t="str">
        <f>"9"</f>
        <v>9</v>
      </c>
      <c r="Z757" t="str">
        <f>"3437520990"</f>
        <v>3437520990</v>
      </c>
      <c r="AA757" t="str">
        <f>"9530026458"</f>
        <v>9530026458</v>
      </c>
      <c r="AB757" t="str">
        <f>"9530026458"</f>
        <v>9530026458</v>
      </c>
      <c r="AC757" t="str">
        <f>"9530026970"</f>
        <v>9530026970</v>
      </c>
      <c r="AD757" t="str">
        <f>"9320026458"</f>
        <v>9320026458</v>
      </c>
      <c r="AE757" t="str">
        <f>"3437520990"</f>
        <v>3437520990</v>
      </c>
    </row>
    <row r="758" spans="1:31" x14ac:dyDescent="0.45">
      <c r="A758" t="str">
        <f>"РИЗАТДИНОВ НАИЛЬ БИКТИМЕРОВИЧ"</f>
        <v>РИЗАТДИНОВ НАИЛЬ БИКТИМЕРОВИЧ</v>
      </c>
      <c r="B758" t="str">
        <f>"1966-09-18"</f>
        <v>1966-09-18</v>
      </c>
      <c r="C758" t="str">
        <f>"75 12 002053"</f>
        <v>75 12 002053</v>
      </c>
      <c r="D758" t="str">
        <f>"4854630382976143"</f>
        <v>4854630382976143</v>
      </c>
      <c r="E758" t="str">
        <f>"2021-04-30"</f>
        <v>2021-04-30</v>
      </c>
      <c r="F758" t="str">
        <f t="shared" ref="F758:G761" si="122">"+"</f>
        <v>+</v>
      </c>
      <c r="G758" t="str">
        <f t="shared" si="122"/>
        <v>+</v>
      </c>
      <c r="H758" t="str">
        <f>"40817810516991464131"</f>
        <v>40817810516991464131</v>
      </c>
      <c r="I758" t="str">
        <f>"8597"</f>
        <v>8597</v>
      </c>
      <c r="J758" t="str">
        <f>"0331"</f>
        <v>0331</v>
      </c>
      <c r="K758" t="str">
        <f>"25000.00"</f>
        <v>25000.00</v>
      </c>
      <c r="L758" t="str">
        <f>"454000 ОБЛ ЧЕЛЯБИНСКАЯ   Г МАГНИТОГОРСК   УЛ СОВЕТСКАЯ д. 161"</f>
        <v>454000 ОБЛ ЧЕЛЯБИНСКАЯ   Г МАГНИТОГОРСК   УЛ СОВЕТСКАЯ д. 161</v>
      </c>
      <c r="M758" t="str">
        <f t="shared" si="115"/>
        <v>2019-08-24</v>
      </c>
      <c r="N758" t="str">
        <f>"М ФИТНЕС"</f>
        <v>М ФИТНЕС</v>
      </c>
      <c r="O758" t="str">
        <f>"454000"</f>
        <v>454000</v>
      </c>
      <c r="P758" t="str">
        <f>"ОБЛ ЧЕЛЯБИНСКАЯ"</f>
        <v>ОБЛ ЧЕЛЯБИНСКАЯ</v>
      </c>
      <c r="Q758" t="str">
        <f>""</f>
        <v/>
      </c>
      <c r="R758" t="str">
        <f>"Г МАГНИТОГОРСК"</f>
        <v>Г МАГНИТОГОРСК</v>
      </c>
      <c r="S758" t="str">
        <f>""</f>
        <v/>
      </c>
      <c r="T758" t="str">
        <f>"УЛ ДРУЖБЫ"</f>
        <v>УЛ ДРУЖБЫ</v>
      </c>
      <c r="U758" s="1" t="str">
        <f>"26"</f>
        <v>26</v>
      </c>
      <c r="V758" s="1" t="str">
        <f>""</f>
        <v/>
      </c>
      <c r="W758" s="1" t="str">
        <f>""</f>
        <v/>
      </c>
      <c r="X758" s="1" t="str">
        <f>""</f>
        <v/>
      </c>
      <c r="Y758" s="1" t="str">
        <f>"47"</f>
        <v>47</v>
      </c>
      <c r="Z758" t="str">
        <f>""</f>
        <v/>
      </c>
      <c r="AA758" t="str">
        <f>"9026155216"</f>
        <v>9026155216</v>
      </c>
      <c r="AB758" t="str">
        <f>"9002865820"</f>
        <v>9002865820</v>
      </c>
      <c r="AC758" t="str">
        <f>"9026155216"</f>
        <v>9026155216</v>
      </c>
      <c r="AD758" t="str">
        <f>"9514481186"</f>
        <v>9514481186</v>
      </c>
      <c r="AE758" t="str">
        <f>""</f>
        <v/>
      </c>
    </row>
    <row r="759" spans="1:31" x14ac:dyDescent="0.45">
      <c r="A759" t="str">
        <f>"ШУБИН АЛЕКСАНДР АЛЕКСАНДРОВИЧ"</f>
        <v>ШУБИН АЛЕКСАНДР АЛЕКСАНДРОВИЧ</v>
      </c>
      <c r="B759" t="str">
        <f>"1955-06-30"</f>
        <v>1955-06-30</v>
      </c>
      <c r="C759" t="str">
        <f>"65 02 641779"</f>
        <v>65 02 641779</v>
      </c>
      <c r="D759" t="str">
        <f>"4854630382697814"</f>
        <v>4854630382697814</v>
      </c>
      <c r="E759" t="str">
        <f>"2021-04-30"</f>
        <v>2021-04-30</v>
      </c>
      <c r="F759" t="str">
        <f t="shared" si="122"/>
        <v>+</v>
      </c>
      <c r="G759" t="str">
        <f t="shared" si="122"/>
        <v>+</v>
      </c>
      <c r="H759" t="str">
        <f>"40817810916991464139"</f>
        <v>40817810916991464139</v>
      </c>
      <c r="I759" t="str">
        <f>"7003"</f>
        <v>7003</v>
      </c>
      <c r="J759" t="str">
        <f>"0733"</f>
        <v>0733</v>
      </c>
      <c r="K759" t="str">
        <f>"13000.00"</f>
        <v>13000.00</v>
      </c>
      <c r="L759" t="str">
        <f>"622000 ОБЛ СВЕРДЛОВСКАЯ   Г НИЖНИЙ ТАГИЛ   ПР-КТ ОКТЯБРЬСКИЙ д. 28 кв. 152"</f>
        <v>622000 ОБЛ СВЕРДЛОВСКАЯ   Г НИЖНИЙ ТАГИЛ   ПР-КТ ОКТЯБРЬСКИЙ д. 28 кв. 152</v>
      </c>
      <c r="M759" t="str">
        <f t="shared" si="115"/>
        <v>2019-08-24</v>
      </c>
      <c r="N759" t="str">
        <f>"ПФ РФ"</f>
        <v>ПФ РФ</v>
      </c>
      <c r="O759" t="str">
        <f>"622000"</f>
        <v>622000</v>
      </c>
      <c r="P759" t="str">
        <f>"ОБЛ СВЕРДЛОВСКАЯ"</f>
        <v>ОБЛ СВЕРДЛОВСКАЯ</v>
      </c>
      <c r="Q759" t="str">
        <f>""</f>
        <v/>
      </c>
      <c r="R759" t="str">
        <f>"Г НИЖНИЙ ТАГИЛ"</f>
        <v>Г НИЖНИЙ ТАГИЛ</v>
      </c>
      <c r="S759" t="str">
        <f>""</f>
        <v/>
      </c>
      <c r="T759" t="str">
        <f>"УЛ МЕТАЛЛУРГОВ"</f>
        <v>УЛ МЕТАЛЛУРГОВ</v>
      </c>
      <c r="U759" s="1" t="str">
        <f>"52"</f>
        <v>52</v>
      </c>
      <c r="V759" s="1" t="str">
        <f>""</f>
        <v/>
      </c>
      <c r="W759" s="1" t="str">
        <f>""</f>
        <v/>
      </c>
      <c r="X759" s="1" t="str">
        <f>""</f>
        <v/>
      </c>
      <c r="Y759" s="1" t="str">
        <f>"54"</f>
        <v>54</v>
      </c>
      <c r="Z759" t="str">
        <f>""</f>
        <v/>
      </c>
      <c r="AA759" t="str">
        <f>"9126792692"</f>
        <v>9126792692</v>
      </c>
      <c r="AB759" t="str">
        <f>"9126792691"</f>
        <v>9126792691</v>
      </c>
      <c r="AC759" t="str">
        <f>"9126792692"</f>
        <v>9126792692</v>
      </c>
      <c r="AD759" t="str">
        <f>"9126792691"</f>
        <v>9126792691</v>
      </c>
      <c r="AE759" t="str">
        <f>""</f>
        <v/>
      </c>
    </row>
    <row r="760" spans="1:31" x14ac:dyDescent="0.45">
      <c r="A760" t="str">
        <f>"СМИРНОВ ИГОРЬ БОРИСОВИЧ"</f>
        <v>СМИРНОВ ИГОРЬ БОРИСОВИЧ</v>
      </c>
      <c r="B760" t="str">
        <f>"1971-05-22"</f>
        <v>1971-05-22</v>
      </c>
      <c r="C760" t="str">
        <f>"75 16 816737"</f>
        <v>75 16 816737</v>
      </c>
      <c r="D760" t="str">
        <f>"4854630238771110"</f>
        <v>4854630238771110</v>
      </c>
      <c r="E760" t="str">
        <f>"2019-12-31"</f>
        <v>2019-12-31</v>
      </c>
      <c r="F760" t="str">
        <f t="shared" si="122"/>
        <v>+</v>
      </c>
      <c r="G760" t="str">
        <f t="shared" si="122"/>
        <v>+</v>
      </c>
      <c r="H760" t="str">
        <f>"40817810316991464140"</f>
        <v>40817810316991464140</v>
      </c>
      <c r="I760" t="str">
        <f>"8597"</f>
        <v>8597</v>
      </c>
      <c r="J760" t="str">
        <f>"0283"</f>
        <v>0283</v>
      </c>
      <c r="K760" t="str">
        <f>"155000.00"</f>
        <v>155000.00</v>
      </c>
      <c r="L760" t="str">
        <f>"454000 ОБЛ ЧЕЛЯБИНСКАЯ   Г ЧЕЛЯБИНСК   ТРАКТ ТРОИЦКИЙ д. 21И"</f>
        <v>454000 ОБЛ ЧЕЛЯБИНСКАЯ   Г ЧЕЛЯБИНСК   ТРАКТ ТРОИЦКИЙ д. 21И</v>
      </c>
      <c r="M760" t="str">
        <f t="shared" si="115"/>
        <v>2019-08-24</v>
      </c>
      <c r="N760" t="str">
        <f>"ООО ЛЕГИОНЕР"</f>
        <v>ООО ЛЕГИОНЕР</v>
      </c>
      <c r="O760" t="str">
        <f>"454000"</f>
        <v>454000</v>
      </c>
      <c r="P760" t="str">
        <f>"ОБЛ ЧЕЛЯБИНСКАЯ"</f>
        <v>ОБЛ ЧЕЛЯБИНСКАЯ</v>
      </c>
      <c r="Q760" t="str">
        <f>""</f>
        <v/>
      </c>
      <c r="R760" t="str">
        <f>"Г МИАСС"</f>
        <v>Г МИАСС</v>
      </c>
      <c r="S760" t="str">
        <f>""</f>
        <v/>
      </c>
      <c r="T760" t="str">
        <f>"ПР-КТ МАКЕЕВА"</f>
        <v>ПР-КТ МАКЕЕВА</v>
      </c>
      <c r="U760" s="1" t="str">
        <f>"46"</f>
        <v>46</v>
      </c>
      <c r="V760" s="1" t="str">
        <f>""</f>
        <v/>
      </c>
      <c r="W760" s="1" t="str">
        <f>""</f>
        <v/>
      </c>
      <c r="X760" s="1" t="str">
        <f>""</f>
        <v/>
      </c>
      <c r="Y760" s="1" t="str">
        <f>"46"</f>
        <v>46</v>
      </c>
      <c r="Z760" t="str">
        <f>""</f>
        <v/>
      </c>
      <c r="AA760" t="str">
        <f>"9193190239"</f>
        <v>9193190239</v>
      </c>
      <c r="AB760" t="str">
        <f>"9193190239"</f>
        <v>9193190239</v>
      </c>
      <c r="AC760" t="str">
        <f>"9193190239"</f>
        <v>9193190239</v>
      </c>
      <c r="AD760" t="str">
        <f>"9193190239"</f>
        <v>9193190239</v>
      </c>
      <c r="AE760" t="str">
        <f>""</f>
        <v/>
      </c>
    </row>
    <row r="761" spans="1:31" x14ac:dyDescent="0.45">
      <c r="A761" t="str">
        <f>"ЯЗЕВ ВЛАДИМИР АФАНАСЬЕВИЧ"</f>
        <v>ЯЗЕВ ВЛАДИМИР АФАНАСЬЕВИЧ</v>
      </c>
      <c r="B761" t="str">
        <f>"1961-06-28"</f>
        <v>1961-06-28</v>
      </c>
      <c r="C761" t="str">
        <f>"65 06 894360"</f>
        <v>65 06 894360</v>
      </c>
      <c r="D761" t="str">
        <f>"4854630358843467"</f>
        <v>4854630358843467</v>
      </c>
      <c r="E761" t="str">
        <f>"2021-05-31"</f>
        <v>2021-05-31</v>
      </c>
      <c r="F761" t="str">
        <f t="shared" si="122"/>
        <v>+</v>
      </c>
      <c r="G761" t="str">
        <f t="shared" si="122"/>
        <v>+</v>
      </c>
      <c r="H761" t="str">
        <f>"40817810616991464141"</f>
        <v>40817810616991464141</v>
      </c>
      <c r="I761" t="str">
        <f>"7003"</f>
        <v>7003</v>
      </c>
      <c r="J761" t="str">
        <f>"0457"</f>
        <v>0457</v>
      </c>
      <c r="K761" t="str">
        <f>"10000.00"</f>
        <v>10000.00</v>
      </c>
      <c r="L761" t="str">
        <f>"620000 ОБЛ СВЕРДЛОВСКАЯ   Г ЕКАТЕРИНБУРГ   УЛ НОВИНСКАЯ д. 17"</f>
        <v>620000 ОБЛ СВЕРДЛОВСКАЯ   Г ЕКАТЕРИНБУРГ   УЛ НОВИНСКАЯ д. 17</v>
      </c>
      <c r="M761" t="str">
        <f t="shared" si="115"/>
        <v>2019-08-24</v>
      </c>
      <c r="N761" t="str">
        <f>"ООО ЕКТ"</f>
        <v>ООО ЕКТ</v>
      </c>
      <c r="O761" t="str">
        <f>"620000"</f>
        <v>620000</v>
      </c>
      <c r="P761" t="str">
        <f>"ОБЛ СВЕРДЛОВСКАЯ"</f>
        <v>ОБЛ СВЕРДЛОВСКАЯ</v>
      </c>
      <c r="Q761" t="str">
        <f>""</f>
        <v/>
      </c>
      <c r="R761" t="str">
        <f>"Г ЕКАТЕРИНБУРГ"</f>
        <v>Г ЕКАТЕРИНБУРГ</v>
      </c>
      <c r="S761" t="str">
        <f>""</f>
        <v/>
      </c>
      <c r="T761" t="str">
        <f>"ПЕР КОРОТКИЙ"</f>
        <v>ПЕР КОРОТКИЙ</v>
      </c>
      <c r="U761" s="1" t="str">
        <f>"15/18"</f>
        <v>15/18</v>
      </c>
      <c r="V761" s="1" t="str">
        <f>""</f>
        <v/>
      </c>
      <c r="W761" s="1" t="str">
        <f>""</f>
        <v/>
      </c>
      <c r="X761" s="1" t="str">
        <f>""</f>
        <v/>
      </c>
      <c r="Y761" s="1" t="str">
        <f>"99"</f>
        <v>99</v>
      </c>
      <c r="Z761" t="str">
        <f>"9068033175"</f>
        <v>9068033175</v>
      </c>
      <c r="AA761" t="str">
        <f>"9068033175"</f>
        <v>9068033175</v>
      </c>
      <c r="AB761" t="str">
        <f>"9068033175"</f>
        <v>9068033175</v>
      </c>
      <c r="AC761" t="str">
        <f>"9068033175"</f>
        <v>9068033175</v>
      </c>
      <c r="AD761" t="str">
        <f>"9068033175"</f>
        <v>9068033175</v>
      </c>
      <c r="AE761" t="str">
        <f>"9068033175"</f>
        <v>9068033175</v>
      </c>
    </row>
    <row r="762" spans="1:31" x14ac:dyDescent="0.45">
      <c r="A762" t="str">
        <f>"ЖУМАШЕВ СЕРГЕЙ НИКОЛАЕВИЧ"</f>
        <v>ЖУМАШЕВ СЕРГЕЙ НИКОЛАЕВИЧ</v>
      </c>
      <c r="B762" t="str">
        <f>"1970-12-06"</f>
        <v>1970-12-06</v>
      </c>
      <c r="C762" t="str">
        <f>"63 15 172939"</f>
        <v>63 15 172939</v>
      </c>
      <c r="D762" t="str">
        <f>"4854630375612796"</f>
        <v>4854630375612796</v>
      </c>
      <c r="E762" t="str">
        <f>"2021-04-30"</f>
        <v>2021-04-30</v>
      </c>
      <c r="F762" t="str">
        <f>"K"</f>
        <v>K</v>
      </c>
      <c r="G762" t="str">
        <f>"+"</f>
        <v>+</v>
      </c>
      <c r="H762" t="str">
        <f>"40817810116992454896"</f>
        <v>40817810116992454896</v>
      </c>
      <c r="I762" t="str">
        <f>"8647"</f>
        <v>8647</v>
      </c>
      <c r="J762" t="str">
        <f>"0288"</f>
        <v>0288</v>
      </c>
      <c r="K762" t="str">
        <f>"17000.00"</f>
        <v>17000.00</v>
      </c>
      <c r="L762" t="str">
        <f>"626150 ОБЛ ТЮМЕНСКАЯ   Г ТОБОЛЬСК   ТЕР ПРОМКОМЗОНА"</f>
        <v>626150 ОБЛ ТЮМЕНСКАЯ   Г ТОБОЛЬСК   ТЕР ПРОМКОМЗОНА</v>
      </c>
      <c r="M762" t="str">
        <f t="shared" si="115"/>
        <v>2019-08-24</v>
      </c>
      <c r="N762" t="str">
        <f>"ОАО РЕНЕССАНС"</f>
        <v>ОАО РЕНЕССАНС</v>
      </c>
      <c r="O762" t="str">
        <f>"410000"</f>
        <v>410000</v>
      </c>
      <c r="P762" t="str">
        <f>"ОБЛ САРАТОВСКАЯ"</f>
        <v>ОБЛ САРАТОВСКАЯ</v>
      </c>
      <c r="Q762" t="str">
        <f>"Р-Н КРАСНОПАРТИЗАНСКИЙ"</f>
        <v>Р-Н КРАСНОПАРТИЗАНСКИЙ</v>
      </c>
      <c r="R762" t="str">
        <f>"РП ГОРНЫЙ"</f>
        <v>РП ГОРНЫЙ</v>
      </c>
      <c r="S762" t="str">
        <f>""</f>
        <v/>
      </c>
      <c r="T762" t="str">
        <f>"УЛ ВОСТОЧНАЯ"</f>
        <v>УЛ ВОСТОЧНАЯ</v>
      </c>
      <c r="U762" s="1" t="str">
        <f>"35"</f>
        <v>35</v>
      </c>
      <c r="V762" s="1" t="str">
        <f>""</f>
        <v/>
      </c>
      <c r="W762" s="1" t="str">
        <f>""</f>
        <v/>
      </c>
      <c r="X762" s="1" t="str">
        <f>""</f>
        <v/>
      </c>
      <c r="Y762" s="1" t="str">
        <f>""</f>
        <v/>
      </c>
      <c r="Z762" t="str">
        <f>"3456267724"</f>
        <v>3456267724</v>
      </c>
      <c r="AA762" t="str">
        <f>"9271076790"</f>
        <v>9271076790</v>
      </c>
      <c r="AB762" t="str">
        <f>"9376348716"</f>
        <v>9376348716</v>
      </c>
      <c r="AC762" t="str">
        <f>"9271076790"</f>
        <v>9271076790</v>
      </c>
      <c r="AD762" t="str">
        <f>"9376348716"</f>
        <v>9376348716</v>
      </c>
      <c r="AE762" t="str">
        <f>""</f>
        <v/>
      </c>
    </row>
    <row r="763" spans="1:31" x14ac:dyDescent="0.45">
      <c r="A763" t="str">
        <f>"ПЕРМИТИНА НАТАЛЬЯ ПЛАТОНОВНА"</f>
        <v>ПЕРМИТИНА НАТАЛЬЯ ПЛАТОНОВНА</v>
      </c>
      <c r="B763" t="str">
        <f>"1959-11-08"</f>
        <v>1959-11-08</v>
      </c>
      <c r="C763" t="str">
        <f>"65 06 894280"</f>
        <v>65 06 894280</v>
      </c>
      <c r="D763" t="str">
        <f>"4854630200030743"</f>
        <v>4854630200030743</v>
      </c>
      <c r="E763" t="str">
        <f>"2021-04-30"</f>
        <v>2021-04-30</v>
      </c>
      <c r="F763" t="str">
        <f>"+"</f>
        <v>+</v>
      </c>
      <c r="G763" t="str">
        <f>"+"</f>
        <v>+</v>
      </c>
      <c r="H763" t="str">
        <f>"40817810916991464142"</f>
        <v>40817810916991464142</v>
      </c>
      <c r="I763" t="str">
        <f>"7003"</f>
        <v>7003</v>
      </c>
      <c r="J763" t="str">
        <f>"0460"</f>
        <v>0460</v>
      </c>
      <c r="K763" t="str">
        <f>"25000.00"</f>
        <v>25000.00</v>
      </c>
      <c r="L763" t="str">
        <f>"620000 ОБЛ СВЕРДЛОВСКАЯ   Г ЕКАТЕРИНБУРГ   УЛ РЯБИНА д. 19 кв. 331"</f>
        <v>620000 ОБЛ СВЕРДЛОВСКАЯ   Г ЕКАТЕРИНБУРГ   УЛ РЯБИНА д. 19 кв. 331</v>
      </c>
      <c r="M763" t="str">
        <f t="shared" si="115"/>
        <v>2019-08-24</v>
      </c>
      <c r="N763" t="str">
        <f>"ПЕНСИОНЕР"</f>
        <v>ПЕНСИОНЕР</v>
      </c>
      <c r="O763" t="str">
        <f>"620000"</f>
        <v>620000</v>
      </c>
      <c r="P763" t="str">
        <f>"ОБЛ СВЕРДЛОВСКАЯ"</f>
        <v>ОБЛ СВЕРДЛОВСКАЯ</v>
      </c>
      <c r="Q763" t="str">
        <f>""</f>
        <v/>
      </c>
      <c r="R763" t="str">
        <f>"Г ЕКАТЕРИНБУРГ"</f>
        <v>Г ЕКАТЕРИНБУРГ</v>
      </c>
      <c r="S763" t="str">
        <f>""</f>
        <v/>
      </c>
      <c r="T763" t="str">
        <f>"УЛ РЯБИНИНА"</f>
        <v>УЛ РЯБИНИНА</v>
      </c>
      <c r="U763" s="1" t="str">
        <f>"19"</f>
        <v>19</v>
      </c>
      <c r="V763" s="1" t="str">
        <f>""</f>
        <v/>
      </c>
      <c r="W763" s="1" t="str">
        <f>""</f>
        <v/>
      </c>
      <c r="X763" s="1" t="str">
        <f>""</f>
        <v/>
      </c>
      <c r="Y763" s="1" t="str">
        <f>"331"</f>
        <v>331</v>
      </c>
      <c r="Z763" t="str">
        <f>""</f>
        <v/>
      </c>
      <c r="AA763" t="str">
        <f>"9193816543"</f>
        <v>9193816543</v>
      </c>
      <c r="AB763" t="str">
        <f>"9193816543"</f>
        <v>9193816543</v>
      </c>
      <c r="AC763" t="str">
        <f>"9193816543"</f>
        <v>9193816543</v>
      </c>
      <c r="AD763" t="str">
        <f>"9193816543"</f>
        <v>9193816543</v>
      </c>
      <c r="AE763" t="str">
        <f>""</f>
        <v/>
      </c>
    </row>
    <row r="764" spans="1:31" x14ac:dyDescent="0.45">
      <c r="A764" t="str">
        <f>"ЧЕРНЯВСКАЯ ДАРЬЯ НИКОЛАЕВНА"</f>
        <v>ЧЕРНЯВСКАЯ ДАРЬЯ НИКОЛАЕВНА</v>
      </c>
      <c r="B764" t="str">
        <f>"1991-09-26"</f>
        <v>1991-09-26</v>
      </c>
      <c r="C764" t="str">
        <f>"67 11 183653"</f>
        <v>67 11 183653</v>
      </c>
      <c r="D764" t="str">
        <f>"4854630375034611"</f>
        <v>4854630375034611</v>
      </c>
      <c r="E764" t="str">
        <f>"2021-04-30"</f>
        <v>2021-04-30</v>
      </c>
      <c r="F764" t="str">
        <f>"+"</f>
        <v>+</v>
      </c>
      <c r="G764" t="str">
        <f>"+"</f>
        <v>+</v>
      </c>
      <c r="H764" t="str">
        <f>"40817810216992066799"</f>
        <v>40817810216992066799</v>
      </c>
      <c r="I764" t="str">
        <f>"5940"</f>
        <v>5940</v>
      </c>
      <c r="J764" t="str">
        <f>"0112"</f>
        <v>0112</v>
      </c>
      <c r="K764" t="str">
        <f>"100000.00"</f>
        <v>100000.00</v>
      </c>
      <c r="L764" t="str">
        <f>"628600 ОБЛ ТЮМЕНСКАЯ   Г НИЖНЕВАРТОВСК   УЛ МИРА д. 15 кв. 58"</f>
        <v>628600 ОБЛ ТЮМЕНСКАЯ   Г НИЖНЕВАРТОВСК   УЛ МИРА д. 15 кв. 58</v>
      </c>
      <c r="M764" t="str">
        <f t="shared" si="115"/>
        <v>2019-08-24</v>
      </c>
      <c r="N764" t="str">
        <f>"НЕ РАБОТАЕТ"</f>
        <v>НЕ РАБОТАЕТ</v>
      </c>
      <c r="O764" t="str">
        <f>"628600"</f>
        <v>628600</v>
      </c>
      <c r="P764" t="str">
        <f>"ОБЛ ТЮМЕНСКАЯ"</f>
        <v>ОБЛ ТЮМЕНСКАЯ</v>
      </c>
      <c r="Q764" t="str">
        <f>""</f>
        <v/>
      </c>
      <c r="R764" t="str">
        <f>"Г НИЖНЕВАРТОВСК"</f>
        <v>Г НИЖНЕВАРТОВСК</v>
      </c>
      <c r="S764" t="str">
        <f>""</f>
        <v/>
      </c>
      <c r="T764" t="str">
        <f>"УЛ МИРА"</f>
        <v>УЛ МИРА</v>
      </c>
      <c r="U764" s="1" t="str">
        <f>"15"</f>
        <v>15</v>
      </c>
      <c r="V764" s="1" t="str">
        <f>""</f>
        <v/>
      </c>
      <c r="W764" s="1" t="str">
        <f>""</f>
        <v/>
      </c>
      <c r="X764" s="1" t="str">
        <f>""</f>
        <v/>
      </c>
      <c r="Y764" s="1" t="str">
        <f>"58"</f>
        <v>58</v>
      </c>
      <c r="Z764" t="str">
        <f>""</f>
        <v/>
      </c>
      <c r="AA764" t="str">
        <f>"9822293118"</f>
        <v>9822293118</v>
      </c>
      <c r="AB764" t="str">
        <f>"9822293118"</f>
        <v>9822293118</v>
      </c>
      <c r="AC764" t="str">
        <f>"9825930005"</f>
        <v>9825930005</v>
      </c>
      <c r="AD764" t="str">
        <f>"9822293118"</f>
        <v>9822293118</v>
      </c>
      <c r="AE764" t="str">
        <f>""</f>
        <v/>
      </c>
    </row>
    <row r="765" spans="1:31" x14ac:dyDescent="0.45">
      <c r="A765" t="str">
        <f>"КРАПИВКО ГАЛИНА АЛЕКСЕЕВНА"</f>
        <v>КРАПИВКО ГАЛИНА АЛЕКСЕЕВНА</v>
      </c>
      <c r="B765" t="str">
        <f>"1957-09-30"</f>
        <v>1957-09-30</v>
      </c>
      <c r="C765" t="str">
        <f>"67 18 787835"</f>
        <v>67 18 787835</v>
      </c>
      <c r="D765" t="str">
        <f>"4854630379431102"</f>
        <v>4854630379431102</v>
      </c>
      <c r="E765" t="str">
        <f>"2021-04-30"</f>
        <v>2021-04-30</v>
      </c>
      <c r="F765" t="str">
        <f>"+"</f>
        <v>+</v>
      </c>
      <c r="G765" t="str">
        <f>"+"</f>
        <v>+</v>
      </c>
      <c r="H765" t="str">
        <f>"40817810716992455062"</f>
        <v>40817810716992455062</v>
      </c>
      <c r="I765" t="str">
        <f>"5940"</f>
        <v>5940</v>
      </c>
      <c r="J765" t="str">
        <f>"0036"</f>
        <v>0036</v>
      </c>
      <c r="K765" t="str">
        <f>"50000.00"</f>
        <v>50000.00</v>
      </c>
      <c r="L765" t="str">
        <f>"628400 ОБЛ ТЮМЕНСКАЯ   Г СУРГУТ   УЛ 30 ЛЕТ ПОБЕДЫ д. 19"</f>
        <v>628400 ОБЛ ТЮМЕНСКАЯ   Г СУРГУТ   УЛ 30 ЛЕТ ПОБЕДЫ д. 19</v>
      </c>
      <c r="M765" t="str">
        <f t="shared" si="115"/>
        <v>2019-08-24</v>
      </c>
      <c r="N765" t="str">
        <f>"ПЕНСИОННЫЙ ФОНД РФ"</f>
        <v>ПЕНСИОННЫЙ ФОНД РФ</v>
      </c>
      <c r="O765" t="str">
        <f>"628456"</f>
        <v>628456</v>
      </c>
      <c r="P765" t="str">
        <f>"ОБЛ ТЮМЕНСКАЯ"</f>
        <v>ОБЛ ТЮМЕНСКАЯ</v>
      </c>
      <c r="Q765" t="str">
        <f>"Р-Н СУРГУТСКИЙ"</f>
        <v>Р-Н СУРГУТСКИЙ</v>
      </c>
      <c r="R765" t="str">
        <f>""</f>
        <v/>
      </c>
      <c r="S765" t="str">
        <f>"П ФЕДОРОВСКИЙ"</f>
        <v>П ФЕДОРОВСКИЙ</v>
      </c>
      <c r="T765" t="str">
        <f>"УЛ ЛЕНИНА"</f>
        <v>УЛ ЛЕНИНА</v>
      </c>
      <c r="U765" s="1" t="str">
        <f>"13А"</f>
        <v>13А</v>
      </c>
      <c r="V765" s="1" t="str">
        <f>""</f>
        <v/>
      </c>
      <c r="W765" s="1" t="str">
        <f>""</f>
        <v/>
      </c>
      <c r="X765" s="1" t="str">
        <f>""</f>
        <v/>
      </c>
      <c r="Y765" s="1" t="str">
        <f>"77"</f>
        <v>77</v>
      </c>
      <c r="Z765" t="str">
        <f>"3462 416200"</f>
        <v>3462 416200</v>
      </c>
      <c r="AA765" t="str">
        <f>"9224400275"</f>
        <v>9224400275</v>
      </c>
      <c r="AB765" t="str">
        <f>"9226598252"</f>
        <v>9226598252</v>
      </c>
      <c r="AC765" t="str">
        <f>"9224400275"</f>
        <v>9224400275</v>
      </c>
      <c r="AD765" t="str">
        <f>"9226598252"</f>
        <v>9226598252</v>
      </c>
      <c r="AE765" t="str">
        <f>""</f>
        <v/>
      </c>
    </row>
    <row r="766" spans="1:31" x14ac:dyDescent="0.45">
      <c r="A766" t="str">
        <f>"ФЁДОРОВ ПАВЕЛ ВИКТОРОВИЧ"</f>
        <v>ФЁДОРОВ ПАВЕЛ ВИКТОРОВИЧ</v>
      </c>
      <c r="B766" t="str">
        <f>"1968-08-13"</f>
        <v>1968-08-13</v>
      </c>
      <c r="C766" t="str">
        <f>"75 13 309257"</f>
        <v>75 13 309257</v>
      </c>
      <c r="D766" t="str">
        <f>"4854630299471972"</f>
        <v>4854630299471972</v>
      </c>
      <c r="E766" t="str">
        <f>"2020-11-30"</f>
        <v>2020-11-30</v>
      </c>
      <c r="F766" t="str">
        <f>"Q"</f>
        <v>Q</v>
      </c>
      <c r="G766" t="str">
        <f>"Q"</f>
        <v>Q</v>
      </c>
      <c r="H766" t="str">
        <f>"40817810216991464143"</f>
        <v>40817810216991464143</v>
      </c>
      <c r="I766" t="str">
        <f>"8597"</f>
        <v>8597</v>
      </c>
      <c r="J766" t="str">
        <f>"0109"</f>
        <v>0109</v>
      </c>
      <c r="K766" t="str">
        <f>"0.00"</f>
        <v>0.00</v>
      </c>
      <c r="L766" t="str">
        <f>"454000 ОБЛ ЧЕЛЯБИНСКАЯ   Г ЧЕЛЯБИНСК   УЛ ГОРЬКОГО д. 15"</f>
        <v>454000 ОБЛ ЧЕЛЯБИНСКАЯ   Г ЧЕЛЯБИНСК   УЛ ГОРЬКОГО д. 15</v>
      </c>
      <c r="M766" t="str">
        <f t="shared" si="115"/>
        <v>2019-08-24</v>
      </c>
      <c r="N766" t="str">
        <f>"МОНТАЖНЫЙ КОЛЕДЖ"</f>
        <v>МОНТАЖНЫЙ КОЛЕДЖ</v>
      </c>
      <c r="O766" t="str">
        <f>"454010"</f>
        <v>454010</v>
      </c>
      <c r="P766" t="str">
        <f>"ОБЛ ЧЕЛЯБИНСКАЯ"</f>
        <v>ОБЛ ЧЕЛЯБИНСКАЯ</v>
      </c>
      <c r="Q766" t="str">
        <f>""</f>
        <v/>
      </c>
      <c r="R766" t="str">
        <f>"Г ЧЕЛЯБИНСК"</f>
        <v>Г ЧЕЛЯБИНСК</v>
      </c>
      <c r="S766" t="str">
        <f>""</f>
        <v/>
      </c>
      <c r="T766" t="str">
        <f>"УЛ СУВОРОВА"</f>
        <v>УЛ СУВОРОВА</v>
      </c>
      <c r="U766" s="1" t="str">
        <f>"17"</f>
        <v>17</v>
      </c>
      <c r="V766" s="1" t="str">
        <f>""</f>
        <v/>
      </c>
      <c r="W766" s="1" t="str">
        <f>""</f>
        <v/>
      </c>
      <c r="X766" s="1" t="str">
        <f>""</f>
        <v/>
      </c>
      <c r="Y766" s="1" t="str">
        <f>""</f>
        <v/>
      </c>
      <c r="Z766" t="str">
        <f>"9511262161"</f>
        <v>9511262161</v>
      </c>
      <c r="AA766" t="str">
        <f>"9049739098"</f>
        <v>9049739098</v>
      </c>
      <c r="AB766" t="str">
        <f>"9049739098"</f>
        <v>9049739098</v>
      </c>
      <c r="AC766" t="str">
        <f>"9049739098"</f>
        <v>9049739098</v>
      </c>
      <c r="AD766" t="str">
        <f>"9049739098"</f>
        <v>9049739098</v>
      </c>
      <c r="AE766" t="str">
        <f>"9511262161"</f>
        <v>9511262161</v>
      </c>
    </row>
    <row r="767" spans="1:31" x14ac:dyDescent="0.45">
      <c r="A767" t="str">
        <f>"ПАВЛОВА ЕВГЕНИЯ АЛЕКСАНДРОВНА"</f>
        <v>ПАВЛОВА ЕВГЕНИЯ АЛЕКСАНДРОВНА</v>
      </c>
      <c r="B767" t="str">
        <f>"1977-10-04"</f>
        <v>1977-10-04</v>
      </c>
      <c r="C767" t="str">
        <f>"65 04 363013"</f>
        <v>65 04 363013</v>
      </c>
      <c r="D767" t="str">
        <f>"4854630217127599"</f>
        <v>4854630217127599</v>
      </c>
      <c r="E767" t="str">
        <f>"2021-04-30"</f>
        <v>2021-04-30</v>
      </c>
      <c r="F767" t="str">
        <f t="shared" ref="F767:G773" si="123">"+"</f>
        <v>+</v>
      </c>
      <c r="G767" t="str">
        <f t="shared" si="123"/>
        <v>+</v>
      </c>
      <c r="H767" t="str">
        <f>"40817810916991424687"</f>
        <v>40817810916991424687</v>
      </c>
      <c r="I767" t="str">
        <f>"7003"</f>
        <v>7003</v>
      </c>
      <c r="J767" t="str">
        <f>"0378"</f>
        <v>0378</v>
      </c>
      <c r="K767" t="str">
        <f>"20000.00"</f>
        <v>20000.00</v>
      </c>
      <c r="L767" t="str">
        <f>"620000 ОБЛ СВЕРДЛОВСКАЯ   Г ЕКАТЕРИНБУРГ   Ш ЕЛИЗАВЕТИНСКОЕ д. 28"</f>
        <v>620000 ОБЛ СВЕРДЛОВСКАЯ   Г ЕКАТЕРИНБУРГ   Ш ЕЛИЗАВЕТИНСКОЕ д. 28</v>
      </c>
      <c r="M767" t="str">
        <f t="shared" si="115"/>
        <v>2019-08-24</v>
      </c>
      <c r="N767" t="str">
        <f>"ИП БЕЛОГЛАЗОВ А.Е."</f>
        <v>ИП БЕЛОГЛАЗОВ А.Е.</v>
      </c>
      <c r="O767" t="str">
        <f>"620000"</f>
        <v>620000</v>
      </c>
      <c r="P767" t="str">
        <f>"ОБЛ СВЕРДЛОВСКАЯ"</f>
        <v>ОБЛ СВЕРДЛОВСКАЯ</v>
      </c>
      <c r="Q767" t="str">
        <f>""</f>
        <v/>
      </c>
      <c r="R767" t="str">
        <f>"Г ЕКАТЕРИНБУРГ"</f>
        <v>Г ЕКАТЕРИНБУРГ</v>
      </c>
      <c r="S767" t="str">
        <f>""</f>
        <v/>
      </c>
      <c r="T767" t="str">
        <f>"УЛ СЕРАФИМЫ ДЕРЯБИНОЙ"</f>
        <v>УЛ СЕРАФИМЫ ДЕРЯБИНОЙ</v>
      </c>
      <c r="U767" s="1" t="str">
        <f>"43А"</f>
        <v>43А</v>
      </c>
      <c r="V767" s="1" t="str">
        <f>""</f>
        <v/>
      </c>
      <c r="W767" s="1" t="str">
        <f>""</f>
        <v/>
      </c>
      <c r="X767" s="1" t="str">
        <f>""</f>
        <v/>
      </c>
      <c r="Y767" s="1" t="str">
        <f>"5"</f>
        <v>5</v>
      </c>
      <c r="Z767" t="str">
        <f>"9193991519"</f>
        <v>9193991519</v>
      </c>
      <c r="AA767" t="str">
        <f>"9193991519"</f>
        <v>9193991519</v>
      </c>
      <c r="AB767" t="str">
        <f>"9193991519"</f>
        <v>9193991519</v>
      </c>
      <c r="AC767" t="str">
        <f>"9193991519"</f>
        <v>9193991519</v>
      </c>
      <c r="AD767" t="str">
        <f>"9193991519"</f>
        <v>9193991519</v>
      </c>
      <c r="AE767" t="str">
        <f>"9193991519"</f>
        <v>9193991519</v>
      </c>
    </row>
    <row r="768" spans="1:31" x14ac:dyDescent="0.45">
      <c r="A768" t="str">
        <f>"ИВАНОВА НАТАЛЬЯ СЕРГЕЕВНА"</f>
        <v>ИВАНОВА НАТАЛЬЯ СЕРГЕЕВНА</v>
      </c>
      <c r="B768" t="str">
        <f>"1982-09-08"</f>
        <v>1982-09-08</v>
      </c>
      <c r="C768" t="str">
        <f>"67 16 558832"</f>
        <v>67 16 558832</v>
      </c>
      <c r="D768" t="str">
        <f>"4854630070803062"</f>
        <v>4854630070803062</v>
      </c>
      <c r="E768" t="str">
        <f>"2021-05-31"</f>
        <v>2021-05-31</v>
      </c>
      <c r="F768" t="str">
        <f t="shared" si="123"/>
        <v>+</v>
      </c>
      <c r="G768" t="str">
        <f t="shared" si="123"/>
        <v>+</v>
      </c>
      <c r="H768" t="str">
        <f>"40817810316992066961"</f>
        <v>40817810316992066961</v>
      </c>
      <c r="I768" t="str">
        <f>"5940"</f>
        <v>5940</v>
      </c>
      <c r="J768" t="str">
        <f>"0100"</f>
        <v>0100</v>
      </c>
      <c r="K768" t="str">
        <f>"50000.00"</f>
        <v>50000.00</v>
      </c>
      <c r="L768" t="str">
        <f>"628311 ОБЛ ТЮМЕНСКАЯ   Г НЕФТЕЮГАНСК   МКР 15 д. 4"</f>
        <v>628311 ОБЛ ТЮМЕНСКАЯ   Г НЕФТЕЮГАНСК   МКР 15 д. 4</v>
      </c>
      <c r="M768" t="str">
        <f t="shared" si="115"/>
        <v>2019-08-24</v>
      </c>
      <c r="N768" t="str">
        <f>"ООО НОВОМЕД"</f>
        <v>ООО НОВОМЕД</v>
      </c>
      <c r="O768" t="str">
        <f>"628311"</f>
        <v>628311</v>
      </c>
      <c r="P768" t="str">
        <f>"ОБЛ ТЮМЕНСКАЯ"</f>
        <v>ОБЛ ТЮМЕНСКАЯ</v>
      </c>
      <c r="Q768" t="str">
        <f>""</f>
        <v/>
      </c>
      <c r="R768" t="str">
        <f>"Г НЕФТЕЮГАНСК"</f>
        <v>Г НЕФТЕЮГАНСК</v>
      </c>
      <c r="S768" t="str">
        <f>""</f>
        <v/>
      </c>
      <c r="T768" t="str">
        <f>"МКР 2"</f>
        <v>МКР 2</v>
      </c>
      <c r="U768" s="1" t="str">
        <f>"12"</f>
        <v>12</v>
      </c>
      <c r="V768" s="1" t="str">
        <f>""</f>
        <v/>
      </c>
      <c r="W768" s="1" t="str">
        <f>""</f>
        <v/>
      </c>
      <c r="X768" s="1" t="str">
        <f>""</f>
        <v/>
      </c>
      <c r="Y768" s="1" t="str">
        <f>"61"</f>
        <v>61</v>
      </c>
      <c r="Z768" t="str">
        <f>"9822027836"</f>
        <v>9822027836</v>
      </c>
      <c r="AA768" t="str">
        <f>"9825624049"</f>
        <v>9825624049</v>
      </c>
      <c r="AB768" t="str">
        <f>"9822027836"</f>
        <v>9822027836</v>
      </c>
      <c r="AC768" t="str">
        <f>"9825624049"</f>
        <v>9825624049</v>
      </c>
      <c r="AD768" t="str">
        <f>"9822027836"</f>
        <v>9822027836</v>
      </c>
      <c r="AE768" t="str">
        <f>"9822027836"</f>
        <v>9822027836</v>
      </c>
    </row>
    <row r="769" spans="1:31" x14ac:dyDescent="0.45">
      <c r="A769" t="str">
        <f>"ТРУВЕЛЕВ АНДРЕЙ ВЛАДИСЛАВОВИЧ"</f>
        <v>ТРУВЕЛЕВ АНДРЕЙ ВЛАДИСЛАВОВИЧ</v>
      </c>
      <c r="B769" t="str">
        <f>"1967-07-17"</f>
        <v>1967-07-17</v>
      </c>
      <c r="C769" t="str">
        <f>"65 12 447535"</f>
        <v>65 12 447535</v>
      </c>
      <c r="D769" t="str">
        <f>"4854630368596055"</f>
        <v>4854630368596055</v>
      </c>
      <c r="E769" t="str">
        <f>"2021-04-30"</f>
        <v>2021-04-30</v>
      </c>
      <c r="F769" t="str">
        <f t="shared" si="123"/>
        <v>+</v>
      </c>
      <c r="G769" t="str">
        <f t="shared" si="123"/>
        <v>+</v>
      </c>
      <c r="H769" t="str">
        <f>"40817810816991427836"</f>
        <v>40817810816991427836</v>
      </c>
      <c r="I769" t="str">
        <f>"7003"</f>
        <v>7003</v>
      </c>
      <c r="J769" t="str">
        <f>"0723"</f>
        <v>0723</v>
      </c>
      <c r="K769" t="str">
        <f>"20000.00"</f>
        <v>20000.00</v>
      </c>
      <c r="L769" t="str">
        <f>"620000 ОБЛ СВЕРДЛОВСКАЯ     П РЕФТИНСКИЙ ПЛ-КА ПРМ.ПЛОЩАДКА д. 23"</f>
        <v>620000 ОБЛ СВЕРДЛОВСКАЯ     П РЕФТИНСКИЙ ПЛ-КА ПРМ.ПЛОЩАДКА д. 23</v>
      </c>
      <c r="M769" t="str">
        <f t="shared" si="115"/>
        <v>2019-08-24</v>
      </c>
      <c r="N769" t="str">
        <f>"АО ДИТСМАН ФИЛИАЛ РЕФТИНСКАЯ ГРЭС"</f>
        <v>АО ДИТСМАН ФИЛИАЛ РЕФТИНСКАЯ ГРЭС</v>
      </c>
      <c r="O769" t="str">
        <f>"620000"</f>
        <v>620000</v>
      </c>
      <c r="P769" t="str">
        <f>"ОБЛ СВЕРДЛОВСКАЯ"</f>
        <v>ОБЛ СВЕРДЛОВСКАЯ</v>
      </c>
      <c r="Q769" t="str">
        <f>""</f>
        <v/>
      </c>
      <c r="R769" t="str">
        <f>"Г ВЕРХНИЙ ТАГИЛ"</f>
        <v>Г ВЕРХНИЙ ТАГИЛ</v>
      </c>
      <c r="S769" t="str">
        <f>""</f>
        <v/>
      </c>
      <c r="T769" t="str">
        <f>"УЛ КАРЛА МАРКСА"</f>
        <v>УЛ КАРЛА МАРКСА</v>
      </c>
      <c r="U769" s="1" t="str">
        <f>"59"</f>
        <v>59</v>
      </c>
      <c r="V769" s="1" t="str">
        <f>""</f>
        <v/>
      </c>
      <c r="W769" s="1" t="str">
        <f>""</f>
        <v/>
      </c>
      <c r="X769" s="1" t="str">
        <f>""</f>
        <v/>
      </c>
      <c r="Y769" s="1" t="str">
        <f>""</f>
        <v/>
      </c>
      <c r="Z769" t="str">
        <f>"9521421591"</f>
        <v>9521421591</v>
      </c>
      <c r="AA769" t="str">
        <f>"9527285017"</f>
        <v>9527285017</v>
      </c>
      <c r="AB769" t="str">
        <f>"9527285017"</f>
        <v>9527285017</v>
      </c>
      <c r="AC769" t="str">
        <f>"9527285017"</f>
        <v>9527285017</v>
      </c>
      <c r="AD769" t="str">
        <f>"9527285017"</f>
        <v>9527285017</v>
      </c>
      <c r="AE769" t="str">
        <f>"9521421591"</f>
        <v>9521421591</v>
      </c>
    </row>
    <row r="770" spans="1:31" x14ac:dyDescent="0.45">
      <c r="A770" t="str">
        <f>"ШУСТИКОВА ТАТЬЯНА ПЕТРОВНА"</f>
        <v>ШУСТИКОВА ТАТЬЯНА ПЕТРОВНА</v>
      </c>
      <c r="B770" t="str">
        <f>"1974-05-05"</f>
        <v>1974-05-05</v>
      </c>
      <c r="C770" t="str">
        <f>"65 19 875210"</f>
        <v>65 19 875210</v>
      </c>
      <c r="D770" t="str">
        <f>"5313100306907055"</f>
        <v>5313100306907055</v>
      </c>
      <c r="E770" t="str">
        <f>"2020-11-30"</f>
        <v>2020-11-30</v>
      </c>
      <c r="F770" t="str">
        <f t="shared" si="123"/>
        <v>+</v>
      </c>
      <c r="G770" t="str">
        <f t="shared" si="123"/>
        <v>+</v>
      </c>
      <c r="H770" t="str">
        <f>"40817810816991464158"</f>
        <v>40817810816991464158</v>
      </c>
      <c r="I770" t="str">
        <f>"7003"</f>
        <v>7003</v>
      </c>
      <c r="J770" t="str">
        <f>"6201"</f>
        <v>6201</v>
      </c>
      <c r="K770" t="str">
        <f>"24000.00"</f>
        <v>24000.00</v>
      </c>
      <c r="L770" t="str">
        <f>"620000 ОБЛ СВЕРДЛОВСКАЯ   Г ЕКАТЕРИНБУРГ   УЛ КРАСНОАРМЕЙСКАЯ д. 78А"</f>
        <v>620000 ОБЛ СВЕРДЛОВСКАЯ   Г ЕКАТЕРИНБУРГ   УЛ КРАСНОАРМЕЙСКАЯ д. 78А</v>
      </c>
      <c r="M770" t="str">
        <f t="shared" ref="M770:M833" si="124">"2019-08-24"</f>
        <v>2019-08-24</v>
      </c>
      <c r="N770" t="str">
        <f>"ООО СЭТРИКА"</f>
        <v>ООО СЭТРИКА</v>
      </c>
      <c r="O770" t="str">
        <f>"620000"</f>
        <v>620000</v>
      </c>
      <c r="P770" t="str">
        <f>"ОБЛ СВЕРДЛОВСКАЯ"</f>
        <v>ОБЛ СВЕРДЛОВСКАЯ</v>
      </c>
      <c r="Q770" t="str">
        <f>""</f>
        <v/>
      </c>
      <c r="R770" t="str">
        <f>""</f>
        <v/>
      </c>
      <c r="S770" t="str">
        <f>"П КРАСНОГВАРДЕЙСКИЙ"</f>
        <v>П КРАСНОГВАРДЕЙСКИЙ</v>
      </c>
      <c r="T770" t="str">
        <f>"УЛ ПАРХОМЕНКО"</f>
        <v>УЛ ПАРХОМЕНКО</v>
      </c>
      <c r="U770" s="1" t="str">
        <f>"8"</f>
        <v>8</v>
      </c>
      <c r="V770" s="1" t="str">
        <f>""</f>
        <v/>
      </c>
      <c r="W770" s="1" t="str">
        <f>""</f>
        <v/>
      </c>
      <c r="X770" s="1" t="str">
        <f>""</f>
        <v/>
      </c>
      <c r="Y770" s="1" t="str">
        <f>"9"</f>
        <v>9</v>
      </c>
      <c r="Z770" t="str">
        <f>""</f>
        <v/>
      </c>
      <c r="AA770" t="str">
        <f>"9527325446"</f>
        <v>9527325446</v>
      </c>
      <c r="AB770" t="str">
        <f>"9527325446"</f>
        <v>9527325446</v>
      </c>
      <c r="AC770" t="str">
        <f>"9527325446"</f>
        <v>9527325446</v>
      </c>
      <c r="AD770" t="str">
        <f>"9527325446"</f>
        <v>9527325446</v>
      </c>
      <c r="AE770" t="str">
        <f>""</f>
        <v/>
      </c>
    </row>
    <row r="771" spans="1:31" x14ac:dyDescent="0.45">
      <c r="A771" t="str">
        <f>"КАМНЕВА НАТАЛЬЯ ВАЛЕРЬЕВНА"</f>
        <v>КАМНЕВА НАТАЛЬЯ ВАЛЕРЬЕВНА</v>
      </c>
      <c r="B771" t="str">
        <f>"1983-07-31"</f>
        <v>1983-07-31</v>
      </c>
      <c r="C771" t="str">
        <f>"80 06 196601"</f>
        <v>80 06 196601</v>
      </c>
      <c r="D771" t="str">
        <f>"4854630384053883"</f>
        <v>4854630384053883</v>
      </c>
      <c r="E771" t="str">
        <f>"2021-04-30"</f>
        <v>2021-04-30</v>
      </c>
      <c r="F771" t="str">
        <f t="shared" si="123"/>
        <v>+</v>
      </c>
      <c r="G771" t="str">
        <f t="shared" si="123"/>
        <v>+</v>
      </c>
      <c r="H771" t="str">
        <f>"40817810916991427846"</f>
        <v>40817810916991427846</v>
      </c>
      <c r="I771" t="str">
        <f>"8598"</f>
        <v>8598</v>
      </c>
      <c r="J771" t="str">
        <f>"0122"</f>
        <v>0122</v>
      </c>
      <c r="K771" t="str">
        <f>"10000.00"</f>
        <v>10000.00</v>
      </c>
      <c r="L771" t="str">
        <f>"450000 РЕСП БАШКОРТОСТАН   Г УФА   УЛ БАБУШКИНА д. 17/1"</f>
        <v>450000 РЕСП БАШКОРТОСТАН   Г УФА   УЛ БАБУШКИНА д. 17/1</v>
      </c>
      <c r="M771" t="str">
        <f t="shared" si="124"/>
        <v>2019-08-24</v>
      </c>
      <c r="N771" t="str">
        <f>"ЕСЦ РОССЕЛЬХОЗБАНК"</f>
        <v>ЕСЦ РОССЕЛЬХОЗБАНК</v>
      </c>
      <c r="O771" t="str">
        <f>"450000"</f>
        <v>450000</v>
      </c>
      <c r="P771" t="str">
        <f>"РЕСП БАШКОРТОСТАН"</f>
        <v>РЕСП БАШКОРТОСТАН</v>
      </c>
      <c r="Q771" t="str">
        <f>""</f>
        <v/>
      </c>
      <c r="R771" t="str">
        <f>"Г УФА"</f>
        <v>Г УФА</v>
      </c>
      <c r="S771" t="str">
        <f>""</f>
        <v/>
      </c>
      <c r="T771" t="str">
        <f>"УЛ КОММУНАРОВ"</f>
        <v>УЛ КОММУНАРОВ</v>
      </c>
      <c r="U771" s="1" t="str">
        <f>"69/2"</f>
        <v>69/2</v>
      </c>
      <c r="V771" s="1" t="str">
        <f>""</f>
        <v/>
      </c>
      <c r="W771" s="1" t="str">
        <f>""</f>
        <v/>
      </c>
      <c r="X771" s="1" t="str">
        <f>""</f>
        <v/>
      </c>
      <c r="Y771" s="1" t="str">
        <f>"69"</f>
        <v>69</v>
      </c>
      <c r="Z771" t="str">
        <f>"9608052950"</f>
        <v>9608052950</v>
      </c>
      <c r="AA771" t="str">
        <f>"9608051523"</f>
        <v>9608051523</v>
      </c>
      <c r="AB771" t="str">
        <f>"9608051523"</f>
        <v>9608051523</v>
      </c>
      <c r="AC771" t="str">
        <f>"9608051523"</f>
        <v>9608051523</v>
      </c>
      <c r="AD771" t="str">
        <f>"9608051523"</f>
        <v>9608051523</v>
      </c>
      <c r="AE771" t="str">
        <f>"9608052950"</f>
        <v>9608052950</v>
      </c>
    </row>
    <row r="772" spans="1:31" x14ac:dyDescent="0.45">
      <c r="A772" t="str">
        <f>"ДАУТОВА ЗАГИРА ЖАРКИЕВНА"</f>
        <v>ДАУТОВА ЗАГИРА ЖАРКИЕВНА</v>
      </c>
      <c r="B772" t="str">
        <f>"1959-04-01"</f>
        <v>1959-04-01</v>
      </c>
      <c r="C772" t="str">
        <f>"71 05 339811"</f>
        <v>71 05 339811</v>
      </c>
      <c r="D772" t="str">
        <f>"4854630083453855"</f>
        <v>4854630083453855</v>
      </c>
      <c r="E772" t="str">
        <f>"2021-05-31"</f>
        <v>2021-05-31</v>
      </c>
      <c r="F772" t="str">
        <f t="shared" si="123"/>
        <v>+</v>
      </c>
      <c r="G772" t="str">
        <f t="shared" si="123"/>
        <v>+</v>
      </c>
      <c r="H772" t="str">
        <f>"40817810816992067389"</f>
        <v>40817810816992067389</v>
      </c>
      <c r="I772" t="str">
        <f>"8647"</f>
        <v>8647</v>
      </c>
      <c r="J772" t="str">
        <f>"0276"</f>
        <v>0276</v>
      </c>
      <c r="K772" t="str">
        <f>"30000.00"</f>
        <v>30000.00</v>
      </c>
      <c r="L772" t="str">
        <f>"627300 ОБЛ ТЮМЕНСКАЯ Р-Н ГОЛЫШМАНОВСКИЙ   РП ГОЛЫШМАНОВО УЛ САДОВАЯ д. 89"</f>
        <v>627300 ОБЛ ТЮМЕНСКАЯ Р-Н ГОЛЫШМАНОВСКИЙ   РП ГОЛЫШМАНОВО УЛ САДОВАЯ д. 89</v>
      </c>
      <c r="M772" t="str">
        <f t="shared" si="124"/>
        <v>2019-08-24</v>
      </c>
      <c r="N772" t="str">
        <f>"ПФР ГОЛЫШМАНОВСКИЙ"</f>
        <v>ПФР ГОЛЫШМАНОВСКИЙ</v>
      </c>
      <c r="O772" t="str">
        <f>"627300"</f>
        <v>627300</v>
      </c>
      <c r="P772" t="str">
        <f>"ОБЛ ТЮМЕНСКАЯ"</f>
        <v>ОБЛ ТЮМЕНСКАЯ</v>
      </c>
      <c r="Q772" t="str">
        <f>"Р-Н ГОЛЫШМАНОВСКИЙ"</f>
        <v>Р-Н ГОЛЫШМАНОВСКИЙ</v>
      </c>
      <c r="R772" t="str">
        <f>""</f>
        <v/>
      </c>
      <c r="S772" t="str">
        <f>"Д МЕЛКОЗЕРОВА"</f>
        <v>Д МЕЛКОЗЕРОВА</v>
      </c>
      <c r="T772" t="str">
        <f>"ПЕР ИНТЕРНАЦИОНАЛЬНЫЙ"</f>
        <v>ПЕР ИНТЕРНАЦИОНАЛЬНЫЙ</v>
      </c>
      <c r="U772" s="1" t="str">
        <f>"3"</f>
        <v>3</v>
      </c>
      <c r="V772" s="1" t="str">
        <f>""</f>
        <v/>
      </c>
      <c r="W772" s="1" t="str">
        <f>""</f>
        <v/>
      </c>
      <c r="X772" s="1" t="str">
        <f>""</f>
        <v/>
      </c>
      <c r="Y772" s="1" t="str">
        <f>""</f>
        <v/>
      </c>
      <c r="Z772" t="str">
        <f>"3454625613"</f>
        <v>3454625613</v>
      </c>
      <c r="AA772" t="str">
        <f>"3454698228"</f>
        <v>3454698228</v>
      </c>
      <c r="AB772" t="str">
        <f>"9123879424"</f>
        <v>9123879424</v>
      </c>
      <c r="AC772" t="str">
        <f>"3454698228"</f>
        <v>3454698228</v>
      </c>
      <c r="AD772" t="str">
        <f>"9123879424"</f>
        <v>9123879424</v>
      </c>
      <c r="AE772" t="str">
        <f>"3454625613"</f>
        <v>3454625613</v>
      </c>
    </row>
    <row r="773" spans="1:31" x14ac:dyDescent="0.45">
      <c r="A773" t="str">
        <f>"ИВАСЕНКО ЕКАТЕРИНА ВИКТОРОВНА"</f>
        <v>ИВАСЕНКО ЕКАТЕРИНА ВИКТОРОВНА</v>
      </c>
      <c r="B773" t="str">
        <f>"1961-07-07"</f>
        <v>1961-07-07</v>
      </c>
      <c r="C773" t="str">
        <f>"65 05 870263"</f>
        <v>65 05 870263</v>
      </c>
      <c r="D773" t="str">
        <f>"4854630396500509"</f>
        <v>4854630396500509</v>
      </c>
      <c r="E773" t="str">
        <f>"2021-04-30"</f>
        <v>2021-04-30</v>
      </c>
      <c r="F773" t="str">
        <f t="shared" si="123"/>
        <v>+</v>
      </c>
      <c r="G773" t="str">
        <f t="shared" si="123"/>
        <v>+</v>
      </c>
      <c r="H773" t="str">
        <f>"40817810316991464182"</f>
        <v>40817810316991464182</v>
      </c>
      <c r="I773" t="str">
        <f>"7003"</f>
        <v>7003</v>
      </c>
      <c r="J773" t="str">
        <f>"0682"</f>
        <v>0682</v>
      </c>
      <c r="K773" t="str">
        <f>"120000.00"</f>
        <v>120000.00</v>
      </c>
      <c r="L773" t="str">
        <f>"620000 ОБЛ СВЕРДЛОВСКАЯ   Г ПЕРВОУРАЛЬСК П ПРОГРЕСС УЛ ЛЕНИНА д. 2"</f>
        <v>620000 ОБЛ СВЕРДЛОВСКАЯ   Г ПЕРВОУРАЛЬСК П ПРОГРЕСС УЛ ЛЕНИНА д. 2</v>
      </c>
      <c r="M773" t="str">
        <f t="shared" si="124"/>
        <v>2019-08-24</v>
      </c>
      <c r="N773" t="str">
        <f>"ПЕНСИОНЕР"</f>
        <v>ПЕНСИОНЕР</v>
      </c>
      <c r="O773" t="str">
        <f>"620000"</f>
        <v>620000</v>
      </c>
      <c r="P773" t="str">
        <f>"ОБЛ СВЕРДЛОВСКАЯ"</f>
        <v>ОБЛ СВЕРДЛОВСКАЯ</v>
      </c>
      <c r="Q773" t="str">
        <f>""</f>
        <v/>
      </c>
      <c r="R773" t="str">
        <f>"Г ПЕРВОУРАЛЬСК"</f>
        <v>Г ПЕРВОУРАЛЬСК</v>
      </c>
      <c r="S773" t="str">
        <f>"П ПРОГРЕСС"</f>
        <v>П ПРОГРЕСС</v>
      </c>
      <c r="T773" t="str">
        <f>"УЛ ЛЕНИНА"</f>
        <v>УЛ ЛЕНИНА</v>
      </c>
      <c r="U773" s="1" t="str">
        <f>"2"</f>
        <v>2</v>
      </c>
      <c r="V773" s="1" t="str">
        <f>""</f>
        <v/>
      </c>
      <c r="W773" s="1" t="str">
        <f>""</f>
        <v/>
      </c>
      <c r="X773" s="1" t="str">
        <f>""</f>
        <v/>
      </c>
      <c r="Y773" s="1" t="str">
        <f>""</f>
        <v/>
      </c>
      <c r="Z773" t="str">
        <f>"+7 (912) 0520892"</f>
        <v>+7 (912) 0520892</v>
      </c>
      <c r="AA773" t="str">
        <f>"+7 (912) 0520892"</f>
        <v>+7 (912) 0520892</v>
      </c>
      <c r="AB773" t="str">
        <f>"+7 (912) 0520892"</f>
        <v>+7 (912) 0520892</v>
      </c>
      <c r="AC773" t="str">
        <f>"9120520892"</f>
        <v>9120520892</v>
      </c>
      <c r="AD773" t="str">
        <f>"9120520892"</f>
        <v>9120520892</v>
      </c>
      <c r="AE773" t="str">
        <f>"9120520892"</f>
        <v>9120520892</v>
      </c>
    </row>
    <row r="774" spans="1:31" x14ac:dyDescent="0.45">
      <c r="A774" t="str">
        <f>"ЕРАШЕНКОВА НАТАЛЬЯ НИКОЛАЕВНА"</f>
        <v>ЕРАШЕНКОВА НАТАЛЬЯ НИКОЛАЕВНА</v>
      </c>
      <c r="B774" t="str">
        <f>"1958-02-22"</f>
        <v>1958-02-22</v>
      </c>
      <c r="C774" t="str">
        <f>"71 06 419838"</f>
        <v>71 06 419838</v>
      </c>
      <c r="D774" t="str">
        <f>"4854630376983758"</f>
        <v>4854630376983758</v>
      </c>
      <c r="E774" t="str">
        <f>"2021-04-30"</f>
        <v>2021-04-30</v>
      </c>
      <c r="F774" t="str">
        <f>"Y"</f>
        <v>Y</v>
      </c>
      <c r="G774" t="str">
        <f>"Q"</f>
        <v>Q</v>
      </c>
      <c r="H774" t="str">
        <f>"40817810216992501173"</f>
        <v>40817810216992501173</v>
      </c>
      <c r="I774" t="str">
        <f>"8647"</f>
        <v>8647</v>
      </c>
      <c r="J774" t="str">
        <f>"0102"</f>
        <v>0102</v>
      </c>
      <c r="K774" t="str">
        <f>"0.00"</f>
        <v>0.00</v>
      </c>
      <c r="L774" t="str">
        <f>"625000 ОБЛ ТЮМЕНСКАЯ   Г ТЮМЕНЬ   УЛ КАРЛА МАРКСА д. 106 кв. 40"</f>
        <v>625000 ОБЛ ТЮМЕНСКАЯ   Г ТЮМЕНЬ   УЛ КАРЛА МАРКСА д. 106 кв. 40</v>
      </c>
      <c r="M774" t="str">
        <f t="shared" si="124"/>
        <v>2019-08-24</v>
      </c>
      <c r="N774" t="str">
        <f>"ОТСУТСТВУЕТ"</f>
        <v>ОТСУТСТВУЕТ</v>
      </c>
      <c r="O774" t="str">
        <f>"625000"</f>
        <v>625000</v>
      </c>
      <c r="P774" t="str">
        <f>"ОБЛ ТЮМЕНСКАЯ"</f>
        <v>ОБЛ ТЮМЕНСКАЯ</v>
      </c>
      <c r="Q774" t="str">
        <f>""</f>
        <v/>
      </c>
      <c r="R774" t="str">
        <f>"Г ТЮМЕНЬ"</f>
        <v>Г ТЮМЕНЬ</v>
      </c>
      <c r="S774" t="str">
        <f>""</f>
        <v/>
      </c>
      <c r="T774" t="str">
        <f>"УЛ КАРЛА МАРКСА"</f>
        <v>УЛ КАРЛА МАРКСА</v>
      </c>
      <c r="U774" s="1" t="str">
        <f>"106"</f>
        <v>106</v>
      </c>
      <c r="V774" s="1" t="str">
        <f>""</f>
        <v/>
      </c>
      <c r="W774" s="1" t="str">
        <f>""</f>
        <v/>
      </c>
      <c r="X774" s="1" t="str">
        <f>""</f>
        <v/>
      </c>
      <c r="Y774" s="1" t="str">
        <f>"40"</f>
        <v>40</v>
      </c>
      <c r="Z774" t="str">
        <f>""</f>
        <v/>
      </c>
      <c r="AA774" t="str">
        <f>"3452301281"</f>
        <v>3452301281</v>
      </c>
      <c r="AB774" t="str">
        <f>"9829064179"</f>
        <v>9829064179</v>
      </c>
      <c r="AC774" t="str">
        <f>"3452301281"</f>
        <v>3452301281</v>
      </c>
      <c r="AD774" t="str">
        <f>"9829064179"</f>
        <v>9829064179</v>
      </c>
      <c r="AE774" t="str">
        <f>""</f>
        <v/>
      </c>
    </row>
    <row r="775" spans="1:31" x14ac:dyDescent="0.45">
      <c r="A775" t="str">
        <f>"АСЛАНЯН ЭДУАРД ГРИГОРЬЕВИЧ"</f>
        <v>АСЛАНЯН ЭДУАРД ГРИГОРЬЕВИЧ</v>
      </c>
      <c r="B775" t="str">
        <f>"1987-12-05"</f>
        <v>1987-12-05</v>
      </c>
      <c r="C775" t="str">
        <f>"71 07 572237"</f>
        <v>71 07 572237</v>
      </c>
      <c r="D775" t="str">
        <f>"4854630114207023"</f>
        <v>4854630114207023</v>
      </c>
      <c r="E775" t="str">
        <f>"2021-05-31"</f>
        <v>2021-05-31</v>
      </c>
      <c r="F775" t="str">
        <f>"+"</f>
        <v>+</v>
      </c>
      <c r="G775" t="str">
        <f>"+"</f>
        <v>+</v>
      </c>
      <c r="H775" t="str">
        <f>"40817810916992501525"</f>
        <v>40817810916992501525</v>
      </c>
      <c r="I775" t="str">
        <f>"8647"</f>
        <v>8647</v>
      </c>
      <c r="J775" t="str">
        <f>"0171"</f>
        <v>0171</v>
      </c>
      <c r="K775" t="str">
        <f>"56000.00"</f>
        <v>56000.00</v>
      </c>
      <c r="L775" t="str">
        <f>"625000 ОБЛ ТЮМЕНСКАЯ   Г ТЮМЕНЬ   УЛ РЕСПУБЛИКИ д. 143 корп. 2 офис 417"</f>
        <v>625000 ОБЛ ТЮМЕНСКАЯ   Г ТЮМЕНЬ   УЛ РЕСПУБЛИКИ д. 143 корп. 2 офис 417</v>
      </c>
      <c r="M775" t="str">
        <f t="shared" si="124"/>
        <v>2019-08-24</v>
      </c>
      <c r="N775" t="str">
        <f>"ООО ТЮМЕНЬ КРОВЛЯ"</f>
        <v>ООО ТЮМЕНЬ КРОВЛЯ</v>
      </c>
      <c r="O775" t="str">
        <f>"625000"</f>
        <v>625000</v>
      </c>
      <c r="P775" t="str">
        <f>"ОБЛ ТЮМЕНСКАЯ"</f>
        <v>ОБЛ ТЮМЕНСКАЯ</v>
      </c>
      <c r="Q775" t="str">
        <f>""</f>
        <v/>
      </c>
      <c r="R775" t="str">
        <f>"Г ТЮМЕНЬ"</f>
        <v>Г ТЮМЕНЬ</v>
      </c>
      <c r="S775" t="str">
        <f>""</f>
        <v/>
      </c>
      <c r="T775" t="str">
        <f>"УЛ НАРОДНАЯ"</f>
        <v>УЛ НАРОДНАЯ</v>
      </c>
      <c r="U775" s="1" t="str">
        <f>"2"</f>
        <v>2</v>
      </c>
      <c r="V775" s="1" t="str">
        <f>""</f>
        <v/>
      </c>
      <c r="W775" s="1" t="str">
        <f>""</f>
        <v/>
      </c>
      <c r="X775" s="1" t="str">
        <f>""</f>
        <v/>
      </c>
      <c r="Y775" s="1" t="str">
        <f>"44"</f>
        <v>44</v>
      </c>
      <c r="Z775" t="str">
        <f>"3452365556"</f>
        <v>3452365556</v>
      </c>
      <c r="AA775" t="str">
        <f>"3452365556"</f>
        <v>3452365556</v>
      </c>
      <c r="AB775" t="str">
        <f>"9220000878"</f>
        <v>9220000878</v>
      </c>
      <c r="AC775" t="str">
        <f>"3452365556"</f>
        <v>3452365556</v>
      </c>
      <c r="AD775" t="str">
        <f>"9220000878"</f>
        <v>9220000878</v>
      </c>
      <c r="AE775" t="str">
        <f>"3452365556"</f>
        <v>3452365556</v>
      </c>
    </row>
    <row r="776" spans="1:31" x14ac:dyDescent="0.45">
      <c r="A776" t="str">
        <f>"ИШМЕТОВА ЭЛЬВИРА НАИЛЕВНА"</f>
        <v>ИШМЕТОВА ЭЛЬВИРА НАИЛЕВНА</v>
      </c>
      <c r="B776" t="str">
        <f>"1985-11-09"</f>
        <v>1985-11-09</v>
      </c>
      <c r="C776" t="str">
        <f>"71 05 358622"</f>
        <v>71 05 358622</v>
      </c>
      <c r="D776" t="str">
        <f>"4854630373547994"</f>
        <v>4854630373547994</v>
      </c>
      <c r="E776" t="str">
        <f>"2021-04-30"</f>
        <v>2021-04-30</v>
      </c>
      <c r="F776" t="str">
        <f>"+"</f>
        <v>+</v>
      </c>
      <c r="G776" t="str">
        <f>"+"</f>
        <v>+</v>
      </c>
      <c r="H776" t="str">
        <f>"40817810016992400364"</f>
        <v>40817810016992400364</v>
      </c>
      <c r="I776" t="str">
        <f>"8647"</f>
        <v>8647</v>
      </c>
      <c r="J776" t="str">
        <f>"0296"</f>
        <v>0296</v>
      </c>
      <c r="K776" t="str">
        <f>"130000.00"</f>
        <v>130000.00</v>
      </c>
      <c r="L776" t="str">
        <f>"626150 ОБЛ ТЮМЕНСКАЯ   Г ТОБОЛЬСК   УЛ ТРУДОВАЯ 3-Я д. 41Б"</f>
        <v>626150 ОБЛ ТЮМЕНСКАЯ   Г ТОБОЛЬСК   УЛ ТРУДОВАЯ 3-Я д. 41Б</v>
      </c>
      <c r="M776" t="str">
        <f t="shared" si="124"/>
        <v>2019-08-24</v>
      </c>
      <c r="N776" t="str">
        <f>"ГБУЗ ТО ОБЛАСТНАЯ БОЛЬНИЦА 3"</f>
        <v>ГБУЗ ТО ОБЛАСТНАЯ БОЛЬНИЦА 3</v>
      </c>
      <c r="O776" t="str">
        <f>"626150"</f>
        <v>626150</v>
      </c>
      <c r="P776" t="str">
        <f>"ОБЛ ТЮМЕНСКАЯ"</f>
        <v>ОБЛ ТЮМЕНСКАЯ</v>
      </c>
      <c r="Q776" t="str">
        <f>""</f>
        <v/>
      </c>
      <c r="R776" t="str">
        <f>"Г ТОБОЛЬСК"</f>
        <v>Г ТОБОЛЬСК</v>
      </c>
      <c r="S776" t="str">
        <f>""</f>
        <v/>
      </c>
      <c r="T776" t="str">
        <f>"УЛ ЛУГОВАЯ 1-Я"</f>
        <v>УЛ ЛУГОВАЯ 1-Я</v>
      </c>
      <c r="U776" s="1" t="str">
        <f>"42"</f>
        <v>42</v>
      </c>
      <c r="V776" s="1" t="str">
        <f>""</f>
        <v/>
      </c>
      <c r="W776" s="1" t="str">
        <f>""</f>
        <v/>
      </c>
      <c r="X776" s="1" t="str">
        <f>""</f>
        <v/>
      </c>
      <c r="Y776" s="1" t="str">
        <f>"14"</f>
        <v>14</v>
      </c>
      <c r="Z776" t="str">
        <f>""</f>
        <v/>
      </c>
      <c r="AA776" t="str">
        <f>"9088787510"</f>
        <v>9088787510</v>
      </c>
      <c r="AB776" t="str">
        <f>"9088787510"</f>
        <v>9088787510</v>
      </c>
      <c r="AC776" t="str">
        <f>"9224798155"</f>
        <v>9224798155</v>
      </c>
      <c r="AD776" t="str">
        <f>"9088787510"</f>
        <v>9088787510</v>
      </c>
      <c r="AE776" t="str">
        <f>""</f>
        <v/>
      </c>
    </row>
    <row r="777" spans="1:31" x14ac:dyDescent="0.45">
      <c r="A777" t="str">
        <f>"ДАВЛЕТХАНОВ ДЕНИС РАФАИЛОВИЧ"</f>
        <v>ДАВЛЕТХАНОВ ДЕНИС РАФАИЛОВИЧ</v>
      </c>
      <c r="B777" t="str">
        <f>"1989-10-15"</f>
        <v>1989-10-15</v>
      </c>
      <c r="C777" t="str">
        <f>"80 09 888119"</f>
        <v>80 09 888119</v>
      </c>
      <c r="D777" t="str">
        <f>"4854630355652804"</f>
        <v>4854630355652804</v>
      </c>
      <c r="E777" t="str">
        <f>"2021-04-30"</f>
        <v>2021-04-30</v>
      </c>
      <c r="F777" t="str">
        <f>"L"</f>
        <v>L</v>
      </c>
      <c r="G777" t="str">
        <f>"+"</f>
        <v>+</v>
      </c>
      <c r="H777" t="str">
        <f>"40817810716991428294"</f>
        <v>40817810716991428294</v>
      </c>
      <c r="I777" t="str">
        <f>"8598"</f>
        <v>8598</v>
      </c>
      <c r="J777" t="str">
        <f>"0188"</f>
        <v>0188</v>
      </c>
      <c r="K777" t="str">
        <f>"300000.00"</f>
        <v>300000.00</v>
      </c>
      <c r="L777" t="str">
        <f>"450000 РЕСП БАШКОРТОСТАН   Г УФА   УЛ ЛЕНИНА д. 13"</f>
        <v>450000 РЕСП БАШКОРТОСТАН   Г УФА   УЛ ЛЕНИНА д. 13</v>
      </c>
      <c r="M777" t="str">
        <f t="shared" si="124"/>
        <v>2019-08-24</v>
      </c>
      <c r="N777" t="str">
        <f>"БАШНЕФТЬ ГЕОФИЗИКА"</f>
        <v>БАШНЕФТЬ ГЕОФИЗИКА</v>
      </c>
      <c r="O777" t="str">
        <f>"452980"</f>
        <v>452980</v>
      </c>
      <c r="P777" t="str">
        <f>"РЕСП БАШКОРТОСТАН"</f>
        <v>РЕСП БАШКОРТОСТАН</v>
      </c>
      <c r="Q777" t="str">
        <f>"Р-Н БАЛТАЧЕВСКИЙ"</f>
        <v>Р-Н БАЛТАЧЕВСКИЙ</v>
      </c>
      <c r="R777" t="str">
        <f>""</f>
        <v/>
      </c>
      <c r="S777" t="str">
        <f>"Д СТАРОЯКШЕЕВО"</f>
        <v>Д СТАРОЯКШЕЕВО</v>
      </c>
      <c r="T777" t="str">
        <f>"УЛ ГАГАРИНА"</f>
        <v>УЛ ГАГАРИНА</v>
      </c>
      <c r="U777" s="1" t="str">
        <f>"14"</f>
        <v>14</v>
      </c>
      <c r="V777" s="1" t="str">
        <f>""</f>
        <v/>
      </c>
      <c r="W777" s="1" t="str">
        <f>""</f>
        <v/>
      </c>
      <c r="X777" s="1" t="str">
        <f>""</f>
        <v/>
      </c>
      <c r="Y777" s="1" t="str">
        <f>""</f>
        <v/>
      </c>
      <c r="Z777" t="str">
        <f>""</f>
        <v/>
      </c>
      <c r="AA777" t="str">
        <f>"9876125977"</f>
        <v>9876125977</v>
      </c>
      <c r="AB777" t="str">
        <f>"9876125977"</f>
        <v>9876125977</v>
      </c>
      <c r="AC777" t="str">
        <f>"9876125977"</f>
        <v>9876125977</v>
      </c>
      <c r="AD777" t="str">
        <f>"9378357001"</f>
        <v>9378357001</v>
      </c>
      <c r="AE777" t="str">
        <f>""</f>
        <v/>
      </c>
    </row>
    <row r="778" spans="1:31" x14ac:dyDescent="0.45">
      <c r="A778" t="str">
        <f>"МАЗИТОВ ЗУЛЬФАТ ЗУФАРОВИЧ"</f>
        <v>МАЗИТОВ ЗУЛЬФАТ ЗУФАРОВИЧ</v>
      </c>
      <c r="B778" t="str">
        <f>"1963-12-06"</f>
        <v>1963-12-06</v>
      </c>
      <c r="C778" t="str">
        <f>"80 08 684972"</f>
        <v>80 08 684972</v>
      </c>
      <c r="D778" t="str">
        <f>"4854630411395083"</f>
        <v>4854630411395083</v>
      </c>
      <c r="E778" t="str">
        <f>"2021-04-30"</f>
        <v>2021-04-30</v>
      </c>
      <c r="F778" t="str">
        <f>"Q"</f>
        <v>Q</v>
      </c>
      <c r="G778" t="str">
        <f>"Q"</f>
        <v>Q</v>
      </c>
      <c r="H778" t="str">
        <f>"40817810016991428295"</f>
        <v>40817810016991428295</v>
      </c>
      <c r="I778" t="str">
        <f>"8598"</f>
        <v>8598</v>
      </c>
      <c r="J778" t="str">
        <f>"0374"</f>
        <v>0374</v>
      </c>
      <c r="K778" t="str">
        <f>"0.00"</f>
        <v>0.00</v>
      </c>
      <c r="L778" t="str">
        <f>"450000 РЕСП БАШКОРТОСТАН   Г СТЕРЛИТАМАК   УЛ ЭЛЕВАТОРНАЯ д. 12"</f>
        <v>450000 РЕСП БАШКОРТОСТАН   Г СТЕРЛИТАМАК   УЛ ЭЛЕВАТОРНАЯ д. 12</v>
      </c>
      <c r="M778" t="str">
        <f t="shared" si="124"/>
        <v>2019-08-24</v>
      </c>
      <c r="N778" t="str">
        <f>"ООО АВТОБРУК СЕРВИС"</f>
        <v>ООО АВТОБРУК СЕРВИС</v>
      </c>
      <c r="O778" t="str">
        <f>"450000"</f>
        <v>450000</v>
      </c>
      <c r="P778" t="str">
        <f>"РЕСП БАШКОРТОСТАН"</f>
        <v>РЕСП БАШКОРТОСТАН</v>
      </c>
      <c r="Q778" t="str">
        <f>""</f>
        <v/>
      </c>
      <c r="R778" t="str">
        <f>"Г СТЕРЛИТАМАК"</f>
        <v>Г СТЕРЛИТАМАК</v>
      </c>
      <c r="S778" t="str">
        <f>""</f>
        <v/>
      </c>
      <c r="T778" t="str">
        <f>"УЛ ЖЕЛЕЗНОДОРОЖНАЯ"</f>
        <v>УЛ ЖЕЛЕЗНОДОРОЖНАЯ</v>
      </c>
      <c r="U778" s="1" t="str">
        <f>"4"</f>
        <v>4</v>
      </c>
      <c r="V778" s="1" t="str">
        <f>""</f>
        <v/>
      </c>
      <c r="W778" s="1" t="str">
        <f>""</f>
        <v/>
      </c>
      <c r="X778" s="1" t="str">
        <f>""</f>
        <v/>
      </c>
      <c r="Y778" s="1" t="str">
        <f>"6"</f>
        <v>6</v>
      </c>
      <c r="Z778" t="str">
        <f>""</f>
        <v/>
      </c>
      <c r="AA778" t="str">
        <f>"3473282213"</f>
        <v>3473282213</v>
      </c>
      <c r="AB778" t="str">
        <f>"9177939408"</f>
        <v>9177939408</v>
      </c>
      <c r="AC778" t="str">
        <f>"9177939408"</f>
        <v>9177939408</v>
      </c>
      <c r="AD778" t="str">
        <f>"9177939408"</f>
        <v>9177939408</v>
      </c>
      <c r="AE778" t="str">
        <f>""</f>
        <v/>
      </c>
    </row>
    <row r="779" spans="1:31" x14ac:dyDescent="0.45">
      <c r="A779" t="str">
        <f>"КРУТИКОВА РУШАНА ВАСЫЛОВНА"</f>
        <v>КРУТИКОВА РУШАНА ВАСЫЛОВНА</v>
      </c>
      <c r="B779" t="str">
        <f>"1987-08-03"</f>
        <v>1987-08-03</v>
      </c>
      <c r="C779" t="str">
        <f>"65 08 404944"</f>
        <v>65 08 404944</v>
      </c>
      <c r="D779" t="str">
        <f>"4854630214997549"</f>
        <v>4854630214997549</v>
      </c>
      <c r="E779" t="str">
        <f>"2021-04-30"</f>
        <v>2021-04-30</v>
      </c>
      <c r="F779" t="str">
        <f t="shared" ref="F779:G785" si="125">"+"</f>
        <v>+</v>
      </c>
      <c r="G779" t="str">
        <f t="shared" si="125"/>
        <v>+</v>
      </c>
      <c r="H779" t="str">
        <f>"40817810316991428296"</f>
        <v>40817810316991428296</v>
      </c>
      <c r="I779" t="str">
        <f>"7003"</f>
        <v>7003</v>
      </c>
      <c r="J779" t="str">
        <f>"0335"</f>
        <v>0335</v>
      </c>
      <c r="K779" t="str">
        <f>"15000.00"</f>
        <v>15000.00</v>
      </c>
      <c r="L779" t="str">
        <f>"620000 ОБЛ СВЕРДЛОВСКАЯ   Г ЕКАТЕРИНБУРГ   УЛ СИМФЕРОПОЛЬСКАЯ д. 41"</f>
        <v>620000 ОБЛ СВЕРДЛОВСКАЯ   Г ЕКАТЕРИНБУРГ   УЛ СИМФЕРОПОЛЬСКАЯ д. 41</v>
      </c>
      <c r="M779" t="str">
        <f t="shared" si="124"/>
        <v>2019-08-24</v>
      </c>
      <c r="N779" t="str">
        <f>"МБДОУ Д/С 182"</f>
        <v>МБДОУ Д/С 182</v>
      </c>
      <c r="O779" t="str">
        <f>"620000"</f>
        <v>620000</v>
      </c>
      <c r="P779" t="str">
        <f>"ОБЛ СВЕРДЛОВСКАЯ"</f>
        <v>ОБЛ СВЕРДЛОВСКАЯ</v>
      </c>
      <c r="Q779" t="str">
        <f>""</f>
        <v/>
      </c>
      <c r="R779" t="str">
        <f>""</f>
        <v/>
      </c>
      <c r="S779" t="str">
        <f>"П ШИРОКАЯ РЕЧКА"</f>
        <v>П ШИРОКАЯ РЕЧКА</v>
      </c>
      <c r="T779" t="str">
        <f>"УЛ НОВОСЕЛОВ"</f>
        <v>УЛ НОВОСЕЛОВ</v>
      </c>
      <c r="U779" s="1" t="str">
        <f>"19"</f>
        <v>19</v>
      </c>
      <c r="V779" s="1" t="str">
        <f>""</f>
        <v/>
      </c>
      <c r="W779" s="1" t="str">
        <f>""</f>
        <v/>
      </c>
      <c r="X779" s="1" t="str">
        <f>""</f>
        <v/>
      </c>
      <c r="Y779" s="1" t="str">
        <f>""</f>
        <v/>
      </c>
      <c r="Z779" t="str">
        <f>"147 6987301"</f>
        <v>147 6987301</v>
      </c>
      <c r="AA779" t="str">
        <f>"9086312051"</f>
        <v>9086312051</v>
      </c>
      <c r="AB779" t="str">
        <f>"9086312051"</f>
        <v>9086312051</v>
      </c>
      <c r="AC779" t="str">
        <f>"9086312051"</f>
        <v>9086312051</v>
      </c>
      <c r="AD779" t="str">
        <f>"9086312051"</f>
        <v>9086312051</v>
      </c>
      <c r="AE779" t="str">
        <f>""</f>
        <v/>
      </c>
    </row>
    <row r="780" spans="1:31" x14ac:dyDescent="0.45">
      <c r="A780" t="str">
        <f>"ТЕРЕХИНА АННА АЛЕКСЕЕВНА"</f>
        <v>ТЕРЕХИНА АННА АЛЕКСЕЕВНА</v>
      </c>
      <c r="B780" t="str">
        <f>"1991-07-18"</f>
        <v>1991-07-18</v>
      </c>
      <c r="C780" t="str">
        <f>"65 11 204106"</f>
        <v>65 11 204106</v>
      </c>
      <c r="D780" t="str">
        <f>"4854630195914661"</f>
        <v>4854630195914661</v>
      </c>
      <c r="E780" t="str">
        <f>"2021-04-30"</f>
        <v>2021-04-30</v>
      </c>
      <c r="F780" t="str">
        <f t="shared" si="125"/>
        <v>+</v>
      </c>
      <c r="G780" t="str">
        <f t="shared" si="125"/>
        <v>+</v>
      </c>
      <c r="H780" t="str">
        <f>"40817810016991428321"</f>
        <v>40817810016991428321</v>
      </c>
      <c r="I780" t="str">
        <f>"7003"</f>
        <v>7003</v>
      </c>
      <c r="J780" t="str">
        <f>"0897"</f>
        <v>0897</v>
      </c>
      <c r="K780" t="str">
        <f>"200000.00"</f>
        <v>200000.00</v>
      </c>
      <c r="L780" t="str">
        <f>"620000 ОБЛ СВЕРДЛОВСКАЯ   Г ЕКАТЕРИНБУРГ   УЛ ГОРЬКОГО д. 67"</f>
        <v>620000 ОБЛ СВЕРДЛОВСКАЯ   Г ЕКАТЕРИНБУРГ   УЛ ГОРЬКОГО д. 67</v>
      </c>
      <c r="M780" t="str">
        <f t="shared" si="124"/>
        <v>2019-08-24</v>
      </c>
      <c r="N780" t="str">
        <f>"ПАО СБЕРБАНК"</f>
        <v>ПАО СБЕРБАНК</v>
      </c>
      <c r="O780" t="str">
        <f>"620000"</f>
        <v>620000</v>
      </c>
      <c r="P780" t="str">
        <f>"ОБЛ СВЕРДЛОВСКАЯ"</f>
        <v>ОБЛ СВЕРДЛОВСКАЯ</v>
      </c>
      <c r="Q780" t="str">
        <f>""</f>
        <v/>
      </c>
      <c r="R780" t="str">
        <f>"Г ЕКАТЕРИНБУРГ"</f>
        <v>Г ЕКАТЕРИНБУРГ</v>
      </c>
      <c r="S780" t="str">
        <f>""</f>
        <v/>
      </c>
      <c r="T780" t="str">
        <f>"УЛ БАКИНСКИХ КОМИСАРОВ"</f>
        <v>УЛ БАКИНСКИХ КОМИСАРОВ</v>
      </c>
      <c r="U780" s="1" t="str">
        <f>"58"</f>
        <v>58</v>
      </c>
      <c r="V780" s="1" t="str">
        <f>""</f>
        <v/>
      </c>
      <c r="W780" s="1" t="str">
        <f>""</f>
        <v/>
      </c>
      <c r="X780" s="1" t="str">
        <f>""</f>
        <v/>
      </c>
      <c r="Y780" s="1" t="str">
        <f>"9"</f>
        <v>9</v>
      </c>
      <c r="Z780" t="str">
        <f>"9527273164"</f>
        <v>9527273164</v>
      </c>
      <c r="AA780" t="str">
        <f>"9527273164"</f>
        <v>9527273164</v>
      </c>
      <c r="AB780" t="str">
        <f>"9126099720"</f>
        <v>9126099720</v>
      </c>
      <c r="AC780" t="str">
        <f>"9527273164"</f>
        <v>9527273164</v>
      </c>
      <c r="AD780" t="str">
        <f>"9527273164"</f>
        <v>9527273164</v>
      </c>
      <c r="AE780" t="str">
        <f>"9527273164"</f>
        <v>9527273164</v>
      </c>
    </row>
    <row r="781" spans="1:31" x14ac:dyDescent="0.45">
      <c r="A781" t="str">
        <f>"ЗАБОРЦЕВА ТАТЬЯНА КАДИМОВНА"</f>
        <v>ЗАБОРЦЕВА ТАТЬЯНА КАДИМОВНА</v>
      </c>
      <c r="B781" t="str">
        <f>"1967-05-10"</f>
        <v>1967-05-10</v>
      </c>
      <c r="C781" t="str">
        <f>"65 11 372624"</f>
        <v>65 11 372624</v>
      </c>
      <c r="D781" t="str">
        <f>"5313100467113170"</f>
        <v>5313100467113170</v>
      </c>
      <c r="E781" t="str">
        <f>"2020-10-31"</f>
        <v>2020-10-31</v>
      </c>
      <c r="F781" t="str">
        <f t="shared" si="125"/>
        <v>+</v>
      </c>
      <c r="G781" t="str">
        <f t="shared" si="125"/>
        <v>+</v>
      </c>
      <c r="H781" t="str">
        <f>"40817810316991428322"</f>
        <v>40817810316991428322</v>
      </c>
      <c r="I781" t="str">
        <f>"7003"</f>
        <v>7003</v>
      </c>
      <c r="J781" t="str">
        <f>"0118"</f>
        <v>0118</v>
      </c>
      <c r="K781" t="str">
        <f>"19000.00"</f>
        <v>19000.00</v>
      </c>
      <c r="L781" t="str">
        <f>"620000 ОБЛ СВЕРДЛОВСКАЯ   Г ЕКАТЕРИНБУРГ   УЛ ШУВАКИШСКАЯ д. 2Б"</f>
        <v>620000 ОБЛ СВЕРДЛОВСКАЯ   Г ЕКАТЕРИНБУРГ   УЛ ШУВАКИШСКАЯ д. 2Б</v>
      </c>
      <c r="M781" t="str">
        <f t="shared" si="124"/>
        <v>2019-08-24</v>
      </c>
      <c r="N781" t="str">
        <f>"ООО НЭРТИС"</f>
        <v>ООО НЭРТИС</v>
      </c>
      <c r="O781" t="str">
        <f>"620000"</f>
        <v>620000</v>
      </c>
      <c r="P781" t="str">
        <f>"ОБЛ СВЕРДЛОВСКАЯ"</f>
        <v>ОБЛ СВЕРДЛОВСКАЯ</v>
      </c>
      <c r="Q781" t="str">
        <f>""</f>
        <v/>
      </c>
      <c r="R781" t="str">
        <f>"Г ЕКАТЕРИНБУРГ"</f>
        <v>Г ЕКАТЕРИНБУРГ</v>
      </c>
      <c r="S781" t="str">
        <f>""</f>
        <v/>
      </c>
      <c r="T781" t="str">
        <f>"УЛ БИЛИМБАЕВСКАЯ"</f>
        <v>УЛ БИЛИМБАЕВСКАЯ</v>
      </c>
      <c r="U781" s="1" t="str">
        <f>"43"</f>
        <v>43</v>
      </c>
      <c r="V781" s="1" t="str">
        <f>""</f>
        <v/>
      </c>
      <c r="W781" s="1" t="str">
        <f>""</f>
        <v/>
      </c>
      <c r="X781" s="1" t="str">
        <f>""</f>
        <v/>
      </c>
      <c r="Y781" s="1" t="str">
        <f>"66"</f>
        <v>66</v>
      </c>
      <c r="Z781" t="str">
        <f>""</f>
        <v/>
      </c>
      <c r="AA781" t="str">
        <f>"9089136561"</f>
        <v>9089136561</v>
      </c>
      <c r="AB781" t="str">
        <f>"9089136561"</f>
        <v>9089136561</v>
      </c>
      <c r="AC781" t="str">
        <f>"9089136561"</f>
        <v>9089136561</v>
      </c>
      <c r="AD781" t="str">
        <f>"9089136561"</f>
        <v>9089136561</v>
      </c>
      <c r="AE781" t="str">
        <f>""</f>
        <v/>
      </c>
    </row>
    <row r="782" spans="1:31" x14ac:dyDescent="0.45">
      <c r="A782" t="str">
        <f>"ГИМРАНОВА НАТАЛЬЯ ЮРЬЕВНА"</f>
        <v>ГИМРАНОВА НАТАЛЬЯ ЮРЬЕВНА</v>
      </c>
      <c r="B782" t="str">
        <f>"1973-12-18"</f>
        <v>1973-12-18</v>
      </c>
      <c r="C782" t="str">
        <f>"67 07 736997"</f>
        <v>67 07 736997</v>
      </c>
      <c r="D782" t="str">
        <f>"4279016744249253"</f>
        <v>4279016744249253</v>
      </c>
      <c r="E782" t="str">
        <f>"2021-05-31"</f>
        <v>2021-05-31</v>
      </c>
      <c r="F782" t="str">
        <f t="shared" si="125"/>
        <v>+</v>
      </c>
      <c r="G782" t="str">
        <f t="shared" si="125"/>
        <v>+</v>
      </c>
      <c r="H782" t="str">
        <f>"40817810216992552025"</f>
        <v>40817810216992552025</v>
      </c>
      <c r="I782" t="str">
        <f>"1791"</f>
        <v>1791</v>
      </c>
      <c r="J782" t="str">
        <f>"0100"</f>
        <v>0100</v>
      </c>
      <c r="K782" t="str">
        <f>"50000.00"</f>
        <v>50000.00</v>
      </c>
      <c r="L782" t="str">
        <f>"628181 ОБЛ ТЮМЕНСКАЯ АО ХМАО-ЮГРА Г НЯГАНЬ   УЛ ЛЕНИНА д. 17"</f>
        <v>628181 ОБЛ ТЮМЕНСКАЯ АО ХМАО-ЮГРА Г НЯГАНЬ   УЛ ЛЕНИНА д. 17</v>
      </c>
      <c r="M782" t="str">
        <f t="shared" si="124"/>
        <v>2019-08-24</v>
      </c>
      <c r="N782" t="str">
        <f>"ИП ТЮМЕНЦЕВА А А"</f>
        <v>ИП ТЮМЕНЦЕВА А А</v>
      </c>
      <c r="O782" t="str">
        <f>"628181"</f>
        <v>628181</v>
      </c>
      <c r="P782" t="str">
        <f t="shared" ref="P782:P787" si="126">"ОБЛ ТЮМЕНСКАЯ"</f>
        <v>ОБЛ ТЮМЕНСКАЯ</v>
      </c>
      <c r="Q782" t="str">
        <f>"АО ХМАО-ЮГРА"</f>
        <v>АО ХМАО-ЮГРА</v>
      </c>
      <c r="R782" t="str">
        <f>"Г НЯГАНЬ"</f>
        <v>Г НЯГАНЬ</v>
      </c>
      <c r="S782" t="str">
        <f>""</f>
        <v/>
      </c>
      <c r="T782" t="str">
        <f>"УЛ ИНТЕРНАЦИОНАЛЬНАЯ"</f>
        <v>УЛ ИНТЕРНАЦИОНАЛЬНАЯ</v>
      </c>
      <c r="U782" s="1" t="str">
        <f>"6"</f>
        <v>6</v>
      </c>
      <c r="V782" s="1" t="str">
        <f>""</f>
        <v/>
      </c>
      <c r="W782" s="1" t="str">
        <f>""</f>
        <v/>
      </c>
      <c r="X782" s="1" t="str">
        <f>""</f>
        <v/>
      </c>
      <c r="Y782" s="1" t="str">
        <f>"5"</f>
        <v>5</v>
      </c>
      <c r="Z782" t="str">
        <f>"9322508819"</f>
        <v>9322508819</v>
      </c>
      <c r="AA782" t="str">
        <f>"9322508819"</f>
        <v>9322508819</v>
      </c>
      <c r="AB782" t="str">
        <f>"9322508819"</f>
        <v>9322508819</v>
      </c>
      <c r="AC782" t="str">
        <f>"9227919155"</f>
        <v>9227919155</v>
      </c>
      <c r="AD782" t="str">
        <f>"9322508819"</f>
        <v>9322508819</v>
      </c>
      <c r="AE782" t="str">
        <f>""</f>
        <v/>
      </c>
    </row>
    <row r="783" spans="1:31" x14ac:dyDescent="0.45">
      <c r="A783" t="str">
        <f>"ГУСЕВА НАДЕЖДА ИВАНОВНА"</f>
        <v>ГУСЕВА НАДЕЖДА ИВАНОВНА</v>
      </c>
      <c r="B783" t="str">
        <f>"1970-03-19"</f>
        <v>1970-03-19</v>
      </c>
      <c r="C783" t="str">
        <f>"67 14 451862"</f>
        <v>67 14 451862</v>
      </c>
      <c r="D783" t="str">
        <f>"4279016716621547"</f>
        <v>4279016716621547</v>
      </c>
      <c r="E783" t="str">
        <f>"2021-05-31"</f>
        <v>2021-05-31</v>
      </c>
      <c r="F783" t="str">
        <f t="shared" si="125"/>
        <v>+</v>
      </c>
      <c r="G783" t="str">
        <f t="shared" si="125"/>
        <v>+</v>
      </c>
      <c r="H783" t="str">
        <f>"40817810116992552222"</f>
        <v>40817810116992552222</v>
      </c>
      <c r="I783" t="str">
        <f>"5940"</f>
        <v>5940</v>
      </c>
      <c r="J783" t="str">
        <f>"0115"</f>
        <v>0115</v>
      </c>
      <c r="K783" t="str">
        <f>"145000.00"</f>
        <v>145000.00</v>
      </c>
      <c r="L783" t="str">
        <f>"628600 ОБЛ ТЮМЕНСКАЯ   Г НИЖНЕВАРТОВСК   УЛ ОМСКАЯ д. 56"</f>
        <v>628600 ОБЛ ТЮМЕНСКАЯ   Г НИЖНЕВАРТОВСК   УЛ ОМСКАЯ д. 56</v>
      </c>
      <c r="M783" t="str">
        <f t="shared" si="124"/>
        <v>2019-08-24</v>
      </c>
      <c r="N783" t="str">
        <f>"ИП ДУБИНА"</f>
        <v>ИП ДУБИНА</v>
      </c>
      <c r="O783" t="str">
        <f>"628600"</f>
        <v>628600</v>
      </c>
      <c r="P783" t="str">
        <f t="shared" si="126"/>
        <v>ОБЛ ТЮМЕНСКАЯ</v>
      </c>
      <c r="Q783" t="str">
        <f>""</f>
        <v/>
      </c>
      <c r="R783" t="str">
        <f>"Г НИЖНЕВАРТОВСК"</f>
        <v>Г НИЖНЕВАРТОВСК</v>
      </c>
      <c r="S783" t="str">
        <f>""</f>
        <v/>
      </c>
      <c r="T783" t="str">
        <f>"УЛ ПЕРМСКАЯ"</f>
        <v>УЛ ПЕРМСКАЯ</v>
      </c>
      <c r="U783" s="1" t="str">
        <f>"3А"</f>
        <v>3А</v>
      </c>
      <c r="V783" s="1" t="str">
        <f>""</f>
        <v/>
      </c>
      <c r="W783" s="1" t="str">
        <f>""</f>
        <v/>
      </c>
      <c r="X783" s="1" t="str">
        <f>""</f>
        <v/>
      </c>
      <c r="Y783" s="1" t="str">
        <f>"33"</f>
        <v>33</v>
      </c>
      <c r="Z783" t="str">
        <f>""</f>
        <v/>
      </c>
      <c r="AA783" t="str">
        <f>"9825050626"</f>
        <v>9825050626</v>
      </c>
      <c r="AB783" t="str">
        <f>"9825897583"</f>
        <v>9825897583</v>
      </c>
      <c r="AC783" t="str">
        <f>"9825050626"</f>
        <v>9825050626</v>
      </c>
      <c r="AD783" t="str">
        <f>"9825897583"</f>
        <v>9825897583</v>
      </c>
      <c r="AE783" t="str">
        <f>""</f>
        <v/>
      </c>
    </row>
    <row r="784" spans="1:31" x14ac:dyDescent="0.45">
      <c r="A784" t="str">
        <f>"ХИСМАТУЛЛИН ДАНИЯР НАРКИСОВИЧ"</f>
        <v>ХИСМАТУЛЛИН ДАНИЯР НАРКИСОВИЧ</v>
      </c>
      <c r="B784" t="str">
        <f>"1985-10-26"</f>
        <v>1985-10-26</v>
      </c>
      <c r="C784" t="str">
        <f>"71 05 368337"</f>
        <v>71 05 368337</v>
      </c>
      <c r="D784" t="str">
        <f>"4279016731471597"</f>
        <v>4279016731471597</v>
      </c>
      <c r="E784" t="str">
        <f>"2021-05-31"</f>
        <v>2021-05-31</v>
      </c>
      <c r="F784" t="str">
        <f t="shared" si="125"/>
        <v>+</v>
      </c>
      <c r="G784" t="str">
        <f t="shared" si="125"/>
        <v>+</v>
      </c>
      <c r="H784" t="str">
        <f>"40817810616992552557"</f>
        <v>40817810616992552557</v>
      </c>
      <c r="I784" t="str">
        <f>"8647"</f>
        <v>8647</v>
      </c>
      <c r="J784" t="str">
        <f>"7770"</f>
        <v>7770</v>
      </c>
      <c r="K784" t="str">
        <f>"30000.00"</f>
        <v>30000.00</v>
      </c>
      <c r="L784" t="str">
        <f>"625000 ОБЛ ТЮМЕНСКАЯ   Г ТЮМЕНЬ   УЛ ЩЕРБАКОВА д. 87"</f>
        <v>625000 ОБЛ ТЮМЕНСКАЯ   Г ТЮМЕНЬ   УЛ ЩЕРБАКОВА д. 87</v>
      </c>
      <c r="M784" t="str">
        <f t="shared" si="124"/>
        <v>2019-08-24</v>
      </c>
      <c r="N784" t="str">
        <f>"АКВАПАРК"</f>
        <v>АКВАПАРК</v>
      </c>
      <c r="O784" t="str">
        <f>"625000"</f>
        <v>625000</v>
      </c>
      <c r="P784" t="str">
        <f t="shared" si="126"/>
        <v>ОБЛ ТЮМЕНСКАЯ</v>
      </c>
      <c r="Q784" t="str">
        <f>""</f>
        <v/>
      </c>
      <c r="R784" t="str">
        <f>"Г ТЮМЕНЬ"</f>
        <v>Г ТЮМЕНЬ</v>
      </c>
      <c r="S784" t="str">
        <f>""</f>
        <v/>
      </c>
      <c r="T784" t="str">
        <f>"УЛ 30 ЛЕТ ПОБЕДЫ"</f>
        <v>УЛ 30 ЛЕТ ПОБЕДЫ</v>
      </c>
      <c r="U784" s="1" t="str">
        <f>"78"</f>
        <v>78</v>
      </c>
      <c r="V784" s="1" t="str">
        <f>""</f>
        <v/>
      </c>
      <c r="W784" s="1" t="str">
        <f>""</f>
        <v/>
      </c>
      <c r="X784" s="1" t="str">
        <f>""</f>
        <v/>
      </c>
      <c r="Y784" s="1" t="str">
        <f>"40"</f>
        <v>40</v>
      </c>
      <c r="Z784" t="str">
        <f>"3452494040"</f>
        <v>3452494040</v>
      </c>
      <c r="AA784" t="str">
        <f>"9199567266"</f>
        <v>9199567266</v>
      </c>
      <c r="AB784" t="str">
        <f>"9199567266"</f>
        <v>9199567266</v>
      </c>
      <c r="AC784" t="str">
        <f>"9199567266"</f>
        <v>9199567266</v>
      </c>
      <c r="AD784" t="str">
        <f>"9199567266"</f>
        <v>9199567266</v>
      </c>
      <c r="AE784" t="str">
        <f>"3452790330"</f>
        <v>3452790330</v>
      </c>
    </row>
    <row r="785" spans="1:31" x14ac:dyDescent="0.45">
      <c r="A785" t="str">
        <f>"ТРОФИМОВА ОКСАНА ВАЛЕРЬЕВНА"</f>
        <v>ТРОФИМОВА ОКСАНА ВАЛЕРЬЕВНА</v>
      </c>
      <c r="B785" t="str">
        <f>"1983-03-02"</f>
        <v>1983-03-02</v>
      </c>
      <c r="C785" t="str">
        <f>"71 09 709647"</f>
        <v>71 09 709647</v>
      </c>
      <c r="D785" t="str">
        <f>"4279016744458383"</f>
        <v>4279016744458383</v>
      </c>
      <c r="E785" t="str">
        <f>"2021-05-31"</f>
        <v>2021-05-31</v>
      </c>
      <c r="F785" t="str">
        <f t="shared" si="125"/>
        <v>+</v>
      </c>
      <c r="G785" t="str">
        <f t="shared" si="125"/>
        <v>+</v>
      </c>
      <c r="H785" t="str">
        <f>"40817810216992552591"</f>
        <v>40817810216992552591</v>
      </c>
      <c r="I785" t="str">
        <f>"8647"</f>
        <v>8647</v>
      </c>
      <c r="J785" t="str">
        <f>"7770"</f>
        <v>7770</v>
      </c>
      <c r="K785" t="str">
        <f>"125000.00"</f>
        <v>125000.00</v>
      </c>
      <c r="L785" t="str">
        <f>"625000 ОБЛ ТЮМЕНСКАЯ   Г ТЮМЕНЬ   УЛ ЩЕРБАКОВА д. 87"</f>
        <v>625000 ОБЛ ТЮМЕНСКАЯ   Г ТЮМЕНЬ   УЛ ЩЕРБАКОВА д. 87</v>
      </c>
      <c r="M785" t="str">
        <f t="shared" si="124"/>
        <v>2019-08-24</v>
      </c>
      <c r="N785" t="str">
        <f>"ООО АКВАПАРК"</f>
        <v>ООО АКВАПАРК</v>
      </c>
      <c r="O785" t="str">
        <f>"625000"</f>
        <v>625000</v>
      </c>
      <c r="P785" t="str">
        <f t="shared" si="126"/>
        <v>ОБЛ ТЮМЕНСКАЯ</v>
      </c>
      <c r="Q785" t="str">
        <f>""</f>
        <v/>
      </c>
      <c r="R785" t="str">
        <f>"Г ТЮМЕНЬ"</f>
        <v>Г ТЮМЕНЬ</v>
      </c>
      <c r="S785" t="str">
        <f>""</f>
        <v/>
      </c>
      <c r="T785" t="str">
        <f>"УЛ ЩЕРБАКОВА"</f>
        <v>УЛ ЩЕРБАКОВА</v>
      </c>
      <c r="U785" s="1" t="str">
        <f>"150"</f>
        <v>150</v>
      </c>
      <c r="V785" s="1" t="str">
        <f>""</f>
        <v/>
      </c>
      <c r="W785" s="1" t="str">
        <f>"1"</f>
        <v>1</v>
      </c>
      <c r="X785" s="1" t="str">
        <f>""</f>
        <v/>
      </c>
      <c r="Y785" s="1" t="str">
        <f>"173"</f>
        <v>173</v>
      </c>
      <c r="Z785" t="str">
        <f>"3452566002"</f>
        <v>3452566002</v>
      </c>
      <c r="AA785" t="str">
        <f>"9129242972"</f>
        <v>9129242972</v>
      </c>
      <c r="AB785" t="str">
        <f>"9129242972"</f>
        <v>9129242972</v>
      </c>
      <c r="AC785" t="str">
        <f>"9129242972"</f>
        <v>9129242972</v>
      </c>
      <c r="AD785" t="str">
        <f>"9129242972"</f>
        <v>9129242972</v>
      </c>
      <c r="AE785" t="str">
        <f>"3452566002"</f>
        <v>3452566002</v>
      </c>
    </row>
    <row r="786" spans="1:31" x14ac:dyDescent="0.45">
      <c r="A786" t="str">
        <f>"ЛАТЫШЕВ АНДРЕЙ ВЛАДИМИРОВИЧ"</f>
        <v>ЛАТЫШЕВ АНДРЕЙ ВЛАДИМИРОВИЧ</v>
      </c>
      <c r="B786" t="str">
        <f>"1967-01-25"</f>
        <v>1967-01-25</v>
      </c>
      <c r="C786" t="str">
        <f>"71 11 903607"</f>
        <v>71 11 903607</v>
      </c>
      <c r="D786" t="str">
        <f>"4279016718150289"</f>
        <v>4279016718150289</v>
      </c>
      <c r="E786" t="str">
        <f>"2021-05-31"</f>
        <v>2021-05-31</v>
      </c>
      <c r="F786" t="str">
        <f>"Q"</f>
        <v>Q</v>
      </c>
      <c r="G786" t="str">
        <f>"Q"</f>
        <v>Q</v>
      </c>
      <c r="H786" t="str">
        <f>"40817810116992552646"</f>
        <v>40817810116992552646</v>
      </c>
      <c r="I786" t="str">
        <f>"8647"</f>
        <v>8647</v>
      </c>
      <c r="J786" t="str">
        <f>"7770"</f>
        <v>7770</v>
      </c>
      <c r="K786" t="str">
        <f>"0.00"</f>
        <v>0.00</v>
      </c>
      <c r="L786" t="str">
        <f>"625000 ОБЛ ТЮМЕНСКАЯ   Г ТЮМЕНЬ   УЛ РЕСПУБЛИКИ д. 48"</f>
        <v>625000 ОБЛ ТЮМЕНСКАЯ   Г ТЮМЕНЬ   УЛ РЕСПУБЛИКИ д. 48</v>
      </c>
      <c r="M786" t="str">
        <f t="shared" si="124"/>
        <v>2019-08-24</v>
      </c>
      <c r="N786" t="str">
        <f>"ЗАПСИБНИИГГ"</f>
        <v>ЗАПСИБНИИГГ</v>
      </c>
      <c r="O786" t="str">
        <f>"625022"</f>
        <v>625022</v>
      </c>
      <c r="P786" t="str">
        <f t="shared" si="126"/>
        <v>ОБЛ ТЮМЕНСКАЯ</v>
      </c>
      <c r="Q786" t="str">
        <f>""</f>
        <v/>
      </c>
      <c r="R786" t="str">
        <f>"Г ТЮМЕНЬ"</f>
        <v>Г ТЮМЕНЬ</v>
      </c>
      <c r="S786" t="str">
        <f>""</f>
        <v/>
      </c>
      <c r="T786" t="str">
        <f>"УЛ ГАЗОВИКОВ"</f>
        <v>УЛ ГАЗОВИКОВ</v>
      </c>
      <c r="U786" s="1" t="str">
        <f>"49"</f>
        <v>49</v>
      </c>
      <c r="V786" s="1" t="str">
        <f>""</f>
        <v/>
      </c>
      <c r="W786" s="1" t="str">
        <f>"1"</f>
        <v>1</v>
      </c>
      <c r="X786" s="1" t="str">
        <f>""</f>
        <v/>
      </c>
      <c r="Y786" s="1" t="str">
        <f>"2"</f>
        <v>2</v>
      </c>
      <c r="Z786" t="str">
        <f>"3452461297"</f>
        <v>3452461297</v>
      </c>
      <c r="AA786" t="str">
        <f>"9612053899"</f>
        <v>9612053899</v>
      </c>
      <c r="AB786" t="str">
        <f>"9612053899"</f>
        <v>9612053899</v>
      </c>
      <c r="AC786" t="str">
        <f>"9612053899"</f>
        <v>9612053899</v>
      </c>
      <c r="AD786" t="str">
        <f>"9612053899"</f>
        <v>9612053899</v>
      </c>
      <c r="AE786" t="str">
        <f>"3452461297"</f>
        <v>3452461297</v>
      </c>
    </row>
    <row r="787" spans="1:31" x14ac:dyDescent="0.45">
      <c r="A787" t="str">
        <f>"ХУСЕЙНОВ РАСУЛ ШАМИРОВИЧ"</f>
        <v>ХУСЕЙНОВ РАСУЛ ШАМИРОВИЧ</v>
      </c>
      <c r="B787" t="str">
        <f>"1972-06-18"</f>
        <v>1972-06-18</v>
      </c>
      <c r="C787" t="str">
        <f>"67 17 647671"</f>
        <v>67 17 647671</v>
      </c>
      <c r="D787" t="str">
        <f>"4854630395997474"</f>
        <v>4854630395997474</v>
      </c>
      <c r="E787" t="str">
        <f>"2021-04-30"</f>
        <v>2021-04-30</v>
      </c>
      <c r="F787" t="str">
        <f>"+"</f>
        <v>+</v>
      </c>
      <c r="G787" t="str">
        <f>"+"</f>
        <v>+</v>
      </c>
      <c r="H787" t="str">
        <f>"40817810116992245610"</f>
        <v>40817810116992245610</v>
      </c>
      <c r="I787" t="str">
        <f>"5940"</f>
        <v>5940</v>
      </c>
      <c r="J787" t="str">
        <f>"0117"</f>
        <v>0117</v>
      </c>
      <c r="K787" t="str">
        <f>"80000.00"</f>
        <v>80000.00</v>
      </c>
      <c r="L787" t="str">
        <f>"628600 ОБЛ ТЮМЕНСКАЯ   Г НИЖНЕВАРТОВСК   УЛ ИНДУСТРИАЛЬНАЯ д. 36"</f>
        <v>628600 ОБЛ ТЮМЕНСКАЯ   Г НИЖНЕВАРТОВСК   УЛ ИНДУСТРИАЛЬНАЯ д. 36</v>
      </c>
      <c r="M787" t="str">
        <f t="shared" si="124"/>
        <v>2019-08-24</v>
      </c>
      <c r="N787" t="s">
        <v>56</v>
      </c>
      <c r="O787" t="str">
        <f>"628600"</f>
        <v>628600</v>
      </c>
      <c r="P787" t="str">
        <f t="shared" si="126"/>
        <v>ОБЛ ТЮМЕНСКАЯ</v>
      </c>
      <c r="Q787" t="str">
        <f>""</f>
        <v/>
      </c>
      <c r="R787" t="str">
        <f>"Г НИЖНЕВАРТОВСК"</f>
        <v>Г НИЖНЕВАРТОВСК</v>
      </c>
      <c r="S787" t="str">
        <f>""</f>
        <v/>
      </c>
      <c r="T787" t="str">
        <f>"УЛ МАРШАЛА ЖУКОВА"</f>
        <v>УЛ МАРШАЛА ЖУКОВА</v>
      </c>
      <c r="U787" s="1" t="str">
        <f>"22"</f>
        <v>22</v>
      </c>
      <c r="V787" s="1" t="str">
        <f>""</f>
        <v/>
      </c>
      <c r="W787" s="1" t="str">
        <f>""</f>
        <v/>
      </c>
      <c r="X787" s="1" t="str">
        <f>""</f>
        <v/>
      </c>
      <c r="Y787" s="1" t="str">
        <f>"90"</f>
        <v>90</v>
      </c>
      <c r="Z787" t="str">
        <f>"9825890244"</f>
        <v>9825890244</v>
      </c>
      <c r="AA787" t="str">
        <f>"9129355947"</f>
        <v>9129355947</v>
      </c>
      <c r="AB787" t="str">
        <f>"9825890244"</f>
        <v>9825890244</v>
      </c>
      <c r="AC787" t="str">
        <f>"9129355947"</f>
        <v>9129355947</v>
      </c>
      <c r="AD787" t="str">
        <f>"9825890244"</f>
        <v>9825890244</v>
      </c>
      <c r="AE787" t="str">
        <f>"9825890244"</f>
        <v>9825890244</v>
      </c>
    </row>
    <row r="788" spans="1:31" x14ac:dyDescent="0.45">
      <c r="A788" t="str">
        <f>"ДОРОФЕЕВА ДАРЬЯ ВАЛЕРЬЕВНА"</f>
        <v>ДОРОФЕЕВА ДАРЬЯ ВАЛЕРЬЕВНА</v>
      </c>
      <c r="B788" t="str">
        <f>"1987-04-22"</f>
        <v>1987-04-22</v>
      </c>
      <c r="C788" t="str">
        <f>"75 07 065296"</f>
        <v>75 07 065296</v>
      </c>
      <c r="D788" t="str">
        <f>"4854630403684353"</f>
        <v>4854630403684353</v>
      </c>
      <c r="E788" t="str">
        <f>"2021-04-30"</f>
        <v>2021-04-30</v>
      </c>
      <c r="F788" t="str">
        <f>"K"</f>
        <v>K</v>
      </c>
      <c r="G788" t="str">
        <f>"+"</f>
        <v>+</v>
      </c>
      <c r="H788" t="str">
        <f>"40817810416991428280"</f>
        <v>40817810416991428280</v>
      </c>
      <c r="I788" t="str">
        <f>"8597"</f>
        <v>8597</v>
      </c>
      <c r="J788" t="str">
        <f>"0265"</f>
        <v>0265</v>
      </c>
      <c r="K788" t="str">
        <f>"15000.00"</f>
        <v>15000.00</v>
      </c>
      <c r="L788" t="str">
        <f>"454000 ОБЛ ЧЕЛЯБИНСКАЯ   Г ЧЕЛЯБИНСК   УЛ ЕЛЬКИНА д. 73"</f>
        <v>454000 ОБЛ ЧЕЛЯБИНСКАЯ   Г ЧЕЛЯБИНСК   УЛ ЕЛЬКИНА д. 73</v>
      </c>
      <c r="M788" t="str">
        <f t="shared" si="124"/>
        <v>2019-08-24</v>
      </c>
      <c r="N788" t="str">
        <f>"ЦЕНТР ГИГИЕНЫ"</f>
        <v>ЦЕНТР ГИГИЕНЫ</v>
      </c>
      <c r="O788" t="str">
        <f>"456000"</f>
        <v>456000</v>
      </c>
      <c r="P788" t="str">
        <f>"ОБЛ ЧЕЛЯБИНСКАЯ"</f>
        <v>ОБЛ ЧЕЛЯБИНСКАЯ</v>
      </c>
      <c r="Q788" t="str">
        <f>""</f>
        <v/>
      </c>
      <c r="R788" t="str">
        <f>"Г СНЕЖИНСК"</f>
        <v>Г СНЕЖИНСК</v>
      </c>
      <c r="S788" t="str">
        <f>"П БЛ. БЕРЕГОВОЙ"</f>
        <v>П БЛ. БЕРЕГОВОЙ</v>
      </c>
      <c r="T788" t="str">
        <f>"УЛ ТИХАЯ"</f>
        <v>УЛ ТИХАЯ</v>
      </c>
      <c r="U788" s="1" t="str">
        <f>"10"</f>
        <v>10</v>
      </c>
      <c r="V788" s="1" t="str">
        <f>""</f>
        <v/>
      </c>
      <c r="W788" s="1" t="str">
        <f>""</f>
        <v/>
      </c>
      <c r="X788" s="1" t="str">
        <f>""</f>
        <v/>
      </c>
      <c r="Y788" s="1" t="str">
        <f>""</f>
        <v/>
      </c>
      <c r="Z788" t="str">
        <f>"3512373825"</f>
        <v>3512373825</v>
      </c>
      <c r="AA788" t="str">
        <f>"9193181878"</f>
        <v>9193181878</v>
      </c>
      <c r="AB788" t="str">
        <f>"9193181878"</f>
        <v>9193181878</v>
      </c>
      <c r="AC788" t="str">
        <f>"9193181878"</f>
        <v>9193181878</v>
      </c>
      <c r="AD788" t="str">
        <f>"9193181878"</f>
        <v>9193181878</v>
      </c>
      <c r="AE788" t="str">
        <f>"3512373825"</f>
        <v>3512373825</v>
      </c>
    </row>
    <row r="789" spans="1:31" x14ac:dyDescent="0.45">
      <c r="A789" t="str">
        <f>"ТЮРИНА РАЙСАЛЯ МАЙОРОВНА"</f>
        <v>ТЮРИНА РАЙСАЛЯ МАЙОРОВНА</v>
      </c>
      <c r="B789" t="str">
        <f>"1966-02-14"</f>
        <v>1966-02-14</v>
      </c>
      <c r="C789" t="str">
        <f>"71 10 834526"</f>
        <v>71 10 834526</v>
      </c>
      <c r="D789" t="str">
        <f>"5313100570494202"</f>
        <v>5313100570494202</v>
      </c>
      <c r="E789" t="str">
        <f>"2020-09-30"</f>
        <v>2020-09-30</v>
      </c>
      <c r="F789" t="str">
        <f>"Q"</f>
        <v>Q</v>
      </c>
      <c r="G789" t="str">
        <f>"Q"</f>
        <v>Q</v>
      </c>
      <c r="H789" t="str">
        <f>"40817810316992353069"</f>
        <v>40817810316992353069</v>
      </c>
      <c r="I789" t="str">
        <f>"8647"</f>
        <v>8647</v>
      </c>
      <c r="J789" t="str">
        <f>"0088"</f>
        <v>0088</v>
      </c>
      <c r="K789" t="str">
        <f>"0.00"</f>
        <v>0.00</v>
      </c>
      <c r="L789" t="str">
        <f>"625000 ОБЛ ТЮМЕНСКАЯ   Г ТЮМЕНЬ   УЛ ЩЕРБАКОВА д. 119"</f>
        <v>625000 ОБЛ ТЮМЕНСКАЯ   Г ТЮМЕНЬ   УЛ ЩЕРБАКОВА д. 119</v>
      </c>
      <c r="M789" t="str">
        <f t="shared" si="124"/>
        <v>2019-08-24</v>
      </c>
      <c r="N789" t="str">
        <f>"ООО АРТЕЛЬ"</f>
        <v>ООО АРТЕЛЬ</v>
      </c>
      <c r="O789" t="str">
        <f>"625000"</f>
        <v>625000</v>
      </c>
      <c r="P789" t="str">
        <f>"ОБЛ ТЮМЕНСКАЯ"</f>
        <v>ОБЛ ТЮМЕНСКАЯ</v>
      </c>
      <c r="Q789" t="str">
        <f>""</f>
        <v/>
      </c>
      <c r="R789" t="str">
        <f>"Г ТЮМЕНЬ"</f>
        <v>Г ТЮМЕНЬ</v>
      </c>
      <c r="S789" t="str">
        <f>""</f>
        <v/>
      </c>
      <c r="T789" t="str">
        <f>"УЛ ШИШКОВА"</f>
        <v>УЛ ШИШКОВА</v>
      </c>
      <c r="U789" s="1" t="str">
        <f>"11"</f>
        <v>11</v>
      </c>
      <c r="V789" s="1" t="str">
        <f>""</f>
        <v/>
      </c>
      <c r="W789" s="1" t="str">
        <f>""</f>
        <v/>
      </c>
      <c r="X789" s="1" t="str">
        <f>""</f>
        <v/>
      </c>
      <c r="Y789" s="1" t="str">
        <f>"1Ж"</f>
        <v>1Ж</v>
      </c>
      <c r="Z789" t="str">
        <f>""</f>
        <v/>
      </c>
      <c r="AA789" t="str">
        <f>"9821314865"</f>
        <v>9821314865</v>
      </c>
      <c r="AB789" t="str">
        <f>"9129914811"</f>
        <v>9129914811</v>
      </c>
      <c r="AC789" t="str">
        <f>"9821314865"</f>
        <v>9821314865</v>
      </c>
      <c r="AD789" t="str">
        <f>"9129914811"</f>
        <v>9129914811</v>
      </c>
      <c r="AE789" t="str">
        <f>""</f>
        <v/>
      </c>
    </row>
    <row r="790" spans="1:31" x14ac:dyDescent="0.45">
      <c r="A790" t="str">
        <f>"СОИНОВ ПАВЕЛ ВИКТОРОВИЧ"</f>
        <v>СОИНОВ ПАВЕЛ ВИКТОРОВИЧ</v>
      </c>
      <c r="B790" t="str">
        <f>"1968-10-21"</f>
        <v>1968-10-21</v>
      </c>
      <c r="C790" t="str">
        <f>"80 13 858631"</f>
        <v>80 13 858631</v>
      </c>
      <c r="D790" t="str">
        <f>"4854630380447006"</f>
        <v>4854630380447006</v>
      </c>
      <c r="E790" t="str">
        <f>"2021-04-30"</f>
        <v>2021-04-30</v>
      </c>
      <c r="F790" t="str">
        <f>"+"</f>
        <v>+</v>
      </c>
      <c r="G790" t="str">
        <f>"+"</f>
        <v>+</v>
      </c>
      <c r="H790" t="str">
        <f>"40817810616991428297"</f>
        <v>40817810616991428297</v>
      </c>
      <c r="I790" t="str">
        <f>"8598"</f>
        <v>8598</v>
      </c>
      <c r="J790" t="str">
        <f>"0159"</f>
        <v>0159</v>
      </c>
      <c r="K790" t="str">
        <f>"1000.00"</f>
        <v>1000.00</v>
      </c>
      <c r="L790" t="str">
        <f>"450000 РЕСП БАШКОРТОСТАН   Г УФА   УЛ МАКАРОВА д. 19/5"</f>
        <v>450000 РЕСП БАШКОРТОСТАН   Г УФА   УЛ МАКАРОВА д. 19/5</v>
      </c>
      <c r="M790" t="str">
        <f t="shared" si="124"/>
        <v>2019-08-24</v>
      </c>
      <c r="N790" t="str">
        <f>"МУП УЭТ Г. УФА"</f>
        <v>МУП УЭТ Г. УФА</v>
      </c>
      <c r="O790" t="str">
        <f>"450000"</f>
        <v>450000</v>
      </c>
      <c r="P790" t="str">
        <f>"РЕСП БАШКОРТОСТАН"</f>
        <v>РЕСП БАШКОРТОСТАН</v>
      </c>
      <c r="Q790" t="str">
        <f>""</f>
        <v/>
      </c>
      <c r="R790" t="str">
        <f>"Г УФА"</f>
        <v>Г УФА</v>
      </c>
      <c r="S790" t="str">
        <f>""</f>
        <v/>
      </c>
      <c r="T790" t="str">
        <f>"УЛ ДАУТА ЮЛТЫЯ"</f>
        <v>УЛ ДАУТА ЮЛТЫЯ</v>
      </c>
      <c r="U790" s="1" t="str">
        <f>"4"</f>
        <v>4</v>
      </c>
      <c r="V790" s="1" t="str">
        <f>""</f>
        <v/>
      </c>
      <c r="W790" s="1" t="str">
        <f>""</f>
        <v/>
      </c>
      <c r="X790" s="1" t="str">
        <f>""</f>
        <v/>
      </c>
      <c r="Y790" s="1" t="str">
        <f>"93"</f>
        <v>93</v>
      </c>
      <c r="Z790" t="str">
        <f>"9173513419"</f>
        <v>9173513419</v>
      </c>
      <c r="AA790" t="str">
        <f>"9173513419"</f>
        <v>9173513419</v>
      </c>
      <c r="AB790" t="str">
        <f>"9173513419"</f>
        <v>9173513419</v>
      </c>
      <c r="AC790" t="str">
        <f>"9173513419"</f>
        <v>9173513419</v>
      </c>
      <c r="AD790" t="str">
        <f>"9173513419"</f>
        <v>9173513419</v>
      </c>
      <c r="AE790" t="str">
        <f>"9173513419"</f>
        <v>9173513419</v>
      </c>
    </row>
    <row r="791" spans="1:31" x14ac:dyDescent="0.45">
      <c r="A791" t="str">
        <f>"СОКОЛОВ СЕРГЕЙ МИХАЙЛОВИЧ"</f>
        <v>СОКОЛОВ СЕРГЕЙ МИХАЙЛОВИЧ</v>
      </c>
      <c r="B791" t="str">
        <f>"1954-05-12"</f>
        <v>1954-05-12</v>
      </c>
      <c r="C791" t="str">
        <f>"65 15 124252"</f>
        <v>65 15 124252</v>
      </c>
      <c r="D791" t="str">
        <f>"4854630236994573"</f>
        <v>4854630236994573</v>
      </c>
      <c r="E791" t="str">
        <f>"2020-11-30"</f>
        <v>2020-11-30</v>
      </c>
      <c r="F791" t="str">
        <f>"+"</f>
        <v>+</v>
      </c>
      <c r="G791" t="str">
        <f>"+"</f>
        <v>+</v>
      </c>
      <c r="H791" t="str">
        <f>"40817810916991428298"</f>
        <v>40817810916991428298</v>
      </c>
      <c r="I791" t="str">
        <f>"7003"</f>
        <v>7003</v>
      </c>
      <c r="J791" t="str">
        <f>"0469"</f>
        <v>0469</v>
      </c>
      <c r="K791" t="str">
        <f>"150000.00"</f>
        <v>150000.00</v>
      </c>
      <c r="L791" t="str">
        <f>"620000 ОБЛ СВЕРДЛОВСКАЯ   Г ВЕРХНЯЯ ПЫШМА   УЛ ЮБИЛЕЙНАЯ д. 8"</f>
        <v>620000 ОБЛ СВЕРДЛОВСКАЯ   Г ВЕРХНЯЯ ПЫШМА   УЛ ЮБИЛЕЙНАЯ д. 8</v>
      </c>
      <c r="M791" t="str">
        <f t="shared" si="124"/>
        <v>2019-08-24</v>
      </c>
      <c r="N791" t="str">
        <f>"ООО УРАЛ-ТЕЛЕКОМ"</f>
        <v>ООО УРАЛ-ТЕЛЕКОМ</v>
      </c>
      <c r="O791" t="str">
        <f>"620000"</f>
        <v>620000</v>
      </c>
      <c r="P791" t="str">
        <f>"ОБЛ СВЕРДЛОВСКАЯ"</f>
        <v>ОБЛ СВЕРДЛОВСКАЯ</v>
      </c>
      <c r="Q791" t="str">
        <f>""</f>
        <v/>
      </c>
      <c r="R791" t="str">
        <f>"Г СРЕДНЕУРАЛЬСК"</f>
        <v>Г СРЕДНЕУРАЛЬСК</v>
      </c>
      <c r="S791" t="str">
        <f>""</f>
        <v/>
      </c>
      <c r="T791" t="str">
        <f>"УЛ ЯСНАЯ"</f>
        <v>УЛ ЯСНАЯ</v>
      </c>
      <c r="U791" s="1" t="str">
        <f>"5"</f>
        <v>5</v>
      </c>
      <c r="V791" s="1" t="str">
        <f>""</f>
        <v/>
      </c>
      <c r="W791" s="1" t="str">
        <f>""</f>
        <v/>
      </c>
      <c r="X791" s="1" t="str">
        <f>""</f>
        <v/>
      </c>
      <c r="Y791" s="1" t="str">
        <f>""</f>
        <v/>
      </c>
      <c r="Z791" t="str">
        <f>""</f>
        <v/>
      </c>
      <c r="AA791" t="str">
        <f>"+7 (902) 2593523"</f>
        <v>+7 (902) 2593523</v>
      </c>
      <c r="AB791" t="str">
        <f>"+7 (902) 2593523"</f>
        <v>+7 (902) 2593523</v>
      </c>
      <c r="AC791" t="str">
        <f>"9022593523"</f>
        <v>9022593523</v>
      </c>
      <c r="AD791" t="str">
        <f>"9022593523"</f>
        <v>9022593523</v>
      </c>
      <c r="AE791" t="str">
        <f>""</f>
        <v/>
      </c>
    </row>
    <row r="792" spans="1:31" x14ac:dyDescent="0.45">
      <c r="A792" t="str">
        <f>"БИКТАШЕВА АЙГУЛЬ ГАБДУЛЛОВНА"</f>
        <v>БИКТАШЕВА АЙГУЛЬ ГАБДУЛЛОВНА</v>
      </c>
      <c r="B792" t="str">
        <f>"1994-08-19"</f>
        <v>1994-08-19</v>
      </c>
      <c r="C792" t="str">
        <f>"80 15 022671"</f>
        <v>80 15 022671</v>
      </c>
      <c r="D792" t="str">
        <f>"4276011620739934"</f>
        <v>4276011620739934</v>
      </c>
      <c r="E792" t="str">
        <f>"2021-07-31"</f>
        <v>2021-07-31</v>
      </c>
      <c r="F792" t="str">
        <f>"J"</f>
        <v>J</v>
      </c>
      <c r="G792" t="str">
        <f t="shared" ref="G792:G800" si="127">"+"</f>
        <v>+</v>
      </c>
      <c r="H792" t="str">
        <f>"40817810616991428323"</f>
        <v>40817810616991428323</v>
      </c>
      <c r="I792" t="str">
        <f>"8598"</f>
        <v>8598</v>
      </c>
      <c r="J792" t="str">
        <f>"0018"</f>
        <v>0018</v>
      </c>
      <c r="K792" t="str">
        <f>"10000.00"</f>
        <v>10000.00</v>
      </c>
      <c r="L792" t="str">
        <f>"450000 РЕСП БАШКОРТОСТАН   Г УФА   УЛ Ю. ГАГАРИНА д. 17/1"</f>
        <v>450000 РЕСП БАШКОРТОСТАН   Г УФА   УЛ Ю. ГАГАРИНА д. 17/1</v>
      </c>
      <c r="M792" t="str">
        <f t="shared" si="124"/>
        <v>2019-08-24</v>
      </c>
      <c r="N792" t="str">
        <f>"ОТДЕЛ ПО РПТО ОП №8 СУ УМВД ПО Г УФЕ"</f>
        <v>ОТДЕЛ ПО РПТО ОП №8 СУ УМВД ПО Г УФЕ</v>
      </c>
      <c r="O792" t="str">
        <f>"450000"</f>
        <v>450000</v>
      </c>
      <c r="P792" t="str">
        <f>"РЕСП БАШКОРТОСТАН"</f>
        <v>РЕСП БАШКОРТОСТАН</v>
      </c>
      <c r="Q792" t="str">
        <f>""</f>
        <v/>
      </c>
      <c r="R792" t="str">
        <f>"Г УФА"</f>
        <v>Г УФА</v>
      </c>
      <c r="S792" t="str">
        <f>""</f>
        <v/>
      </c>
      <c r="T792" t="str">
        <f>"УЛ Б. БИКБАЯ"</f>
        <v>УЛ Б. БИКБАЯ</v>
      </c>
      <c r="U792" s="1" t="str">
        <f>"29"</f>
        <v>29</v>
      </c>
      <c r="V792" s="1" t="str">
        <f>""</f>
        <v/>
      </c>
      <c r="W792" s="1" t="str">
        <f>""</f>
        <v/>
      </c>
      <c r="X792" s="1" t="str">
        <f>""</f>
        <v/>
      </c>
      <c r="Y792" s="1" t="str">
        <f>"301"</f>
        <v>301</v>
      </c>
      <c r="Z792" t="str">
        <f>""</f>
        <v/>
      </c>
      <c r="AA792" t="str">
        <f>"9273010313"</f>
        <v>9273010313</v>
      </c>
      <c r="AB792" t="str">
        <f>"9177719449"</f>
        <v>9177719449</v>
      </c>
      <c r="AC792" t="str">
        <f>"9273010313"</f>
        <v>9273010313</v>
      </c>
      <c r="AD792" t="str">
        <f>"9177719449"</f>
        <v>9177719449</v>
      </c>
      <c r="AE792" t="str">
        <f>""</f>
        <v/>
      </c>
    </row>
    <row r="793" spans="1:31" x14ac:dyDescent="0.45">
      <c r="A793" t="str">
        <f>"КОРОТЯ АЛЕКСАНДР АЛЕКСАНДРОВИЧ"</f>
        <v>КОРОТЯ АЛЕКСАНДР АЛЕКСАНДРОВИЧ</v>
      </c>
      <c r="B793" t="str">
        <f>"1989-11-17"</f>
        <v>1989-11-17</v>
      </c>
      <c r="C793" t="str">
        <f>"67 09 960004"</f>
        <v>67 09 960004</v>
      </c>
      <c r="D793" t="str">
        <f>"5484016702063777"</f>
        <v>5484016702063777</v>
      </c>
      <c r="E793" t="str">
        <f t="shared" ref="E793:E813" si="128">"2021-05-31"</f>
        <v>2021-05-31</v>
      </c>
      <c r="F793" t="str">
        <f>"K"</f>
        <v>K</v>
      </c>
      <c r="G793" t="str">
        <f t="shared" si="127"/>
        <v>+</v>
      </c>
      <c r="H793" t="str">
        <f>"40817810716992552415"</f>
        <v>40817810716992552415</v>
      </c>
      <c r="I793" t="str">
        <f>"5940"</f>
        <v>5940</v>
      </c>
      <c r="J793" t="str">
        <f>"7772"</f>
        <v>7772</v>
      </c>
      <c r="K793" t="str">
        <f>"110000.00"</f>
        <v>110000.00</v>
      </c>
      <c r="L793" t="str">
        <f>"628624 ОБЛ ТЮМЕНСКАЯ   Г МЕГИОН   УЛ ЮЖНАЯ д. 4"</f>
        <v>628624 ОБЛ ТЮМЕНСКАЯ   Г МЕГИОН   УЛ ЮЖНАЯ д. 4</v>
      </c>
      <c r="M793" t="str">
        <f t="shared" si="124"/>
        <v>2019-08-24</v>
      </c>
      <c r="N793" t="str">
        <f>"МЕГИОНГЕОЛОГИЯ"</f>
        <v>МЕГИОНГЕОЛОГИЯ</v>
      </c>
      <c r="O793" t="str">
        <f>"628624"</f>
        <v>628624</v>
      </c>
      <c r="P793" t="str">
        <f>"ОБЛ ТЮМЕНСКАЯ"</f>
        <v>ОБЛ ТЮМЕНСКАЯ</v>
      </c>
      <c r="Q793" t="str">
        <f>""</f>
        <v/>
      </c>
      <c r="R793" t="str">
        <f>"Г МЕГИОН"</f>
        <v>Г МЕГИОН</v>
      </c>
      <c r="S793" t="str">
        <f>""</f>
        <v/>
      </c>
      <c r="T793" t="str">
        <f>"УЛ СВОБОДЫ"</f>
        <v>УЛ СВОБОДЫ</v>
      </c>
      <c r="U793" s="1" t="str">
        <f>"4"</f>
        <v>4</v>
      </c>
      <c r="V793" s="1" t="str">
        <f>""</f>
        <v/>
      </c>
      <c r="W793" s="1" t="str">
        <f>""</f>
        <v/>
      </c>
      <c r="X793" s="1" t="str">
        <f>""</f>
        <v/>
      </c>
      <c r="Y793" s="1" t="str">
        <f>"118"</f>
        <v>118</v>
      </c>
      <c r="Z793" t="str">
        <f>"3464331280"</f>
        <v>3464331280</v>
      </c>
      <c r="AA793" t="str">
        <f>"9821416667"</f>
        <v>9821416667</v>
      </c>
      <c r="AB793" t="str">
        <f>"9821416667"</f>
        <v>9821416667</v>
      </c>
      <c r="AC793" t="str">
        <f>"9821416667"</f>
        <v>9821416667</v>
      </c>
      <c r="AD793" t="str">
        <f>"9821416667"</f>
        <v>9821416667</v>
      </c>
      <c r="AE793" t="str">
        <f>"3464331280"</f>
        <v>3464331280</v>
      </c>
    </row>
    <row r="794" spans="1:31" x14ac:dyDescent="0.45">
      <c r="A794" t="str">
        <f>"ШАЦКАЯ ОЛЬГА ВЛАДИМИРОВНА"</f>
        <v>ШАЦКАЯ ОЛЬГА ВЛАДИМИРОВНА</v>
      </c>
      <c r="B794" t="str">
        <f>"1970-09-21"</f>
        <v>1970-09-21</v>
      </c>
      <c r="C794" t="str">
        <f>"37 15 642276"</f>
        <v>37 15 642276</v>
      </c>
      <c r="D794" t="str">
        <f>"4279011673031707"</f>
        <v>4279011673031707</v>
      </c>
      <c r="E794" t="str">
        <f t="shared" si="128"/>
        <v>2021-05-31</v>
      </c>
      <c r="F794" t="str">
        <f t="shared" ref="F794:F800" si="129">"+"</f>
        <v>+</v>
      </c>
      <c r="G794" t="str">
        <f t="shared" si="127"/>
        <v>+</v>
      </c>
      <c r="H794" t="str">
        <f>"40817810316991424737"</f>
        <v>40817810316991424737</v>
      </c>
      <c r="I794" t="str">
        <f>"8599"</f>
        <v>8599</v>
      </c>
      <c r="J794" t="str">
        <f>"0015"</f>
        <v>0015</v>
      </c>
      <c r="K794" t="str">
        <f>"35000.00"</f>
        <v>35000.00</v>
      </c>
      <c r="L794" t="str">
        <f>"641000 ОБЛ КУРГАНСКАЯ   Г КУРГАН   УЛ ВОЛОДАРСКОГО д. 55"</f>
        <v>641000 ОБЛ КУРГАНСКАЯ   Г КУРГАН   УЛ ВОЛОДАРСКОГО д. 55</v>
      </c>
      <c r="M794" t="str">
        <f t="shared" si="124"/>
        <v>2019-08-24</v>
      </c>
      <c r="N794" t="str">
        <f>"РЕСТОРАН ЯМАТО"</f>
        <v>РЕСТОРАН ЯМАТО</v>
      </c>
      <c r="O794" t="str">
        <f>"640032"</f>
        <v>640032</v>
      </c>
      <c r="P794" t="str">
        <f>"ОБЛ КУРГАНСКАЯ"</f>
        <v>ОБЛ КУРГАНСКАЯ</v>
      </c>
      <c r="Q794" t="str">
        <f>""</f>
        <v/>
      </c>
      <c r="R794" t="str">
        <f>"Г КУРГАН"</f>
        <v>Г КУРГАН</v>
      </c>
      <c r="S794" t="str">
        <f>""</f>
        <v/>
      </c>
      <c r="T794" t="str">
        <f>"УЛ БАЖОВА"</f>
        <v>УЛ БАЖОВА</v>
      </c>
      <c r="U794" s="1" t="str">
        <f>"138"</f>
        <v>138</v>
      </c>
      <c r="V794" s="1" t="str">
        <f>""</f>
        <v/>
      </c>
      <c r="W794" s="1" t="str">
        <f>""</f>
        <v/>
      </c>
      <c r="X794" s="1" t="str">
        <f>""</f>
        <v/>
      </c>
      <c r="Y794" s="1" t="str">
        <f>"524"</f>
        <v>524</v>
      </c>
      <c r="Z794" t="str">
        <f>""</f>
        <v/>
      </c>
      <c r="AA794" t="str">
        <f>"9638694841"</f>
        <v>9638694841</v>
      </c>
      <c r="AB794" t="str">
        <f>"9638694841"</f>
        <v>9638694841</v>
      </c>
      <c r="AC794" t="str">
        <f>"9638694841"</f>
        <v>9638694841</v>
      </c>
      <c r="AD794" t="str">
        <f>"9638694841"</f>
        <v>9638694841</v>
      </c>
      <c r="AE794" t="str">
        <f>""</f>
        <v/>
      </c>
    </row>
    <row r="795" spans="1:31" x14ac:dyDescent="0.45">
      <c r="A795" t="str">
        <f>"ЛЕСС НАТАЛЬЯ МИХАЙЛОВНА"</f>
        <v>ЛЕСС НАТАЛЬЯ МИХАЙЛОВНА</v>
      </c>
      <c r="B795" t="str">
        <f>"1964-09-12"</f>
        <v>1964-09-12</v>
      </c>
      <c r="C795" t="str">
        <f>"80 09 897426"</f>
        <v>80 09 897426</v>
      </c>
      <c r="D795" t="str">
        <f>"5484011605380535"</f>
        <v>5484011605380535</v>
      </c>
      <c r="E795" t="str">
        <f t="shared" si="128"/>
        <v>2021-05-31</v>
      </c>
      <c r="F795" t="str">
        <f t="shared" si="129"/>
        <v>+</v>
      </c>
      <c r="G795" t="str">
        <f t="shared" si="127"/>
        <v>+</v>
      </c>
      <c r="H795" t="str">
        <f>"40817810716991424748"</f>
        <v>40817810716991424748</v>
      </c>
      <c r="I795" t="str">
        <f>"8598"</f>
        <v>8598</v>
      </c>
      <c r="J795" t="str">
        <f>"7774"</f>
        <v>7774</v>
      </c>
      <c r="K795" t="str">
        <f>"12000.00"</f>
        <v>12000.00</v>
      </c>
      <c r="L795" t="str">
        <f>"450000 РЕСП БАШКОРТОСТАН   Г НЕФТЕКАМСК   УЛ ПАРКОВАЯ д. 4А"</f>
        <v>450000 РЕСП БАШКОРТОСТАН   Г НЕФТЕКАМСК   УЛ ПАРКОВАЯ д. 4А</v>
      </c>
      <c r="M795" t="str">
        <f t="shared" si="124"/>
        <v>2019-08-24</v>
      </c>
      <c r="N795" t="str">
        <f>"МАДОУ ДЕТСКИЙ САД 23"</f>
        <v>МАДОУ ДЕТСКИЙ САД 23</v>
      </c>
      <c r="O795" t="str">
        <f>"450000"</f>
        <v>450000</v>
      </c>
      <c r="P795" t="str">
        <f>"РЕСП БАШКОРТОСТАН"</f>
        <v>РЕСП БАШКОРТОСТАН</v>
      </c>
      <c r="Q795" t="str">
        <f>"Р-Н КРАСНОКАМСКИЙ"</f>
        <v>Р-Н КРАСНОКАМСКИЙ</v>
      </c>
      <c r="R795" t="str">
        <f>""</f>
        <v/>
      </c>
      <c r="S795" t="str">
        <f>"Д КИРГИЗОВО"</f>
        <v>Д КИРГИЗОВО</v>
      </c>
      <c r="T795" t="str">
        <f>"УЛ ШКОЛЬНАЯ"</f>
        <v>УЛ ШКОЛЬНАЯ</v>
      </c>
      <c r="U795" s="1" t="str">
        <f>"42"</f>
        <v>42</v>
      </c>
      <c r="V795" s="1" t="str">
        <f>""</f>
        <v/>
      </c>
      <c r="W795" s="1" t="str">
        <f>""</f>
        <v/>
      </c>
      <c r="X795" s="1" t="str">
        <f>""</f>
        <v/>
      </c>
      <c r="Y795" s="1" t="str">
        <f>""</f>
        <v/>
      </c>
      <c r="Z795" t="str">
        <f>"3478325690"</f>
        <v>3478325690</v>
      </c>
      <c r="AA795" t="str">
        <f>"9191557585"</f>
        <v>9191557585</v>
      </c>
      <c r="AB795" t="str">
        <f>"9174459034"</f>
        <v>9174459034</v>
      </c>
      <c r="AC795" t="str">
        <f>"9191557585"</f>
        <v>9191557585</v>
      </c>
      <c r="AD795" t="str">
        <f>"9174459034"</f>
        <v>9174459034</v>
      </c>
      <c r="AE795" t="str">
        <f>"3478325690"</f>
        <v>3478325690</v>
      </c>
    </row>
    <row r="796" spans="1:31" x14ac:dyDescent="0.45">
      <c r="A796" t="str">
        <f>"КОПЫЛОВА ОКСАНА ВЛАДИМИРОВНА"</f>
        <v>КОПЫЛОВА ОКСАНА ВЛАДИМИРОВНА</v>
      </c>
      <c r="B796" t="str">
        <f>"1983-08-15"</f>
        <v>1983-08-15</v>
      </c>
      <c r="C796" t="str">
        <f>"65 04 222136"</f>
        <v>65 04 222136</v>
      </c>
      <c r="D796" t="str">
        <f>"4279011658593804"</f>
        <v>4279011658593804</v>
      </c>
      <c r="E796" t="str">
        <f t="shared" si="128"/>
        <v>2021-05-31</v>
      </c>
      <c r="F796" t="str">
        <f t="shared" si="129"/>
        <v>+</v>
      </c>
      <c r="G796" t="str">
        <f t="shared" si="127"/>
        <v>+</v>
      </c>
      <c r="H796" t="str">
        <f>"40817810016991424749"</f>
        <v>40817810016991424749</v>
      </c>
      <c r="I796" t="str">
        <f>"7003"</f>
        <v>7003</v>
      </c>
      <c r="J796" t="str">
        <f>"7776"</f>
        <v>7776</v>
      </c>
      <c r="K796" t="str">
        <f>"63000.00"</f>
        <v>63000.00</v>
      </c>
      <c r="L796" t="str">
        <f>"624600 ОБЛ СВЕРДЛОВСКАЯ   Г АЛАПАЕВСК   УЛ Р. ЛЮКСЕМБУРГ д. 31"</f>
        <v>624600 ОБЛ СВЕРДЛОВСКАЯ   Г АЛАПАЕВСК   УЛ Р. ЛЮКСЕМБУРГ д. 31</v>
      </c>
      <c r="M796" t="str">
        <f t="shared" si="124"/>
        <v>2019-08-24</v>
      </c>
      <c r="N796" t="str">
        <f>"УЖКХ С И ООМС"</f>
        <v>УЖКХ С И ООМС</v>
      </c>
      <c r="O796" t="str">
        <f>"624600"</f>
        <v>624600</v>
      </c>
      <c r="P796" t="str">
        <f>"ОБЛ СВЕРДЛОВСКАЯ"</f>
        <v>ОБЛ СВЕРДЛОВСКАЯ</v>
      </c>
      <c r="Q796" t="str">
        <f>""</f>
        <v/>
      </c>
      <c r="R796" t="str">
        <f>"Г АЛАПАЕВСК"</f>
        <v>Г АЛАПАЕВСК</v>
      </c>
      <c r="S796" t="str">
        <f>""</f>
        <v/>
      </c>
      <c r="T796" t="str">
        <f>"УЛ КРЫЛОВА"</f>
        <v>УЛ КРЫЛОВА</v>
      </c>
      <c r="U796" s="1" t="str">
        <f>"1"</f>
        <v>1</v>
      </c>
      <c r="V796" s="1" t="str">
        <f>""</f>
        <v/>
      </c>
      <c r="W796" s="1" t="str">
        <f>""</f>
        <v/>
      </c>
      <c r="X796" s="1" t="str">
        <f>""</f>
        <v/>
      </c>
      <c r="Y796" s="1" t="str">
        <f>"8"</f>
        <v>8</v>
      </c>
      <c r="Z796" t="str">
        <f>"3434673425"</f>
        <v>3434673425</v>
      </c>
      <c r="AA796" t="str">
        <f>"9122774622"</f>
        <v>9122774622</v>
      </c>
      <c r="AB796" t="str">
        <f>"9122774622"</f>
        <v>9122774622</v>
      </c>
      <c r="AC796" t="str">
        <f>"9122774622"</f>
        <v>9122774622</v>
      </c>
      <c r="AD796" t="str">
        <f>"9122774622"</f>
        <v>9122774622</v>
      </c>
      <c r="AE796" t="str">
        <f>"3434673425"</f>
        <v>3434673425</v>
      </c>
    </row>
    <row r="797" spans="1:31" x14ac:dyDescent="0.45">
      <c r="A797" t="str">
        <f>"ФАТХУЛЛИН АЗАТ РИМОВИЧ"</f>
        <v>ФАТХУЛЛИН АЗАТ РИМОВИЧ</v>
      </c>
      <c r="B797" t="str">
        <f>"1977-08-18"</f>
        <v>1977-08-18</v>
      </c>
      <c r="C797" t="str">
        <f>"80 03 312869"</f>
        <v>80 03 312869</v>
      </c>
      <c r="D797" t="str">
        <f>"5484011601762181"</f>
        <v>5484011601762181</v>
      </c>
      <c r="E797" t="str">
        <f t="shared" si="128"/>
        <v>2021-05-31</v>
      </c>
      <c r="F797" t="str">
        <f t="shared" si="129"/>
        <v>+</v>
      </c>
      <c r="G797" t="str">
        <f t="shared" si="127"/>
        <v>+</v>
      </c>
      <c r="H797" t="str">
        <f>"40817810416991424750"</f>
        <v>40817810416991424750</v>
      </c>
      <c r="I797" t="str">
        <f>"8598"</f>
        <v>8598</v>
      </c>
      <c r="J797" t="str">
        <f>"0724"</f>
        <v>0724</v>
      </c>
      <c r="K797" t="str">
        <f>"10000.00"</f>
        <v>10000.00</v>
      </c>
      <c r="L797" t="str">
        <f>"453613 РЕСП БАШКОРТОСТАН Р-Н АБЗЕЛИЛОВСКИЙ   С КУСИМОВСКОГО РУДНИКА УЛ ПОБЕДЫ д. 30"</f>
        <v>453613 РЕСП БАШКОРТОСТАН Р-Н АБЗЕЛИЛОВСКИЙ   С КУСИМОВСКОГО РУДНИКА УЛ ПОБЕДЫ д. 30</v>
      </c>
      <c r="M797" t="str">
        <f t="shared" si="124"/>
        <v>2019-08-24</v>
      </c>
      <c r="N797" t="str">
        <f>"ГБУ АВАРИЙНО-СПАСАТЕЛЬНАЯ СЛУЖБА РБ"</f>
        <v>ГБУ АВАРИЙНО-СПАСАТЕЛЬНАЯ СЛУЖБА РБ</v>
      </c>
      <c r="O797" t="str">
        <f>"453612"</f>
        <v>453612</v>
      </c>
      <c r="P797" t="str">
        <f>"РЕСП БАШКОРТОСТАН"</f>
        <v>РЕСП БАШКОРТОСТАН</v>
      </c>
      <c r="Q797" t="str">
        <f>"Р-Н АБЗЕЛИЛОВСКИЙ"</f>
        <v>Р-Н АБЗЕЛИЛОВСКИЙ</v>
      </c>
      <c r="R797" t="str">
        <f>""</f>
        <v/>
      </c>
      <c r="S797" t="str">
        <f>"С ТАШБУЛАТОВО"</f>
        <v>С ТАШБУЛАТОВО</v>
      </c>
      <c r="T797" t="str">
        <f>"УЛ МОЛОДЕЖНАЯ"</f>
        <v>УЛ МОЛОДЕЖНАЯ</v>
      </c>
      <c r="U797" s="1" t="str">
        <f>"14"</f>
        <v>14</v>
      </c>
      <c r="V797" s="1" t="str">
        <f>""</f>
        <v/>
      </c>
      <c r="W797" s="1" t="str">
        <f>""</f>
        <v/>
      </c>
      <c r="X797" s="1" t="str">
        <f>""</f>
        <v/>
      </c>
      <c r="Y797" s="1" t="str">
        <f>""</f>
        <v/>
      </c>
      <c r="Z797" t="str">
        <f>"3477223619"</f>
        <v>3477223619</v>
      </c>
      <c r="AA797" t="str">
        <f>"9613563451"</f>
        <v>9613563451</v>
      </c>
      <c r="AB797" t="str">
        <f>"9613563451"</f>
        <v>9613563451</v>
      </c>
      <c r="AC797" t="str">
        <f>"9613563451"</f>
        <v>9613563451</v>
      </c>
      <c r="AD797" t="str">
        <f>"9613563451"</f>
        <v>9613563451</v>
      </c>
      <c r="AE797" t="str">
        <f>"3477223619"</f>
        <v>3477223619</v>
      </c>
    </row>
    <row r="798" spans="1:31" x14ac:dyDescent="0.45">
      <c r="A798" t="str">
        <f>"ВЕДЕРНИКОВА ОЛЬГА РОБЕРТОВНА"</f>
        <v>ВЕДЕРНИКОВА ОЛЬГА РОБЕРТОВНА</v>
      </c>
      <c r="B798" t="str">
        <f>"1968-04-22"</f>
        <v>1968-04-22</v>
      </c>
      <c r="C798" t="str">
        <f>"65 13 615324"</f>
        <v>65 13 615324</v>
      </c>
      <c r="D798" t="str">
        <f>"4279011679288996"</f>
        <v>4279011679288996</v>
      </c>
      <c r="E798" t="str">
        <f t="shared" si="128"/>
        <v>2021-05-31</v>
      </c>
      <c r="F798" t="str">
        <f t="shared" si="129"/>
        <v>+</v>
      </c>
      <c r="G798" t="str">
        <f t="shared" si="127"/>
        <v>+</v>
      </c>
      <c r="H798" t="str">
        <f>"40817810716991424751"</f>
        <v>40817810716991424751</v>
      </c>
      <c r="I798" t="str">
        <f>"7003"</f>
        <v>7003</v>
      </c>
      <c r="J798" t="str">
        <f>"7774"</f>
        <v>7774</v>
      </c>
      <c r="K798" t="str">
        <f>"200000.00"</f>
        <v>200000.00</v>
      </c>
      <c r="L798" t="str">
        <f>"623080 ОБЛ СВЕРДЛОВСКАЯ   Г МИХАЙЛОВСК   УЛ КИРОВА д. 2"</f>
        <v>623080 ОБЛ СВЕРДЛОВСКАЯ   Г МИХАЙЛОВСК   УЛ КИРОВА д. 2</v>
      </c>
      <c r="M798" t="str">
        <f t="shared" si="124"/>
        <v>2019-08-24</v>
      </c>
      <c r="N798" t="str">
        <f>"АО УРАЛЬСКАЯ ФОЛЬГА"</f>
        <v>АО УРАЛЬСКАЯ ФОЛЬГА</v>
      </c>
      <c r="O798" t="str">
        <f>"623080"</f>
        <v>623080</v>
      </c>
      <c r="P798" t="str">
        <f>"ОБЛ СВЕРДЛОВСКАЯ"</f>
        <v>ОБЛ СВЕРДЛОВСКАЯ</v>
      </c>
      <c r="Q798" t="str">
        <f>"Р-Н НИЖНЕСЕРГИНСКИЙ"</f>
        <v>Р-Н НИЖНЕСЕРГИНСКИЙ</v>
      </c>
      <c r="R798" t="str">
        <f>"Г МИХАЙЛОВСК"</f>
        <v>Г МИХАЙЛОВСК</v>
      </c>
      <c r="S798" t="str">
        <f>""</f>
        <v/>
      </c>
      <c r="T798" t="str">
        <f>"УЛ РАБОЧАЯ"</f>
        <v>УЛ РАБОЧАЯ</v>
      </c>
      <c r="U798" s="1" t="str">
        <f>"12"</f>
        <v>12</v>
      </c>
      <c r="V798" s="1" t="str">
        <f>""</f>
        <v/>
      </c>
      <c r="W798" s="1" t="str">
        <f>""</f>
        <v/>
      </c>
      <c r="X798" s="1" t="str">
        <f>""</f>
        <v/>
      </c>
      <c r="Y798" s="1" t="str">
        <f>"32"</f>
        <v>32</v>
      </c>
      <c r="Z798" t="str">
        <f>"3439682105"</f>
        <v>3439682105</v>
      </c>
      <c r="AA798" t="str">
        <f>"9041721511"</f>
        <v>9041721511</v>
      </c>
      <c r="AB798" t="str">
        <f>"9041721511"</f>
        <v>9041721511</v>
      </c>
      <c r="AC798" t="str">
        <f>"9041721511"</f>
        <v>9041721511</v>
      </c>
      <c r="AD798" t="str">
        <f>"9041721511"</f>
        <v>9041721511</v>
      </c>
      <c r="AE798" t="str">
        <f>"3439682105"</f>
        <v>3439682105</v>
      </c>
    </row>
    <row r="799" spans="1:31" x14ac:dyDescent="0.45">
      <c r="A799" t="str">
        <f>"ФАТЫХОВА ДИНАРА ДАНИСОВНА"</f>
        <v>ФАТЫХОВА ДИНАРА ДАНИСОВНА</v>
      </c>
      <c r="B799" t="str">
        <f>"1968-10-19"</f>
        <v>1968-10-19</v>
      </c>
      <c r="C799" t="str">
        <f>"80 13 838477"</f>
        <v>80 13 838477</v>
      </c>
      <c r="D799" t="str">
        <f>"4279011677706395"</f>
        <v>4279011677706395</v>
      </c>
      <c r="E799" t="str">
        <f t="shared" si="128"/>
        <v>2021-05-31</v>
      </c>
      <c r="F799" t="str">
        <f t="shared" si="129"/>
        <v>+</v>
      </c>
      <c r="G799" t="str">
        <f t="shared" si="127"/>
        <v>+</v>
      </c>
      <c r="H799" t="str">
        <f>"40817810016991424752"</f>
        <v>40817810016991424752</v>
      </c>
      <c r="I799" t="str">
        <f>"8598"</f>
        <v>8598</v>
      </c>
      <c r="J799" t="str">
        <f>"0595"</f>
        <v>0595</v>
      </c>
      <c r="K799" t="str">
        <f>"60000.00"</f>
        <v>60000.00</v>
      </c>
      <c r="L799" t="str">
        <f>"450000 РЕСП БАШКОРТОСТАН   Г НЕФТЕКАМСК   УЛ КОМСОМОЛЬСКАЯ д. 3"</f>
        <v>450000 РЕСП БАШКОРТОСТАН   Г НЕФТЕКАМСК   УЛ КОМСОМОЛЬСКАЯ д. 3</v>
      </c>
      <c r="M799" t="str">
        <f t="shared" si="124"/>
        <v>2019-08-24</v>
      </c>
      <c r="N799" t="s">
        <v>57</v>
      </c>
      <c r="O799" t="str">
        <f>"450000"</f>
        <v>450000</v>
      </c>
      <c r="P799" t="str">
        <f>"РЕСП БАШКОРТОСТАН"</f>
        <v>РЕСП БАШКОРТОСТАН</v>
      </c>
      <c r="Q799" t="str">
        <f>""</f>
        <v/>
      </c>
      <c r="R799" t="str">
        <f>"Г НЕФТЕКАМСК"</f>
        <v>Г НЕФТЕКАМСК</v>
      </c>
      <c r="S799" t="str">
        <f>""</f>
        <v/>
      </c>
      <c r="T799" t="str">
        <f>"УЛ ЛЕНИНА"</f>
        <v>УЛ ЛЕНИНА</v>
      </c>
      <c r="U799" s="1" t="str">
        <f>"68"</f>
        <v>68</v>
      </c>
      <c r="V799" s="1" t="str">
        <f>""</f>
        <v/>
      </c>
      <c r="W799" s="1" t="str">
        <f>""</f>
        <v/>
      </c>
      <c r="X799" s="1" t="str">
        <f>""</f>
        <v/>
      </c>
      <c r="Y799" s="1" t="str">
        <f>"13"</f>
        <v>13</v>
      </c>
      <c r="Z799" t="str">
        <f>""</f>
        <v/>
      </c>
      <c r="AA799" t="str">
        <f>"9272346928"</f>
        <v>9272346928</v>
      </c>
      <c r="AB799" t="str">
        <f>"9272346928"</f>
        <v>9272346928</v>
      </c>
      <c r="AC799" t="str">
        <f>"9272346928"</f>
        <v>9272346928</v>
      </c>
      <c r="AD799" t="str">
        <f>"9272346928"</f>
        <v>9272346928</v>
      </c>
      <c r="AE799" t="str">
        <f>""</f>
        <v/>
      </c>
    </row>
    <row r="800" spans="1:31" x14ac:dyDescent="0.45">
      <c r="A800" t="str">
        <f>"КОЛЕВАТЫХ ЕВГЕНИЙ АЛЕКСАНДРОВИЧ"</f>
        <v>КОЛЕВАТЫХ ЕВГЕНИЙ АЛЕКСАНДРОВИЧ</v>
      </c>
      <c r="B800" t="str">
        <f>"1965-08-22"</f>
        <v>1965-08-22</v>
      </c>
      <c r="C800" t="str">
        <f>"37 10 396989"</f>
        <v>37 10 396989</v>
      </c>
      <c r="D800" t="str">
        <f>"4279011633456986"</f>
        <v>4279011633456986</v>
      </c>
      <c r="E800" t="str">
        <f t="shared" si="128"/>
        <v>2021-05-31</v>
      </c>
      <c r="F800" t="str">
        <f t="shared" si="129"/>
        <v>+</v>
      </c>
      <c r="G800" t="str">
        <f t="shared" si="127"/>
        <v>+</v>
      </c>
      <c r="H800" t="str">
        <f>"40817810316991424753"</f>
        <v>40817810316991424753</v>
      </c>
      <c r="I800" t="str">
        <f>"8599"</f>
        <v>8599</v>
      </c>
      <c r="J800" t="str">
        <f>"0083"</f>
        <v>0083</v>
      </c>
      <c r="K800" t="str">
        <f>"235000.00"</f>
        <v>235000.00</v>
      </c>
      <c r="L800" t="str">
        <f>"640000 ОБЛ КУРГАНСКАЯ   Г КУРГАН   ПР-КТ МАШИНОСТРОИТЕЛЕЙ д. 23 стр. В"</f>
        <v>640000 ОБЛ КУРГАНСКАЯ   Г КУРГАН   ПР-КТ МАШИНОСТРОИТЕЛЕЙ д. 23 стр. В</v>
      </c>
      <c r="M800" t="str">
        <f t="shared" si="124"/>
        <v>2019-08-24</v>
      </c>
      <c r="N800" t="str">
        <f>"ООО КЛЗ"</f>
        <v>ООО КЛЗ</v>
      </c>
      <c r="O800" t="str">
        <f>"641000"</f>
        <v>641000</v>
      </c>
      <c r="P800" t="str">
        <f>"ОБЛ КУРГАНСКАЯ"</f>
        <v>ОБЛ КУРГАНСКАЯ</v>
      </c>
      <c r="Q800" t="str">
        <f>""</f>
        <v/>
      </c>
      <c r="R800" t="str">
        <f>"Г КУРГАН"</f>
        <v>Г КУРГАН</v>
      </c>
      <c r="S800" t="str">
        <f>""</f>
        <v/>
      </c>
      <c r="T800" t="str">
        <f>"МКР 6"</f>
        <v>МКР 6</v>
      </c>
      <c r="U800" s="1" t="str">
        <f>"20"</f>
        <v>20</v>
      </c>
      <c r="V800" s="1" t="str">
        <f>""</f>
        <v/>
      </c>
      <c r="W800" s="1" t="str">
        <f>"1"</f>
        <v>1</v>
      </c>
      <c r="X800" s="1" t="str">
        <f>""</f>
        <v/>
      </c>
      <c r="Y800" s="1" t="str">
        <f>"82"</f>
        <v>82</v>
      </c>
      <c r="Z800" t="str">
        <f>"9195737888"</f>
        <v>9195737888</v>
      </c>
      <c r="AA800" t="str">
        <f>"9195737888"</f>
        <v>9195737888</v>
      </c>
      <c r="AB800" t="str">
        <f>"9195737888"</f>
        <v>9195737888</v>
      </c>
      <c r="AC800" t="str">
        <f>"9195737888"</f>
        <v>9195737888</v>
      </c>
      <c r="AD800" t="str">
        <f>"9195737888"</f>
        <v>9195737888</v>
      </c>
      <c r="AE800" t="str">
        <f>"9195737888"</f>
        <v>9195737888</v>
      </c>
    </row>
    <row r="801" spans="1:31" x14ac:dyDescent="0.45">
      <c r="A801" t="str">
        <f>"ГЛУЩЕНКО АНДРЕЙ ВЛАДИМИРОВИЧ"</f>
        <v>ГЛУЩЕНКО АНДРЕЙ ВЛАДИМИРОВИЧ</v>
      </c>
      <c r="B801" t="str">
        <f>"1960-03-12"</f>
        <v>1960-03-12</v>
      </c>
      <c r="C801" t="str">
        <f>"65 05 541069"</f>
        <v>65 05 541069</v>
      </c>
      <c r="D801" t="str">
        <f>"4279011664438895"</f>
        <v>4279011664438895</v>
      </c>
      <c r="E801" t="str">
        <f t="shared" si="128"/>
        <v>2021-05-31</v>
      </c>
      <c r="F801" t="str">
        <f>"Y"</f>
        <v>Y</v>
      </c>
      <c r="G801" t="str">
        <f>"Q"</f>
        <v>Q</v>
      </c>
      <c r="H801" t="str">
        <f>"40817810616991424754"</f>
        <v>40817810616991424754</v>
      </c>
      <c r="I801" t="str">
        <f>"7003"</f>
        <v>7003</v>
      </c>
      <c r="J801" t="str">
        <f>"7770"</f>
        <v>7770</v>
      </c>
      <c r="K801" t="str">
        <f>"10000.00"</f>
        <v>10000.00</v>
      </c>
      <c r="L801" t="str">
        <f>"620000 ОБЛ СВЕРДЛОВСКАЯ   Г ЕКАТЕРИНБУРГ   ПР-КТ КОСМОНАВТОВ д. 18"</f>
        <v>620000 ОБЛ СВЕРДЛОВСКАЯ   Г ЕКАТЕРИНБУРГ   ПР-КТ КОСМОНАВТОВ д. 18</v>
      </c>
      <c r="M801" t="str">
        <f t="shared" si="124"/>
        <v>2019-08-24</v>
      </c>
      <c r="N801" t="str">
        <f>"АО ОКБ НОВАТОР"</f>
        <v>АО ОКБ НОВАТОР</v>
      </c>
      <c r="O801" t="str">
        <f>"620000"</f>
        <v>620000</v>
      </c>
      <c r="P801" t="str">
        <f>"ОБЛ СВЕРДЛОВСКАЯ"</f>
        <v>ОБЛ СВЕРДЛОВСКАЯ</v>
      </c>
      <c r="Q801" t="str">
        <f>""</f>
        <v/>
      </c>
      <c r="R801" t="str">
        <f>"Г НОВОУРАЛЬСК"</f>
        <v>Г НОВОУРАЛЬСК</v>
      </c>
      <c r="S801" t="str">
        <f>""</f>
        <v/>
      </c>
      <c r="T801" t="str">
        <f>"УЛ КОМСОМОЛЬСКАЯ"</f>
        <v>УЛ КОМСОМОЛЬСКАЯ</v>
      </c>
      <c r="U801" s="1" t="str">
        <f>"12А"</f>
        <v>12А</v>
      </c>
      <c r="V801" s="1" t="str">
        <f>""</f>
        <v/>
      </c>
      <c r="W801" s="1" t="str">
        <f>""</f>
        <v/>
      </c>
      <c r="X801" s="1" t="str">
        <f>""</f>
        <v/>
      </c>
      <c r="Y801" s="1" t="str">
        <f>"78"</f>
        <v>78</v>
      </c>
      <c r="Z801" t="str">
        <f>"3432641025"</f>
        <v>3432641025</v>
      </c>
      <c r="AA801" t="str">
        <f>"9506303956"</f>
        <v>9506303956</v>
      </c>
      <c r="AB801" t="str">
        <f>"9506303956"</f>
        <v>9506303956</v>
      </c>
      <c r="AC801" t="str">
        <f>"9506303956"</f>
        <v>9506303956</v>
      </c>
      <c r="AD801" t="str">
        <f>"9506303956"</f>
        <v>9506303956</v>
      </c>
      <c r="AE801" t="str">
        <f>"3432641025"</f>
        <v>3432641025</v>
      </c>
    </row>
    <row r="802" spans="1:31" x14ac:dyDescent="0.45">
      <c r="A802" t="str">
        <f>"КОРЯКОВА МАРИНА НИКОЛАЕВНА"</f>
        <v>КОРЯКОВА МАРИНА НИКОЛАЕВНА</v>
      </c>
      <c r="B802" t="str">
        <f>"1981-06-11"</f>
        <v>1981-06-11</v>
      </c>
      <c r="C802" t="str">
        <f>"65 05 595226"</f>
        <v>65 05 595226</v>
      </c>
      <c r="D802" t="str">
        <f>"4279011668957569"</f>
        <v>4279011668957569</v>
      </c>
      <c r="E802" t="str">
        <f t="shared" si="128"/>
        <v>2021-05-31</v>
      </c>
      <c r="F802" t="str">
        <f>"+"</f>
        <v>+</v>
      </c>
      <c r="G802" t="str">
        <f>"+"</f>
        <v>+</v>
      </c>
      <c r="H802" t="str">
        <f>"40817810916991424755"</f>
        <v>40817810916991424755</v>
      </c>
      <c r="I802" t="str">
        <f>"7003"</f>
        <v>7003</v>
      </c>
      <c r="J802" t="str">
        <f>"7772"</f>
        <v>7772</v>
      </c>
      <c r="K802" t="str">
        <f>"145000.00"</f>
        <v>145000.00</v>
      </c>
      <c r="L802" t="str">
        <f>"622000 ОБЛ СВЕРДЛОВСКАЯ   Г НИЖНИЙ ТАГИЛ   УЛ ШЕВЧЕНКО д. 10"</f>
        <v>622000 ОБЛ СВЕРДЛОВСКАЯ   Г НИЖНИЙ ТАГИЛ   УЛ ШЕВЧЕНКО д. 10</v>
      </c>
      <c r="M802" t="str">
        <f t="shared" si="124"/>
        <v>2019-08-24</v>
      </c>
      <c r="N802" t="str">
        <f>"ООО НТЗМК"</f>
        <v>ООО НТЗМК</v>
      </c>
      <c r="O802" t="str">
        <f>"622000"</f>
        <v>622000</v>
      </c>
      <c r="P802" t="str">
        <f>"ОБЛ СВЕРДЛОВСКАЯ"</f>
        <v>ОБЛ СВЕРДЛОВСКАЯ</v>
      </c>
      <c r="Q802" t="str">
        <f>""</f>
        <v/>
      </c>
      <c r="R802" t="str">
        <f>"Г НИЖНИЙ ТАГИЛ"</f>
        <v>Г НИЖНИЙ ТАГИЛ</v>
      </c>
      <c r="S802" t="str">
        <f>""</f>
        <v/>
      </c>
      <c r="T802" t="str">
        <f>"Ш ЧЕРНОИСТОЧИНСКОЕ"</f>
        <v>Ш ЧЕРНОИСТОЧИНСКОЕ</v>
      </c>
      <c r="U802" s="1" t="str">
        <f>"69"</f>
        <v>69</v>
      </c>
      <c r="V802" s="1" t="str">
        <f>""</f>
        <v/>
      </c>
      <c r="W802" s="1" t="str">
        <f>""</f>
        <v/>
      </c>
      <c r="X802" s="1" t="str">
        <f>""</f>
        <v/>
      </c>
      <c r="Y802" s="1" t="str">
        <f>"1"</f>
        <v>1</v>
      </c>
      <c r="Z802" t="str">
        <f>"3435299352"</f>
        <v>3435299352</v>
      </c>
      <c r="AA802" t="str">
        <f>"9126229534"</f>
        <v>9126229534</v>
      </c>
      <c r="AB802" t="str">
        <f>"9126229534"</f>
        <v>9126229534</v>
      </c>
      <c r="AC802" t="str">
        <f>"9126229534"</f>
        <v>9126229534</v>
      </c>
      <c r="AD802" t="str">
        <f>"9126229534"</f>
        <v>9126229534</v>
      </c>
      <c r="AE802" t="str">
        <f>"3435299352"</f>
        <v>3435299352</v>
      </c>
    </row>
    <row r="803" spans="1:31" x14ac:dyDescent="0.45">
      <c r="A803" t="str">
        <f>"САПТАРОВ АРТУР РАМИЛЕВИЧ"</f>
        <v>САПТАРОВ АРТУР РАМИЛЕВИЧ</v>
      </c>
      <c r="B803" t="str">
        <f>"1982-10-01"</f>
        <v>1982-10-01</v>
      </c>
      <c r="C803" t="str">
        <f>"80 03 943338"</f>
        <v>80 03 943338</v>
      </c>
      <c r="D803" t="str">
        <f>"4279011610689286"</f>
        <v>4279011610689286</v>
      </c>
      <c r="E803" t="str">
        <f t="shared" si="128"/>
        <v>2021-05-31</v>
      </c>
      <c r="F803" t="str">
        <f>"Y"</f>
        <v>Y</v>
      </c>
      <c r="G803" t="str">
        <f>"Q"</f>
        <v>Q</v>
      </c>
      <c r="H803" t="str">
        <f>"40817810216991424756"</f>
        <v>40817810216991424756</v>
      </c>
      <c r="I803" t="str">
        <f>"8598"</f>
        <v>8598</v>
      </c>
      <c r="J803" t="str">
        <f>"0155"</f>
        <v>0155</v>
      </c>
      <c r="K803" t="str">
        <f>"0.00"</f>
        <v>0.00</v>
      </c>
      <c r="L803" t="str">
        <f>"450000 РЕСП БАШКОРТОСТАН   Г УФА   УЛ БАКАЛИНСКАЯ д. 21 корп. 1"</f>
        <v>450000 РЕСП БАШКОРТОСТАН   Г УФА   УЛ БАКАЛИНСКАЯ д. 21 корп. 1</v>
      </c>
      <c r="M803" t="str">
        <f t="shared" si="124"/>
        <v>2019-08-24</v>
      </c>
      <c r="N803" t="str">
        <f>"ОАО КНГФ"</f>
        <v>ОАО КНГФ</v>
      </c>
      <c r="O803" t="str">
        <f>"450000"</f>
        <v>450000</v>
      </c>
      <c r="P803" t="str">
        <f>"РЕСП БАШКОРТОСТАН"</f>
        <v>РЕСП БАШКОРТОСТАН</v>
      </c>
      <c r="Q803" t="str">
        <f>""</f>
        <v/>
      </c>
      <c r="R803" t="str">
        <f>"Г УФА"</f>
        <v>Г УФА</v>
      </c>
      <c r="S803" t="str">
        <f>""</f>
        <v/>
      </c>
      <c r="T803" t="str">
        <f>"УЛ ГУБАЙДУЛЛИНА"</f>
        <v>УЛ ГУБАЙДУЛЛИНА</v>
      </c>
      <c r="U803" s="1" t="str">
        <f>"23"</f>
        <v>23</v>
      </c>
      <c r="V803" s="1" t="str">
        <f>""</f>
        <v/>
      </c>
      <c r="W803" s="1" t="str">
        <f>"1"</f>
        <v>1</v>
      </c>
      <c r="X803" s="1" t="str">
        <f>""</f>
        <v/>
      </c>
      <c r="Y803" s="1" t="str">
        <f>"64"</f>
        <v>64</v>
      </c>
      <c r="Z803" t="str">
        <f>"9273431507"</f>
        <v>9273431507</v>
      </c>
      <c r="AA803" t="str">
        <f>"9273431507"</f>
        <v>9273431507</v>
      </c>
      <c r="AB803" t="str">
        <f>"9273431507"</f>
        <v>9273431507</v>
      </c>
      <c r="AC803" t="str">
        <f>"9273431507"</f>
        <v>9273431507</v>
      </c>
      <c r="AD803" t="str">
        <f>"9273431507"</f>
        <v>9273431507</v>
      </c>
      <c r="AE803" t="str">
        <f>"9273431507"</f>
        <v>9273431507</v>
      </c>
    </row>
    <row r="804" spans="1:31" x14ac:dyDescent="0.45">
      <c r="A804" t="str">
        <f>"БЕЛОВА НАДЕЖДА ГРИГОРЬЕВНА"</f>
        <v>БЕЛОВА НАДЕЖДА ГРИГОРЬЕВНА</v>
      </c>
      <c r="B804" t="str">
        <f>"1958-02-27"</f>
        <v>1958-02-27</v>
      </c>
      <c r="C804" t="str">
        <f>"75 03 545267"</f>
        <v>75 03 545267</v>
      </c>
      <c r="D804" t="str">
        <f>"4279011633542082"</f>
        <v>4279011633542082</v>
      </c>
      <c r="E804" t="str">
        <f t="shared" si="128"/>
        <v>2021-05-31</v>
      </c>
      <c r="F804" t="str">
        <f t="shared" ref="F804:G809" si="130">"+"</f>
        <v>+</v>
      </c>
      <c r="G804" t="str">
        <f t="shared" si="130"/>
        <v>+</v>
      </c>
      <c r="H804" t="str">
        <f>"40817810516991424757"</f>
        <v>40817810516991424757</v>
      </c>
      <c r="I804" t="str">
        <f>"8597"</f>
        <v>8597</v>
      </c>
      <c r="J804" t="str">
        <f>"0345"</f>
        <v>0345</v>
      </c>
      <c r="K804" t="str">
        <f>"100000.00"</f>
        <v>100000.00</v>
      </c>
      <c r="L804" t="str">
        <f>"454000 ОБЛ ЧЕЛЯБИНСКАЯ   Г МАГНИТОГОРСК   ПР-КТ ЛЕНИНА д. 2 корп. 2 кв. 1"</f>
        <v>454000 ОБЛ ЧЕЛЯБИНСКАЯ   Г МАГНИТОГОРСК   ПР-КТ ЛЕНИНА д. 2 корп. 2 кв. 1</v>
      </c>
      <c r="M804" t="str">
        <f t="shared" si="124"/>
        <v>2019-08-24</v>
      </c>
      <c r="N804" t="str">
        <f>"ПЕНСИОНЕР"</f>
        <v>ПЕНСИОНЕР</v>
      </c>
      <c r="O804" t="str">
        <f>"454000"</f>
        <v>454000</v>
      </c>
      <c r="P804" t="str">
        <f>"ОБЛ ЧЕЛЯБИНСКАЯ"</f>
        <v>ОБЛ ЧЕЛЯБИНСКАЯ</v>
      </c>
      <c r="Q804" t="str">
        <f>""</f>
        <v/>
      </c>
      <c r="R804" t="str">
        <f>"Г МАГНИТОГОРСК"</f>
        <v>Г МАГНИТОГОРСК</v>
      </c>
      <c r="S804" t="str">
        <f>""</f>
        <v/>
      </c>
      <c r="T804" t="str">
        <f>"ПР-КТ ЛЕНИНА"</f>
        <v>ПР-КТ ЛЕНИНА</v>
      </c>
      <c r="U804" s="1" t="str">
        <f>"2"</f>
        <v>2</v>
      </c>
      <c r="V804" s="1" t="str">
        <f>""</f>
        <v/>
      </c>
      <c r="W804" s="1" t="str">
        <f>"2"</f>
        <v>2</v>
      </c>
      <c r="X804" s="1" t="str">
        <f>""</f>
        <v/>
      </c>
      <c r="Y804" s="1" t="str">
        <f>"1"</f>
        <v>1</v>
      </c>
      <c r="Z804" t="str">
        <f>""</f>
        <v/>
      </c>
      <c r="AA804" t="str">
        <f>"9123245101"</f>
        <v>9123245101</v>
      </c>
      <c r="AB804" t="str">
        <f>"9123245101"</f>
        <v>9123245101</v>
      </c>
      <c r="AC804" t="str">
        <f>"9123245101"</f>
        <v>9123245101</v>
      </c>
      <c r="AD804" t="str">
        <f>"9123245101"</f>
        <v>9123245101</v>
      </c>
      <c r="AE804" t="str">
        <f>""</f>
        <v/>
      </c>
    </row>
    <row r="805" spans="1:31" x14ac:dyDescent="0.45">
      <c r="A805" t="str">
        <f>"ЗУЕВА МАРИЯ АЛЕКСАНДРОВНА"</f>
        <v>ЗУЕВА МАРИЯ АЛЕКСАНДРОВНА</v>
      </c>
      <c r="B805" t="str">
        <f>"1985-04-29"</f>
        <v>1985-04-29</v>
      </c>
      <c r="C805" t="str">
        <f>"65 05 809922"</f>
        <v>65 05 809922</v>
      </c>
      <c r="D805" t="str">
        <f>"4279011695690860"</f>
        <v>4279011695690860</v>
      </c>
      <c r="E805" t="str">
        <f t="shared" si="128"/>
        <v>2021-05-31</v>
      </c>
      <c r="F805" t="str">
        <f t="shared" si="130"/>
        <v>+</v>
      </c>
      <c r="G805" t="str">
        <f t="shared" si="130"/>
        <v>+</v>
      </c>
      <c r="H805" t="str">
        <f>"40817810516991424760"</f>
        <v>40817810516991424760</v>
      </c>
      <c r="I805" t="str">
        <f>"7003"</f>
        <v>7003</v>
      </c>
      <c r="J805" t="str">
        <f>"7777"</f>
        <v>7777</v>
      </c>
      <c r="K805" t="str">
        <f>"15000.00"</f>
        <v>15000.00</v>
      </c>
      <c r="L805" t="str">
        <f>"620000 ОБЛ СВЕРДЛОВСКАЯ   Г ТАВДА   УЛ ЛЕНИНА д. 83 стр. А"</f>
        <v>620000 ОБЛ СВЕРДЛОВСКАЯ   Г ТАВДА   УЛ ЛЕНИНА д. 83 стр. А</v>
      </c>
      <c r="M805" t="str">
        <f t="shared" si="124"/>
        <v>2019-08-24</v>
      </c>
      <c r="N805" t="str">
        <f>"МВД ТАВДИНСКИЙ"</f>
        <v>МВД ТАВДИНСКИЙ</v>
      </c>
      <c r="O805" t="str">
        <f>"620000"</f>
        <v>620000</v>
      </c>
      <c r="P805" t="str">
        <f>"ОБЛ СВЕРДЛОВСКАЯ"</f>
        <v>ОБЛ СВЕРДЛОВСКАЯ</v>
      </c>
      <c r="Q805" t="str">
        <f>""</f>
        <v/>
      </c>
      <c r="R805" t="str">
        <f>"Г ТАВДА"</f>
        <v>Г ТАВДА</v>
      </c>
      <c r="S805" t="str">
        <f>""</f>
        <v/>
      </c>
      <c r="T805" t="str">
        <f>"УЛ КРАСНОГВАРДЕЙСКАЯ"</f>
        <v>УЛ КРАСНОГВАРДЕЙСКАЯ</v>
      </c>
      <c r="U805" s="1" t="str">
        <f>"15Б"</f>
        <v>15Б</v>
      </c>
      <c r="V805" s="1" t="str">
        <f>""</f>
        <v/>
      </c>
      <c r="W805" s="1" t="str">
        <f>""</f>
        <v/>
      </c>
      <c r="X805" s="1" t="str">
        <f>""</f>
        <v/>
      </c>
      <c r="Y805" s="1" t="str">
        <f>""</f>
        <v/>
      </c>
      <c r="Z805" t="str">
        <f>"3436050141"</f>
        <v>3436050141</v>
      </c>
      <c r="AA805" t="str">
        <f>"9527419012"</f>
        <v>9527419012</v>
      </c>
      <c r="AB805" t="str">
        <f>"9527419012"</f>
        <v>9527419012</v>
      </c>
      <c r="AC805" t="str">
        <f>"9527419012"</f>
        <v>9527419012</v>
      </c>
      <c r="AD805" t="str">
        <f>"9527419012"</f>
        <v>9527419012</v>
      </c>
      <c r="AE805" t="str">
        <f>"3436050141"</f>
        <v>3436050141</v>
      </c>
    </row>
    <row r="806" spans="1:31" x14ac:dyDescent="0.45">
      <c r="A806" t="str">
        <f>"КАЗАНЦЕВА ВАЛЕНТИНА ВИКТОРОВНА"</f>
        <v>КАЗАНЦЕВА ВАЛЕНТИНА ВИКТОРОВНА</v>
      </c>
      <c r="B806" t="str">
        <f>"1967-01-20"</f>
        <v>1967-01-20</v>
      </c>
      <c r="C806" t="str">
        <f>"75 12 044153"</f>
        <v>75 12 044153</v>
      </c>
      <c r="D806" t="str">
        <f>"4279011621812760"</f>
        <v>4279011621812760</v>
      </c>
      <c r="E806" t="str">
        <f t="shared" si="128"/>
        <v>2021-05-31</v>
      </c>
      <c r="F806" t="str">
        <f t="shared" si="130"/>
        <v>+</v>
      </c>
      <c r="G806" t="str">
        <f t="shared" si="130"/>
        <v>+</v>
      </c>
      <c r="H806" t="str">
        <f>"40817810416991424763"</f>
        <v>40817810416991424763</v>
      </c>
      <c r="I806" t="str">
        <f>"8597"</f>
        <v>8597</v>
      </c>
      <c r="J806" t="str">
        <f>"7770"</f>
        <v>7770</v>
      </c>
      <c r="K806" t="str">
        <f>"275000.00"</f>
        <v>275000.00</v>
      </c>
      <c r="L806" t="str">
        <f>"454000 ОБЛ ЧЕЛЯБИНСКАЯ   Г ЧЕЛЯБИНСК   УЛ КУЙБЫШЕВА д. 63"</f>
        <v>454000 ОБЛ ЧЕЛЯБИНСКАЯ   Г ЧЕЛЯБИНСК   УЛ КУЙБЫШЕВА д. 63</v>
      </c>
      <c r="M806" t="str">
        <f t="shared" si="124"/>
        <v>2019-08-24</v>
      </c>
      <c r="N806" t="str">
        <f>"72216083 МАДОУ ДЕТСКИЙ САД №344"</f>
        <v>72216083 МАДОУ ДЕТСКИЙ САД №344</v>
      </c>
      <c r="O806" t="str">
        <f>"454000"</f>
        <v>454000</v>
      </c>
      <c r="P806" t="str">
        <f>"ОБЛ ЧЕЛЯБИНСКАЯ"</f>
        <v>ОБЛ ЧЕЛЯБИНСКАЯ</v>
      </c>
      <c r="Q806" t="str">
        <f>""</f>
        <v/>
      </c>
      <c r="R806" t="str">
        <f>"Г ЧЕЛЯБИНСК"</f>
        <v>Г ЧЕЛЯБИНСК</v>
      </c>
      <c r="S806" t="str">
        <f>""</f>
        <v/>
      </c>
      <c r="T806" t="str">
        <f>"УЛ КУЙБЫШЕВА"</f>
        <v>УЛ КУЙБЫШЕВА</v>
      </c>
      <c r="U806" s="1" t="str">
        <f>"55"</f>
        <v>55</v>
      </c>
      <c r="V806" s="1" t="str">
        <f>""</f>
        <v/>
      </c>
      <c r="W806" s="1" t="str">
        <f>""</f>
        <v/>
      </c>
      <c r="X806" s="1" t="str">
        <f>""</f>
        <v/>
      </c>
      <c r="Y806" s="1" t="str">
        <f>"42"</f>
        <v>42</v>
      </c>
      <c r="Z806" t="str">
        <f>"3517403732"</f>
        <v>3517403732</v>
      </c>
      <c r="AA806" t="str">
        <f>"3517413121"</f>
        <v>3517413121</v>
      </c>
      <c r="AB806" t="str">
        <f>"9028927775"</f>
        <v>9028927775</v>
      </c>
      <c r="AC806" t="str">
        <f>"0000000000"</f>
        <v>0000000000</v>
      </c>
      <c r="AD806" t="str">
        <f>"9028927775"</f>
        <v>9028927775</v>
      </c>
      <c r="AE806" t="str">
        <f>"3517403732"</f>
        <v>3517403732</v>
      </c>
    </row>
    <row r="807" spans="1:31" x14ac:dyDescent="0.45">
      <c r="A807" t="str">
        <f>"САВЧЕНКОВА ОЛЬГА ЮСИФОВНА"</f>
        <v>САВЧЕНКОВА ОЛЬГА ЮСИФОВНА</v>
      </c>
      <c r="B807" t="str">
        <f>"1986-05-18"</f>
        <v>1986-05-18</v>
      </c>
      <c r="C807" t="str">
        <f>"65 07 305359"</f>
        <v>65 07 305359</v>
      </c>
      <c r="D807" t="str">
        <f>"4279011600535119"</f>
        <v>4279011600535119</v>
      </c>
      <c r="E807" t="str">
        <f t="shared" si="128"/>
        <v>2021-05-31</v>
      </c>
      <c r="F807" t="str">
        <f t="shared" si="130"/>
        <v>+</v>
      </c>
      <c r="G807" t="str">
        <f t="shared" si="130"/>
        <v>+</v>
      </c>
      <c r="H807" t="str">
        <f>"40817810616991425193"</f>
        <v>40817810616991425193</v>
      </c>
      <c r="I807" t="str">
        <f>"7003"</f>
        <v>7003</v>
      </c>
      <c r="J807" t="str">
        <f>"7777"</f>
        <v>7777</v>
      </c>
      <c r="K807" t="str">
        <f>"115000.00"</f>
        <v>115000.00</v>
      </c>
      <c r="L807" t="str">
        <f>"620000 ОБЛ СВЕРДЛОВСКАЯ   Г ТАВДА   УЛ ЛЕНИНА д. 83 корп. А"</f>
        <v>620000 ОБЛ СВЕРДЛОВСКАЯ   Г ТАВДА   УЛ ЛЕНИНА д. 83 корп. А</v>
      </c>
      <c r="M807" t="str">
        <f t="shared" si="124"/>
        <v>2019-08-24</v>
      </c>
      <c r="N807" t="str">
        <f>"ТАВДИНСКИЙ МВД"</f>
        <v>ТАВДИНСКИЙ МВД</v>
      </c>
      <c r="O807" t="str">
        <f>"620000"</f>
        <v>620000</v>
      </c>
      <c r="P807" t="str">
        <f>"ОБЛ СВЕРДЛОВСКАЯ"</f>
        <v>ОБЛ СВЕРДЛОВСКАЯ</v>
      </c>
      <c r="Q807" t="str">
        <f>""</f>
        <v/>
      </c>
      <c r="R807" t="str">
        <f>"Г ТАВДА"</f>
        <v>Г ТАВДА</v>
      </c>
      <c r="S807" t="str">
        <f>""</f>
        <v/>
      </c>
      <c r="T807" t="str">
        <f>"УЛ КАРЛА МАРКСА"</f>
        <v>УЛ КАРЛА МАРКСА</v>
      </c>
      <c r="U807" s="1" t="str">
        <f>"70"</f>
        <v>70</v>
      </c>
      <c r="V807" s="1" t="str">
        <f>""</f>
        <v/>
      </c>
      <c r="W807" s="1" t="str">
        <f>""</f>
        <v/>
      </c>
      <c r="X807" s="1" t="str">
        <f>""</f>
        <v/>
      </c>
      <c r="Y807" s="1" t="str">
        <f>"53"</f>
        <v>53</v>
      </c>
      <c r="Z807" t="str">
        <f>"3436050141"</f>
        <v>3436050141</v>
      </c>
      <c r="AA807" t="str">
        <f>"9527445996"</f>
        <v>9527445996</v>
      </c>
      <c r="AB807" t="str">
        <f>"9527445996"</f>
        <v>9527445996</v>
      </c>
      <c r="AC807" t="str">
        <f>"9527445996"</f>
        <v>9527445996</v>
      </c>
      <c r="AD807" t="str">
        <f>"9527445996"</f>
        <v>9527445996</v>
      </c>
      <c r="AE807" t="str">
        <f>"3436050141"</f>
        <v>3436050141</v>
      </c>
    </row>
    <row r="808" spans="1:31" x14ac:dyDescent="0.45">
      <c r="A808" t="str">
        <f>"МУХУТДИНОВ АЛЬБЕРТ ФАРИТОВИЧ"</f>
        <v>МУХУТДИНОВ АЛЬБЕРТ ФАРИТОВИЧ</v>
      </c>
      <c r="B808" t="str">
        <f>"1968-12-28"</f>
        <v>1968-12-28</v>
      </c>
      <c r="C808" t="str">
        <f>"80 13 896753"</f>
        <v>80 13 896753</v>
      </c>
      <c r="D808" t="str">
        <f>"5484011605602011"</f>
        <v>5484011605602011</v>
      </c>
      <c r="E808" t="str">
        <f t="shared" si="128"/>
        <v>2021-05-31</v>
      </c>
      <c r="F808" t="str">
        <f t="shared" si="130"/>
        <v>+</v>
      </c>
      <c r="G808" t="str">
        <f t="shared" si="130"/>
        <v>+</v>
      </c>
      <c r="H808" t="str">
        <f>"40817810916991425194"</f>
        <v>40817810916991425194</v>
      </c>
      <c r="I808" t="str">
        <f>"8598"</f>
        <v>8598</v>
      </c>
      <c r="J808" t="str">
        <f>"0724"</f>
        <v>0724</v>
      </c>
      <c r="K808" t="str">
        <f>"30000.00"</f>
        <v>30000.00</v>
      </c>
      <c r="L808" t="str">
        <f>"453613 РЕСП БАШКОРТОСТАН Р-Н АБЗЕЛИЛОВСКИЙ   С КУСИМОВСКОГО РУДНИКА УЛ ПОБЕДЫ д. 30"</f>
        <v>453613 РЕСП БАШКОРТОСТАН Р-Н АБЗЕЛИЛОВСКИЙ   С КУСИМОВСКОГО РУДНИКА УЛ ПОБЕДЫ д. 30</v>
      </c>
      <c r="M808" t="str">
        <f t="shared" si="124"/>
        <v>2019-08-24</v>
      </c>
      <c r="N808" t="str">
        <f>"ГБУ АВАРИЙНО-СПАСАТЕЛЬНАЯ СЛУЖБА РБ"</f>
        <v>ГБУ АВАРИЙНО-СПАСАТЕЛЬНАЯ СЛУЖБА РБ</v>
      </c>
      <c r="O808" t="str">
        <f>"453613"</f>
        <v>453613</v>
      </c>
      <c r="P808" t="str">
        <f>"РЕСП БАШКОРТОСТАН"</f>
        <v>РЕСП БАШКОРТОСТАН</v>
      </c>
      <c r="Q808" t="str">
        <f>"Р-Н АБЗЕЛИЛОВСКИЙ"</f>
        <v>Р-Н АБЗЕЛИЛОВСКИЙ</v>
      </c>
      <c r="R808" t="str">
        <f>""</f>
        <v/>
      </c>
      <c r="S808" t="str">
        <f>"Д ГЕОЛОГОРАЗВЕДКА"</f>
        <v>Д ГЕОЛОГОРАЗВЕДКА</v>
      </c>
      <c r="T808" t="str">
        <f>"УЛ ЦЕНТРАЛЬНАЯ"</f>
        <v>УЛ ЦЕНТРАЛЬНАЯ</v>
      </c>
      <c r="U808" s="1" t="str">
        <f>"43"</f>
        <v>43</v>
      </c>
      <c r="V808" s="1" t="str">
        <f>""</f>
        <v/>
      </c>
      <c r="W808" s="1" t="str">
        <f>""</f>
        <v/>
      </c>
      <c r="X808" s="1" t="str">
        <f>""</f>
        <v/>
      </c>
      <c r="Y808" s="1" t="str">
        <f>""</f>
        <v/>
      </c>
      <c r="Z808" t="str">
        <f>"3477223619"</f>
        <v>3477223619</v>
      </c>
      <c r="AA808" t="str">
        <f>"9613561688"</f>
        <v>9613561688</v>
      </c>
      <c r="AB808" t="str">
        <f>"9613561688"</f>
        <v>9613561688</v>
      </c>
      <c r="AC808" t="str">
        <f>"9613561688"</f>
        <v>9613561688</v>
      </c>
      <c r="AD808" t="str">
        <f>"9613561688"</f>
        <v>9613561688</v>
      </c>
      <c r="AE808" t="str">
        <f>"3477223619"</f>
        <v>3477223619</v>
      </c>
    </row>
    <row r="809" spans="1:31" x14ac:dyDescent="0.45">
      <c r="A809" t="str">
        <f>"МАЛИНОВСКАЯ ЭЛЬВИРА НИКОЛАЕВНА"</f>
        <v>МАЛИНОВСКАЯ ЭЛЬВИРА НИКОЛАЕВНА</v>
      </c>
      <c r="B809" t="str">
        <f>"1962-09-06"</f>
        <v>1962-09-06</v>
      </c>
      <c r="C809" t="str">
        <f>"65 07 196068"</f>
        <v>65 07 196068</v>
      </c>
      <c r="D809" t="str">
        <f>"4279011661533250"</f>
        <v>4279011661533250</v>
      </c>
      <c r="E809" t="str">
        <f t="shared" si="128"/>
        <v>2021-05-31</v>
      </c>
      <c r="F809" t="str">
        <f t="shared" si="130"/>
        <v>+</v>
      </c>
      <c r="G809" t="str">
        <f t="shared" si="130"/>
        <v>+</v>
      </c>
      <c r="H809" t="str">
        <f>"40817810216991425195"</f>
        <v>40817810216991425195</v>
      </c>
      <c r="I809" t="str">
        <f>"7003"</f>
        <v>7003</v>
      </c>
      <c r="J809" t="str">
        <f>"7770"</f>
        <v>7770</v>
      </c>
      <c r="K809" t="str">
        <f>"15000.00"</f>
        <v>15000.00</v>
      </c>
      <c r="L809" t="str">
        <f>"620000 ОБЛ СВЕРДЛОВСКАЯ   Г ЕКАТЕРИНБУРГ   УЛ КОСМОНАВТОВ д. 18"</f>
        <v>620000 ОБЛ СВЕРДЛОВСКАЯ   Г ЕКАТЕРИНБУРГ   УЛ КОСМОНАВТОВ д. 18</v>
      </c>
      <c r="M809" t="str">
        <f t="shared" si="124"/>
        <v>2019-08-24</v>
      </c>
      <c r="N809" t="str">
        <f>"АО ОКБ НОВАТОР"</f>
        <v>АО ОКБ НОВАТОР</v>
      </c>
      <c r="O809" t="str">
        <f>"620000"</f>
        <v>620000</v>
      </c>
      <c r="P809" t="str">
        <f>"ОБЛ СВЕРДЛОВСКАЯ"</f>
        <v>ОБЛ СВЕРДЛОВСКАЯ</v>
      </c>
      <c r="Q809" t="str">
        <f>""</f>
        <v/>
      </c>
      <c r="R809" t="str">
        <f>"Г ЕКАТЕРИНБУРГ"</f>
        <v>Г ЕКАТЕРИНБУРГ</v>
      </c>
      <c r="S809" t="str">
        <f>""</f>
        <v/>
      </c>
      <c r="T809" t="str">
        <f>"УЛ БАУМАНА"</f>
        <v>УЛ БАУМАНА</v>
      </c>
      <c r="U809" s="1" t="str">
        <f>"16"</f>
        <v>16</v>
      </c>
      <c r="V809" s="1" t="str">
        <f>""</f>
        <v/>
      </c>
      <c r="W809" s="1" t="str">
        <f>""</f>
        <v/>
      </c>
      <c r="X809" s="1" t="str">
        <f>""</f>
        <v/>
      </c>
      <c r="Y809" s="1" t="str">
        <f>"15"</f>
        <v>15</v>
      </c>
      <c r="Z809" t="str">
        <f>"3432641025"</f>
        <v>3432641025</v>
      </c>
      <c r="AA809" t="str">
        <f>"9030788862"</f>
        <v>9030788862</v>
      </c>
      <c r="AB809" t="str">
        <f>"9030788862"</f>
        <v>9030788862</v>
      </c>
      <c r="AC809" t="str">
        <f>"9030788862"</f>
        <v>9030788862</v>
      </c>
      <c r="AD809" t="str">
        <f>"9030788862"</f>
        <v>9030788862</v>
      </c>
      <c r="AE809" t="str">
        <f>"3432641025"</f>
        <v>3432641025</v>
      </c>
    </row>
    <row r="810" spans="1:31" x14ac:dyDescent="0.45">
      <c r="A810" t="str">
        <f>"ИШАЕВА ОКСАНА ВАЛЕРЬЕВНА"</f>
        <v>ИШАЕВА ОКСАНА ВАЛЕРЬЕВНА</v>
      </c>
      <c r="B810" t="str">
        <f>"1987-11-06"</f>
        <v>1987-11-06</v>
      </c>
      <c r="C810" t="str">
        <f>"75 10 765493"</f>
        <v>75 10 765493</v>
      </c>
      <c r="D810" t="str">
        <f>"4279011662518326"</f>
        <v>4279011662518326</v>
      </c>
      <c r="E810" t="str">
        <f t="shared" si="128"/>
        <v>2021-05-31</v>
      </c>
      <c r="F810" t="str">
        <f>"Q"</f>
        <v>Q</v>
      </c>
      <c r="G810" t="str">
        <f>"Q"</f>
        <v>Q</v>
      </c>
      <c r="H810" t="str">
        <f>"40817810516991425196"</f>
        <v>40817810516991425196</v>
      </c>
      <c r="I810" t="str">
        <f>"8597"</f>
        <v>8597</v>
      </c>
      <c r="J810" t="str">
        <f>"0521"</f>
        <v>0521</v>
      </c>
      <c r="K810" t="str">
        <f>"0.00"</f>
        <v>0.00</v>
      </c>
      <c r="L810" t="str">
        <f>"456300 ОБЛ ЧЕЛЯБИНСКАЯ   Г ЧЕЛЯБИНСК   Б-Р СОЛНЕЧНЫЙ д. 1"</f>
        <v>456300 ОБЛ ЧЕЛЯБИНСКАЯ   Г ЧЕЛЯБИНСК   Б-Р СОЛНЕЧНЫЙ д. 1</v>
      </c>
      <c r="M810" t="str">
        <f t="shared" si="124"/>
        <v>2019-08-24</v>
      </c>
      <c r="N810" t="str">
        <f>"ООО СЕРГИЕВ ПОСАД"</f>
        <v>ООО СЕРГИЕВ ПОСАД</v>
      </c>
      <c r="O810" t="str">
        <f>"456300"</f>
        <v>456300</v>
      </c>
      <c r="P810" t="str">
        <f>"ОБЛ ЧЕЛЯБИНСКАЯ"</f>
        <v>ОБЛ ЧЕЛЯБИНСКАЯ</v>
      </c>
      <c r="Q810" t="str">
        <f>""</f>
        <v/>
      </c>
      <c r="R810" t="str">
        <f>"Г МИАСС"</f>
        <v>Г МИАСС</v>
      </c>
      <c r="S810" t="str">
        <f>""</f>
        <v/>
      </c>
      <c r="T810" t="str">
        <f>"УЛ КОРОТКАЯ"</f>
        <v>УЛ КОРОТКАЯ</v>
      </c>
      <c r="U810" s="1" t="str">
        <f>"15"</f>
        <v>15</v>
      </c>
      <c r="V810" s="1" t="str">
        <f>""</f>
        <v/>
      </c>
      <c r="W810" s="1" t="str">
        <f>""</f>
        <v/>
      </c>
      <c r="X810" s="1" t="str">
        <f>""</f>
        <v/>
      </c>
      <c r="Y810" s="1" t="str">
        <f>""</f>
        <v/>
      </c>
      <c r="Z810" t="str">
        <f>"+7 (351) 2804250"</f>
        <v>+7 (351) 2804250</v>
      </c>
      <c r="AA810" t="str">
        <f>"+7 (3513) 546322"</f>
        <v>+7 (3513) 546322</v>
      </c>
      <c r="AB810" t="str">
        <f>"+7 (908) 0457762"</f>
        <v>+7 (908) 0457762</v>
      </c>
      <c r="AC810" t="str">
        <f>"9080457647"</f>
        <v>9080457647</v>
      </c>
      <c r="AD810" t="str">
        <f>"9080457762"</f>
        <v>9080457762</v>
      </c>
      <c r="AE810" t="str">
        <f>""</f>
        <v/>
      </c>
    </row>
    <row r="811" spans="1:31" x14ac:dyDescent="0.45">
      <c r="A811" t="str">
        <f>"ДАВЛЕТХАНОВ РАМИЛЬ ДИФКАТОВИЧ"</f>
        <v>ДАВЛЕТХАНОВ РАМИЛЬ ДИФКАТОВИЧ</v>
      </c>
      <c r="B811" t="str">
        <f>"1979-05-21"</f>
        <v>1979-05-21</v>
      </c>
      <c r="C811" t="str">
        <f>"80 02 613412"</f>
        <v>80 02 613412</v>
      </c>
      <c r="D811" t="str">
        <f>"4279011653783376"</f>
        <v>4279011653783376</v>
      </c>
      <c r="E811" t="str">
        <f t="shared" si="128"/>
        <v>2021-05-31</v>
      </c>
      <c r="F811" t="str">
        <f>"K"</f>
        <v>K</v>
      </c>
      <c r="G811" t="str">
        <f>"+"</f>
        <v>+</v>
      </c>
      <c r="H811" t="str">
        <f>"40817810116991425198"</f>
        <v>40817810116991425198</v>
      </c>
      <c r="I811" t="str">
        <f>"8598"</f>
        <v>8598</v>
      </c>
      <c r="J811" t="str">
        <f>"0599"</f>
        <v>0599</v>
      </c>
      <c r="K811" t="str">
        <f>"35000.00"</f>
        <v>35000.00</v>
      </c>
      <c r="L811" t="str">
        <f>"450000 РЕСП БАШКОРТОСТАН   Г НЕФТЕКАМСК   УЛ ИНДУСТРИАЛЬНАЯ д. 7/12"</f>
        <v>450000 РЕСП БАШКОРТОСТАН   Г НЕФТЕКАМСК   УЛ ИНДУСТРИАЛЬНАЯ д. 7/12</v>
      </c>
      <c r="M811" t="str">
        <f t="shared" si="124"/>
        <v>2019-08-24</v>
      </c>
      <c r="N811" t="str">
        <f>"СК ЖБИ"</f>
        <v>СК ЖБИ</v>
      </c>
      <c r="O811" t="str">
        <f>"450000"</f>
        <v>450000</v>
      </c>
      <c r="P811" t="str">
        <f>"РЕСП БАШКОРТОСТАН"</f>
        <v>РЕСП БАШКОРТОСТАН</v>
      </c>
      <c r="Q811" t="str">
        <f>""</f>
        <v/>
      </c>
      <c r="R811" t="str">
        <f>"Г НЕФТЕКАМСК"</f>
        <v>Г НЕФТЕКАМСК</v>
      </c>
      <c r="S811" t="str">
        <f>""</f>
        <v/>
      </c>
      <c r="T811" t="str">
        <f>"УЛ СТРОИТЕЛЕЙ"</f>
        <v>УЛ СТРОИТЕЛЕЙ</v>
      </c>
      <c r="U811" s="1" t="str">
        <f>"59А"</f>
        <v>59А</v>
      </c>
      <c r="V811" s="1" t="str">
        <f>""</f>
        <v/>
      </c>
      <c r="W811" s="1" t="str">
        <f>""</f>
        <v/>
      </c>
      <c r="X811" s="1" t="str">
        <f>""</f>
        <v/>
      </c>
      <c r="Y811" s="1" t="str">
        <f>"24"</f>
        <v>24</v>
      </c>
      <c r="Z811" t="str">
        <f>"3478343462"</f>
        <v>3478343462</v>
      </c>
      <c r="AA811" t="str">
        <f>"3478335421"</f>
        <v>3478335421</v>
      </c>
      <c r="AB811" t="str">
        <f>"9174080168"</f>
        <v>9174080168</v>
      </c>
      <c r="AC811" t="str">
        <f>"9170427391"</f>
        <v>9170427391</v>
      </c>
      <c r="AD811" t="str">
        <f>"9174080168"</f>
        <v>9174080168</v>
      </c>
      <c r="AE811" t="str">
        <f>""</f>
        <v/>
      </c>
    </row>
    <row r="812" spans="1:31" x14ac:dyDescent="0.45">
      <c r="A812" t="str">
        <f>"СУВОРОВА АЭЛИТА ВЛАДИМИРОВНА"</f>
        <v>СУВОРОВА АЭЛИТА ВЛАДИМИРОВНА</v>
      </c>
      <c r="B812" t="str">
        <f>"1963-08-05"</f>
        <v>1963-08-05</v>
      </c>
      <c r="C812" t="str">
        <f>"65 08 550709"</f>
        <v>65 08 550709</v>
      </c>
      <c r="D812" t="str">
        <f>"4279016745234270"</f>
        <v>4279016745234270</v>
      </c>
      <c r="E812" t="str">
        <f t="shared" si="128"/>
        <v>2021-05-31</v>
      </c>
      <c r="F812" t="str">
        <f>"+"</f>
        <v>+</v>
      </c>
      <c r="G812" t="str">
        <f>"+"</f>
        <v>+</v>
      </c>
      <c r="H812" t="str">
        <f>"40817810916992202691"</f>
        <v>40817810916992202691</v>
      </c>
      <c r="I812" t="str">
        <f>"8647"</f>
        <v>8647</v>
      </c>
      <c r="J812" t="str">
        <f>"7770"</f>
        <v>7770</v>
      </c>
      <c r="K812" t="str">
        <f>"590000.00"</f>
        <v>590000.00</v>
      </c>
      <c r="L812" t="str">
        <f>"625000 ОБЛ ТЮМЕНСКАЯ   Г ТЮМЕНЬ   УЛ ЩЕРБАКОВА д. 87"</f>
        <v>625000 ОБЛ ТЮМЕНСКАЯ   Г ТЮМЕНЬ   УЛ ЩЕРБАКОВА д. 87</v>
      </c>
      <c r="M812" t="str">
        <f t="shared" si="124"/>
        <v>2019-08-24</v>
      </c>
      <c r="N812" t="str">
        <f>"ООО АКВАПАРК"</f>
        <v>ООО АКВАПАРК</v>
      </c>
      <c r="O812" t="str">
        <f>"620000"</f>
        <v>620000</v>
      </c>
      <c r="P812" t="str">
        <f>"ОБЛ СВЕРДЛОВСКАЯ"</f>
        <v>ОБЛ СВЕРДЛОВСКАЯ</v>
      </c>
      <c r="Q812" t="str">
        <f>""</f>
        <v/>
      </c>
      <c r="R812" t="str">
        <f>"Г ЕКАТЕРИНБУРГ"</f>
        <v>Г ЕКАТЕРИНБУРГ</v>
      </c>
      <c r="S812" t="str">
        <f>""</f>
        <v/>
      </c>
      <c r="T812" t="str">
        <f>"УЛ БОЛЬШАКОВА"</f>
        <v>УЛ БОЛЬШАКОВА</v>
      </c>
      <c r="U812" s="1" t="str">
        <f>"153А"</f>
        <v>153А</v>
      </c>
      <c r="V812" s="1" t="str">
        <f>""</f>
        <v/>
      </c>
      <c r="W812" s="1" t="str">
        <f>""</f>
        <v/>
      </c>
      <c r="X812" s="1" t="str">
        <f>""</f>
        <v/>
      </c>
      <c r="Y812" s="1" t="str">
        <f>"48"</f>
        <v>48</v>
      </c>
      <c r="Z812" t="str">
        <f>"3452566002"</f>
        <v>3452566002</v>
      </c>
      <c r="AA812" t="str">
        <f>"9222102505"</f>
        <v>9222102505</v>
      </c>
      <c r="AB812" t="str">
        <f>"9222102505"</f>
        <v>9222102505</v>
      </c>
      <c r="AC812" t="str">
        <f>"9222102505"</f>
        <v>9222102505</v>
      </c>
      <c r="AD812" t="str">
        <f>"9222102505"</f>
        <v>9222102505</v>
      </c>
      <c r="AE812" t="str">
        <f>"3452566002"</f>
        <v>3452566002</v>
      </c>
    </row>
    <row r="813" spans="1:31" x14ac:dyDescent="0.45">
      <c r="A813" t="str">
        <f>"ГОРДЕЕВ ВАСИЛИЙ АЛЕКСЕЕВИЧ"</f>
        <v>ГОРДЕЕВ ВАСИЛИЙ АЛЕКСЕЕВИЧ</v>
      </c>
      <c r="B813" t="str">
        <f>"1971-02-07"</f>
        <v>1971-02-07</v>
      </c>
      <c r="C813" t="str">
        <f>"87 15 703825"</f>
        <v>87 15 703825</v>
      </c>
      <c r="D813" t="str">
        <f>"4279011697791534"</f>
        <v>4279011697791534</v>
      </c>
      <c r="E813" t="str">
        <f t="shared" si="128"/>
        <v>2021-05-31</v>
      </c>
      <c r="F813" t="str">
        <f>"+"</f>
        <v>+</v>
      </c>
      <c r="G813" t="str">
        <f>"+"</f>
        <v>+</v>
      </c>
      <c r="H813" t="str">
        <f>"40817810716992552758"</f>
        <v>40817810716992552758</v>
      </c>
      <c r="I813" t="str">
        <f>"8647"</f>
        <v>8647</v>
      </c>
      <c r="J813" t="str">
        <f>"7770"</f>
        <v>7770</v>
      </c>
      <c r="K813" t="str">
        <f>"115000.00"</f>
        <v>115000.00</v>
      </c>
      <c r="L813" t="str">
        <f>"625000 ОБЛ ТЮМЕНСКАЯ   Г ТЮМЕНЬ   УЛ ЩЕРБАКОВА д. 87"</f>
        <v>625000 ОБЛ ТЮМЕНСКАЯ   Г ТЮМЕНЬ   УЛ ЩЕРБАКОВА д. 87</v>
      </c>
      <c r="M813" t="str">
        <f t="shared" si="124"/>
        <v>2019-08-24</v>
      </c>
      <c r="N813" t="str">
        <f>"АКВАПАРК"</f>
        <v>АКВАПАРК</v>
      </c>
      <c r="O813" t="str">
        <f>"625022"</f>
        <v>625022</v>
      </c>
      <c r="P813" t="str">
        <f>"ОБЛ ТЮМЕНСКАЯ"</f>
        <v>ОБЛ ТЮМЕНСКАЯ</v>
      </c>
      <c r="Q813" t="str">
        <f>""</f>
        <v/>
      </c>
      <c r="R813" t="str">
        <f>"Г ТЮМЕНЬ"</f>
        <v>Г ТЮМЕНЬ</v>
      </c>
      <c r="S813" t="str">
        <f>""</f>
        <v/>
      </c>
      <c r="T813" t="str">
        <f>"УЛ ГАЗОВИКОВ"</f>
        <v>УЛ ГАЗОВИКОВ</v>
      </c>
      <c r="U813" s="1" t="str">
        <f>"41"</f>
        <v>41</v>
      </c>
      <c r="V813" s="1" t="str">
        <f>""</f>
        <v/>
      </c>
      <c r="W813" s="1" t="str">
        <f>"1"</f>
        <v>1</v>
      </c>
      <c r="X813" s="1" t="str">
        <f>""</f>
        <v/>
      </c>
      <c r="Y813" s="1" t="str">
        <f>"14"</f>
        <v>14</v>
      </c>
      <c r="Z813" t="str">
        <f>"+7 (3452) 790330"</f>
        <v>+7 (3452) 790330</v>
      </c>
      <c r="AA813" t="str">
        <f>"+7 (912) 0945768"</f>
        <v>+7 (912) 0945768</v>
      </c>
      <c r="AB813" t="str">
        <f>"9199466191"</f>
        <v>9199466191</v>
      </c>
      <c r="AC813" t="str">
        <f>"9199466191"</f>
        <v>9199466191</v>
      </c>
      <c r="AD813" t="str">
        <f>"9199466191"</f>
        <v>9199466191</v>
      </c>
      <c r="AE813" t="str">
        <f>"3452790330"</f>
        <v>3452790330</v>
      </c>
    </row>
    <row r="814" spans="1:31" x14ac:dyDescent="0.45">
      <c r="A814" t="str">
        <f>"ВЕНЕДИКТОВА ЕЛЕНА АЛЕКСАНДРОВНА"</f>
        <v>ВЕНЕДИКТОВА ЕЛЕНА АЛЕКСАНДРОВНА</v>
      </c>
      <c r="B814" t="str">
        <f>"1970-08-19"</f>
        <v>1970-08-19</v>
      </c>
      <c r="C814" t="str">
        <f>"65 15 090249"</f>
        <v>65 15 090249</v>
      </c>
      <c r="D814" t="str">
        <f>"4854630234699786"</f>
        <v>4854630234699786</v>
      </c>
      <c r="E814" t="str">
        <f>"2021-04-30"</f>
        <v>2021-04-30</v>
      </c>
      <c r="F814" t="str">
        <f>"Q"</f>
        <v>Q</v>
      </c>
      <c r="G814" t="str">
        <f>"Q"</f>
        <v>Q</v>
      </c>
      <c r="H814" t="str">
        <f>"40817810516991428258"</f>
        <v>40817810516991428258</v>
      </c>
      <c r="I814" t="str">
        <f>"7003"</f>
        <v>7003</v>
      </c>
      <c r="J814" t="str">
        <f>"0892"</f>
        <v>0892</v>
      </c>
      <c r="K814" t="str">
        <f>"0.00"</f>
        <v>0.00</v>
      </c>
      <c r="L814" t="str">
        <f>"620000 ОБЛ СВЕРДЛОВСКАЯ   Г ЕКАТЕРИНБУРГ   УЛ КОСМОНАВТОВ д. 18"</f>
        <v>620000 ОБЛ СВЕРДЛОВСКАЯ   Г ЕКАТЕРИНБУРГ   УЛ КОСМОНАВТОВ д. 18</v>
      </c>
      <c r="M814" t="str">
        <f t="shared" si="124"/>
        <v>2019-08-24</v>
      </c>
      <c r="N814" t="str">
        <f>"ПАО МЗИК"</f>
        <v>ПАО МЗИК</v>
      </c>
      <c r="O814" t="str">
        <f>"623851"</f>
        <v>623851</v>
      </c>
      <c r="P814" t="str">
        <f>"ОБЛ СВЕРДЛОВСКАЯ"</f>
        <v>ОБЛ СВЕРДЛОВСКАЯ</v>
      </c>
      <c r="Q814" t="str">
        <f>""</f>
        <v/>
      </c>
      <c r="R814" t="str">
        <f>"Г ИРБИТ"</f>
        <v>Г ИРБИТ</v>
      </c>
      <c r="S814" t="str">
        <f>""</f>
        <v/>
      </c>
      <c r="T814" t="str">
        <f>"УЛ МАКСИМА ГОРЬКОГО"</f>
        <v>УЛ МАКСИМА ГОРЬКОГО</v>
      </c>
      <c r="U814" s="1" t="str">
        <f>"8"</f>
        <v>8</v>
      </c>
      <c r="V814" s="1" t="str">
        <f>""</f>
        <v/>
      </c>
      <c r="W814" s="1" t="str">
        <f>""</f>
        <v/>
      </c>
      <c r="X814" s="1" t="str">
        <f>""</f>
        <v/>
      </c>
      <c r="Y814" s="1" t="str">
        <f>"68"</f>
        <v>68</v>
      </c>
      <c r="Z814" t="str">
        <f>"9122685765"</f>
        <v>9122685765</v>
      </c>
      <c r="AA814" t="str">
        <f>"9122685765"</f>
        <v>9122685765</v>
      </c>
      <c r="AB814" t="str">
        <f>"9122685765"</f>
        <v>9122685765</v>
      </c>
      <c r="AC814" t="str">
        <f>"9122685765"</f>
        <v>9122685765</v>
      </c>
      <c r="AD814" t="str">
        <f>"9122685765"</f>
        <v>9122685765</v>
      </c>
      <c r="AE814" t="str">
        <f>"9122685765"</f>
        <v>9122685765</v>
      </c>
    </row>
    <row r="815" spans="1:31" x14ac:dyDescent="0.45">
      <c r="A815" t="str">
        <f>"КАРАЕВА ОЛЕСЯ ИВАНОВНА"</f>
        <v>КАРАЕВА ОЛЕСЯ ИВАНОВНА</v>
      </c>
      <c r="B815" t="str">
        <f>"1980-09-11"</f>
        <v>1980-09-11</v>
      </c>
      <c r="C815" t="str">
        <f>"65 11 018538"</f>
        <v>65 11 018538</v>
      </c>
      <c r="D815" t="str">
        <f>"4854630198000773"</f>
        <v>4854630198000773</v>
      </c>
      <c r="E815" t="str">
        <f>"2021-04-30"</f>
        <v>2021-04-30</v>
      </c>
      <c r="F815" t="str">
        <f>"+"</f>
        <v>+</v>
      </c>
      <c r="G815" t="str">
        <f>"+"</f>
        <v>+</v>
      </c>
      <c r="H815" t="str">
        <f>"40817810716991428281"</f>
        <v>40817810716991428281</v>
      </c>
      <c r="I815" t="str">
        <f>"7003"</f>
        <v>7003</v>
      </c>
      <c r="J815" t="str">
        <f>"0445"</f>
        <v>0445</v>
      </c>
      <c r="K815" t="str">
        <f>"53000.00"</f>
        <v>53000.00</v>
      </c>
      <c r="L815" t="str">
        <f>"620000 ОБЛ СВЕРДЛОВСКАЯ   Г ЕКАТЕРИНБУРГ   УЛ ОПАЛИХИНСКАЯ д. 15"</f>
        <v>620000 ОБЛ СВЕРДЛОВСКАЯ   Г ЕКАТЕРИНБУРГ   УЛ ОПАЛИХИНСКАЯ д. 15</v>
      </c>
      <c r="M815" t="str">
        <f t="shared" si="124"/>
        <v>2019-08-24</v>
      </c>
      <c r="N815" t="str">
        <f>"АО ТД ПЕРЕКРЕСТОК"</f>
        <v>АО ТД ПЕРЕКРЕСТОК</v>
      </c>
      <c r="O815" t="str">
        <f>"620000"</f>
        <v>620000</v>
      </c>
      <c r="P815" t="str">
        <f>"ОБЛ СВЕРДЛОВСКАЯ"</f>
        <v>ОБЛ СВЕРДЛОВСКАЯ</v>
      </c>
      <c r="Q815" t="str">
        <f>""</f>
        <v/>
      </c>
      <c r="R815" t="str">
        <f>"Г ЕКАТЕРИНБУРГ"</f>
        <v>Г ЕКАТЕРИНБУРГ</v>
      </c>
      <c r="S815" t="str">
        <f>""</f>
        <v/>
      </c>
      <c r="T815" t="str">
        <f>"ПЕР ВЫЕЗДНОЙ"</f>
        <v>ПЕР ВЫЕЗДНОЙ</v>
      </c>
      <c r="U815" s="1" t="str">
        <f>"4"</f>
        <v>4</v>
      </c>
      <c r="V815" s="1" t="str">
        <f>""</f>
        <v/>
      </c>
      <c r="W815" s="1" t="str">
        <f>""</f>
        <v/>
      </c>
      <c r="X815" s="1" t="str">
        <f>""</f>
        <v/>
      </c>
      <c r="Y815" s="1" t="str">
        <f>"16"</f>
        <v>16</v>
      </c>
      <c r="Z815" t="str">
        <f>""</f>
        <v/>
      </c>
      <c r="AA815" t="str">
        <f>"9505475308"</f>
        <v>9505475308</v>
      </c>
      <c r="AB815" t="str">
        <f>"9505475308"</f>
        <v>9505475308</v>
      </c>
      <c r="AC815" t="str">
        <f>"9505475308"</f>
        <v>9505475308</v>
      </c>
      <c r="AD815" t="str">
        <f>"9505475308"</f>
        <v>9505475308</v>
      </c>
      <c r="AE815" t="str">
        <f>""</f>
        <v/>
      </c>
    </row>
    <row r="816" spans="1:31" x14ac:dyDescent="0.45">
      <c r="A816" t="str">
        <f>"БАНЩИКОВА ЮЛИЯ ВАЛЕРЬЕВНА"</f>
        <v>БАНЩИКОВА ЮЛИЯ ВАЛЕРЬЕВНА</v>
      </c>
      <c r="B816" t="str">
        <f>"1970-10-19"</f>
        <v>1970-10-19</v>
      </c>
      <c r="C816" t="str">
        <f>"65 15 098014"</f>
        <v>65 15 098014</v>
      </c>
      <c r="D816" t="str">
        <f>"4854630398770126"</f>
        <v>4854630398770126</v>
      </c>
      <c r="E816" t="str">
        <f>"2021-04-30"</f>
        <v>2021-04-30</v>
      </c>
      <c r="F816" t="str">
        <f>"+"</f>
        <v>+</v>
      </c>
      <c r="G816" t="str">
        <f>"+"</f>
        <v>+</v>
      </c>
      <c r="H816" t="str">
        <f>"40817810216991428299"</f>
        <v>40817810216991428299</v>
      </c>
      <c r="I816" t="str">
        <f>"7003"</f>
        <v>7003</v>
      </c>
      <c r="J816" t="str">
        <f>"0391"</f>
        <v>0391</v>
      </c>
      <c r="K816" t="str">
        <f>"18000.00"</f>
        <v>18000.00</v>
      </c>
      <c r="L816" t="str">
        <f>"620000 ОБЛ СВЕРДЛОВСКАЯ   Г ЕКАТЕРИНБУРГ   УЛ КРАСНОЛЕСЬЯ д. 133 корп. А"</f>
        <v>620000 ОБЛ СВЕРДЛОВСКАЯ   Г ЕКАТЕРИНБУРГ   УЛ КРАСНОЛЕСЬЯ д. 133 корп. А</v>
      </c>
      <c r="M816" t="str">
        <f t="shared" si="124"/>
        <v>2019-08-24</v>
      </c>
      <c r="N816" t="str">
        <f>"ООО РИТЕЙЛ БЕЛВЕСТ"</f>
        <v>ООО РИТЕЙЛ БЕЛВЕСТ</v>
      </c>
      <c r="O816" t="str">
        <f>"620000"</f>
        <v>620000</v>
      </c>
      <c r="P816" t="str">
        <f>"ОБЛ СВЕРДЛОВСКАЯ"</f>
        <v>ОБЛ СВЕРДЛОВСКАЯ</v>
      </c>
      <c r="Q816" t="str">
        <f>""</f>
        <v/>
      </c>
      <c r="R816" t="str">
        <f>"Г ЕКАТЕРИНБУРГ"</f>
        <v>Г ЕКАТЕРИНБУРГ</v>
      </c>
      <c r="S816" t="str">
        <f>""</f>
        <v/>
      </c>
      <c r="T816" t="str">
        <f>"УЛ НАЧДИВА ОНУФРИЕВА"</f>
        <v>УЛ НАЧДИВА ОНУФРИЕВА</v>
      </c>
      <c r="U816" s="1" t="str">
        <f>"72"</f>
        <v>72</v>
      </c>
      <c r="V816" s="1" t="str">
        <f>""</f>
        <v/>
      </c>
      <c r="W816" s="1" t="str">
        <f>""</f>
        <v/>
      </c>
      <c r="X816" s="1" t="str">
        <f>""</f>
        <v/>
      </c>
      <c r="Y816" s="1" t="str">
        <f>"14"</f>
        <v>14</v>
      </c>
      <c r="Z816" t="str">
        <f>"9086305599"</f>
        <v>9086305599</v>
      </c>
      <c r="AA816" t="str">
        <f>"9086305599"</f>
        <v>9086305599</v>
      </c>
      <c r="AB816" t="str">
        <f>"9086305599"</f>
        <v>9086305599</v>
      </c>
      <c r="AC816" t="str">
        <f>"9086305599"</f>
        <v>9086305599</v>
      </c>
      <c r="AD816" t="str">
        <f>"9086305599"</f>
        <v>9086305599</v>
      </c>
      <c r="AE816" t="str">
        <f>"9086305599"</f>
        <v>9086305599</v>
      </c>
    </row>
    <row r="817" spans="1:31" x14ac:dyDescent="0.45">
      <c r="A817" t="str">
        <f>"ГАЛИМОВА АЛЬБИНА ТАГИРОВНА"</f>
        <v>ГАЛИМОВА АЛЬБИНА ТАГИРОВНА</v>
      </c>
      <c r="B817" t="str">
        <f>"1984-09-18"</f>
        <v>1984-09-18</v>
      </c>
      <c r="C817" t="str">
        <f>"80 09 982754"</f>
        <v>80 09 982754</v>
      </c>
      <c r="D817" t="str">
        <f>"4854630358666652"</f>
        <v>4854630358666652</v>
      </c>
      <c r="E817" t="str">
        <f>"2021-04-30"</f>
        <v>2021-04-30</v>
      </c>
      <c r="F817" t="str">
        <f>"Q"</f>
        <v>Q</v>
      </c>
      <c r="G817" t="str">
        <f>"Q"</f>
        <v>Q</v>
      </c>
      <c r="H817" t="str">
        <f>"40817810516991428300"</f>
        <v>40817810516991428300</v>
      </c>
      <c r="I817" t="str">
        <f>"8598"</f>
        <v>8598</v>
      </c>
      <c r="J817" t="str">
        <f>"0214"</f>
        <v>0214</v>
      </c>
      <c r="K817" t="str">
        <f>"0.00"</f>
        <v>0.00</v>
      </c>
      <c r="L817" t="str">
        <f>"450000 РЕСП БАШКОРТОСТАН   Г УФА   УЛ ЮРИЯ ГАГАРИНА д. 1"</f>
        <v>450000 РЕСП БАШКОРТОСТАН   Г УФА   УЛ ЮРИЯ ГАГАРИНА д. 1</v>
      </c>
      <c r="M817" t="str">
        <f t="shared" si="124"/>
        <v>2019-08-24</v>
      </c>
      <c r="N817" t="str">
        <f>"ПЕНСИОННЫЙ ФОНД РФ"</f>
        <v>ПЕНСИОННЫЙ ФОНД РФ</v>
      </c>
      <c r="O817" t="str">
        <f>"450000"</f>
        <v>450000</v>
      </c>
      <c r="P817" t="str">
        <f>"РЕСП БАШКОРТОСТАН"</f>
        <v>РЕСП БАШКОРТОСТАН</v>
      </c>
      <c r="Q817" t="str">
        <f>""</f>
        <v/>
      </c>
      <c r="R817" t="str">
        <f>"Г УФА"</f>
        <v>Г УФА</v>
      </c>
      <c r="S817" t="str">
        <f>""</f>
        <v/>
      </c>
      <c r="T817" t="str">
        <f>"УЛ АК. КОРОЛЕВА"</f>
        <v>УЛ АК. КОРОЛЕВА</v>
      </c>
      <c r="U817" s="1" t="str">
        <f>"30"</f>
        <v>30</v>
      </c>
      <c r="V817" s="1" t="str">
        <f>""</f>
        <v/>
      </c>
      <c r="W817" s="1" t="str">
        <f>"1"</f>
        <v>1</v>
      </c>
      <c r="X817" s="1" t="str">
        <f>""</f>
        <v/>
      </c>
      <c r="Y817" s="1" t="str">
        <f>"57"</f>
        <v>57</v>
      </c>
      <c r="Z817" t="str">
        <f>"9638997222"</f>
        <v>9638997222</v>
      </c>
      <c r="AA817" t="str">
        <f>"9373451460"</f>
        <v>9373451460</v>
      </c>
      <c r="AB817" t="str">
        <f>"9373451460"</f>
        <v>9373451460</v>
      </c>
      <c r="AC817" t="str">
        <f>"9373451460"</f>
        <v>9373451460</v>
      </c>
      <c r="AD817" t="str">
        <f>"9373451460"</f>
        <v>9373451460</v>
      </c>
      <c r="AE817" t="str">
        <f>""</f>
        <v/>
      </c>
    </row>
    <row r="818" spans="1:31" x14ac:dyDescent="0.45">
      <c r="A818" t="str">
        <f>"МИХАЙЛОВА МАРИНА ИВАНОВНА"</f>
        <v>МИХАЙЛОВА МАРИНА ИВАНОВНА</v>
      </c>
      <c r="B818" t="str">
        <f>"1974-02-23"</f>
        <v>1974-02-23</v>
      </c>
      <c r="C818" t="str">
        <f>"74 19 002566"</f>
        <v>74 19 002566</v>
      </c>
      <c r="D818" t="str">
        <f>"4854630214703467"</f>
        <v>4854630214703467</v>
      </c>
      <c r="E818" t="str">
        <f>"2021-04-30"</f>
        <v>2021-04-30</v>
      </c>
      <c r="F818" t="str">
        <f>"+"</f>
        <v>+</v>
      </c>
      <c r="G818" t="str">
        <f>"+"</f>
        <v>+</v>
      </c>
      <c r="H818" t="str">
        <f>"40817810416992400427"</f>
        <v>40817810416992400427</v>
      </c>
      <c r="I818" t="str">
        <f>"8369"</f>
        <v>8369</v>
      </c>
      <c r="J818" t="str">
        <f>"0050"</f>
        <v>0050</v>
      </c>
      <c r="K818" t="str">
        <f>"25000.00"</f>
        <v>25000.00</v>
      </c>
      <c r="L818" t="str">
        <f>"629730 ОБЛ ТЮМЕНСКАЯ   Г НАДЫМ   УЛ СЕНЬКИНА д. 2А"</f>
        <v>629730 ОБЛ ТЮМЕНСКАЯ   Г НАДЫМ   УЛ СЕНЬКИНА д. 2А</v>
      </c>
      <c r="M818" t="str">
        <f t="shared" si="124"/>
        <v>2019-08-24</v>
      </c>
      <c r="N818" t="str">
        <f>"ГБУЗ ЯНАО НАДЫМСКАЯ ЦРБ"</f>
        <v>ГБУЗ ЯНАО НАДЫМСКАЯ ЦРБ</v>
      </c>
      <c r="O818" t="str">
        <f>"629730"</f>
        <v>629730</v>
      </c>
      <c r="P818" t="str">
        <f>"ОБЛ ТЮМЕНСКАЯ"</f>
        <v>ОБЛ ТЮМЕНСКАЯ</v>
      </c>
      <c r="Q818" t="str">
        <f>""</f>
        <v/>
      </c>
      <c r="R818" t="str">
        <f>"Г НАДЫМ"</f>
        <v>Г НАДЫМ</v>
      </c>
      <c r="S818" t="str">
        <f>""</f>
        <v/>
      </c>
      <c r="T818" t="str">
        <f>"УЛ СТРОИТЕЛЕЙ"</f>
        <v>УЛ СТРОИТЕЛЕЙ</v>
      </c>
      <c r="U818" s="1" t="str">
        <f>"6"</f>
        <v>6</v>
      </c>
      <c r="V818" s="1" t="str">
        <f>""</f>
        <v/>
      </c>
      <c r="W818" s="1" t="str">
        <f>""</f>
        <v/>
      </c>
      <c r="X818" s="1" t="str">
        <f>""</f>
        <v/>
      </c>
      <c r="Y818" s="1" t="str">
        <f>"20"</f>
        <v>20</v>
      </c>
      <c r="Z818" t="str">
        <f>"3499597028"</f>
        <v>3499597028</v>
      </c>
      <c r="AA818" t="str">
        <f>"9220514940"</f>
        <v>9220514940</v>
      </c>
      <c r="AB818" t="str">
        <f>"9615566051"</f>
        <v>9615566051</v>
      </c>
      <c r="AC818" t="str">
        <f>"9220514940"</f>
        <v>9220514940</v>
      </c>
      <c r="AD818" t="str">
        <f>"9615566051"</f>
        <v>9615566051</v>
      </c>
      <c r="AE818" t="str">
        <f>"3499597028"</f>
        <v>3499597028</v>
      </c>
    </row>
    <row r="819" spans="1:31" x14ac:dyDescent="0.45">
      <c r="A819" t="str">
        <f>"ХАЕРТДИНОВ АЛИК ЗАЛЬФИТОВИЧ"</f>
        <v>ХАЕРТДИНОВ АЛИК ЗАЛЬФИТОВИЧ</v>
      </c>
      <c r="B819" t="str">
        <f>"1973-04-01"</f>
        <v>1973-04-01</v>
      </c>
      <c r="C819" t="str">
        <f>"80 18 753550"</f>
        <v>80 18 753550</v>
      </c>
      <c r="D819" t="str">
        <f>"4276011617753120"</f>
        <v>4276011617753120</v>
      </c>
      <c r="E819" t="str">
        <f>"2021-09-30"</f>
        <v>2021-09-30</v>
      </c>
      <c r="F819" t="str">
        <f>"Y"</f>
        <v>Y</v>
      </c>
      <c r="G819" t="str">
        <f>"W"</f>
        <v>W</v>
      </c>
      <c r="H819" t="str">
        <f>"40817810916991428324"</f>
        <v>40817810916991428324</v>
      </c>
      <c r="I819" t="str">
        <f>"8598"</f>
        <v>8598</v>
      </c>
      <c r="J819" t="str">
        <f>"0214"</f>
        <v>0214</v>
      </c>
      <c r="K819" t="str">
        <f>"13000.00"</f>
        <v>13000.00</v>
      </c>
      <c r="L819" t="str">
        <f>"450000 РЕСП БАШКОРТОСТАН   Г УФА   УЛ РОССИЙСКАЯ д. 155"</f>
        <v>450000 РЕСП БАШКОРТОСТАН   Г УФА   УЛ РОССИЙСКАЯ д. 155</v>
      </c>
      <c r="M819" t="str">
        <f t="shared" si="124"/>
        <v>2019-08-24</v>
      </c>
      <c r="N819" t="str">
        <f>"МУП УФА ВОДОКАНАЛ"</f>
        <v>МУП УФА ВОДОКАНАЛ</v>
      </c>
      <c r="O819" t="str">
        <f>"450000"</f>
        <v>450000</v>
      </c>
      <c r="P819" t="str">
        <f>"РЕСП БАШКОРТОСТАН"</f>
        <v>РЕСП БАШКОРТОСТАН</v>
      </c>
      <c r="Q819" t="str">
        <f>""</f>
        <v/>
      </c>
      <c r="R819" t="str">
        <f>"Г УФА"</f>
        <v>Г УФА</v>
      </c>
      <c r="S819" t="str">
        <f>""</f>
        <v/>
      </c>
      <c r="T819" t="str">
        <f>"УЛ ЮРИЯ ГАГАРИНА"</f>
        <v>УЛ ЮРИЯ ГАГАРИНА</v>
      </c>
      <c r="U819" s="1" t="str">
        <f>"23"</f>
        <v>23</v>
      </c>
      <c r="V819" s="1" t="str">
        <f>""</f>
        <v/>
      </c>
      <c r="W819" s="1" t="str">
        <f>""</f>
        <v/>
      </c>
      <c r="X819" s="1" t="str">
        <f>""</f>
        <v/>
      </c>
      <c r="Y819" s="1" t="str">
        <f>"59"</f>
        <v>59</v>
      </c>
      <c r="Z819" t="str">
        <f>""</f>
        <v/>
      </c>
      <c r="AA819" t="str">
        <f>"9378388718"</f>
        <v>9378388718</v>
      </c>
      <c r="AB819" t="str">
        <f>"9378388718"</f>
        <v>9378388718</v>
      </c>
      <c r="AC819" t="str">
        <f>"9378388718"</f>
        <v>9378388718</v>
      </c>
      <c r="AD819" t="str">
        <f>"9378388718"</f>
        <v>9378388718</v>
      </c>
      <c r="AE819" t="str">
        <f>""</f>
        <v/>
      </c>
    </row>
    <row r="820" spans="1:31" x14ac:dyDescent="0.45">
      <c r="A820" t="str">
        <f>"КАРИМОВА РЕГИНА РАФАКОВНА"</f>
        <v>КАРИМОВА РЕГИНА РАФАКОВНА</v>
      </c>
      <c r="B820" t="str">
        <f>"1988-05-27"</f>
        <v>1988-05-27</v>
      </c>
      <c r="C820" t="str">
        <f>"74 12 800892"</f>
        <v>74 12 800892</v>
      </c>
      <c r="D820" t="str">
        <f>"4276016709476225"</f>
        <v>4276016709476225</v>
      </c>
      <c r="E820" t="str">
        <f t="shared" ref="E820:E844" si="131">"2021-05-31"</f>
        <v>2021-05-31</v>
      </c>
      <c r="F820" t="str">
        <f t="shared" ref="F820:G825" si="132">"+"</f>
        <v>+</v>
      </c>
      <c r="G820" t="str">
        <f t="shared" si="132"/>
        <v>+</v>
      </c>
      <c r="H820" t="str">
        <f>"40817810116992270177"</f>
        <v>40817810116992270177</v>
      </c>
      <c r="I820" t="str">
        <f>"8369"</f>
        <v>8369</v>
      </c>
      <c r="J820" t="str">
        <f>"0032"</f>
        <v>0032</v>
      </c>
      <c r="K820" t="str">
        <f>"510000.00"</f>
        <v>510000.00</v>
      </c>
      <c r="L820" t="str">
        <f>"629600 ОБЛ ТЮМЕНСКАЯ   Г МУРАВЛЕНКО   УЛ ЛЕНИНА д. 45"</f>
        <v>629600 ОБЛ ТЮМЕНСКАЯ   Г МУРАВЛЕНКО   УЛ ЛЕНИНА д. 45</v>
      </c>
      <c r="M820" t="str">
        <f t="shared" si="124"/>
        <v>2019-08-24</v>
      </c>
      <c r="N820" t="str">
        <f>"ПАО СБЕРБАНК"</f>
        <v>ПАО СБЕРБАНК</v>
      </c>
      <c r="O820" t="str">
        <f>"629600"</f>
        <v>629600</v>
      </c>
      <c r="P820" t="str">
        <f>"ОБЛ ТЮМЕНСКАЯ"</f>
        <v>ОБЛ ТЮМЕНСКАЯ</v>
      </c>
      <c r="Q820" t="str">
        <f>"АО ЯНАО"</f>
        <v>АО ЯНАО</v>
      </c>
      <c r="R820" t="str">
        <f>"Г МУРАВЛЕНКО"</f>
        <v>Г МУРАВЛЕНКО</v>
      </c>
      <c r="S820" t="str">
        <f>""</f>
        <v/>
      </c>
      <c r="T820" t="str">
        <f>"ПЕР НОВОСЕЛОВ"</f>
        <v>ПЕР НОВОСЕЛОВ</v>
      </c>
      <c r="U820" s="1" t="str">
        <f>"4"</f>
        <v>4</v>
      </c>
      <c r="V820" s="1" t="str">
        <f>""</f>
        <v/>
      </c>
      <c r="W820" s="1" t="str">
        <f>""</f>
        <v/>
      </c>
      <c r="X820" s="1" t="str">
        <f>""</f>
        <v/>
      </c>
      <c r="Y820" s="1" t="str">
        <f>"59"</f>
        <v>59</v>
      </c>
      <c r="Z820" t="str">
        <f>""</f>
        <v/>
      </c>
      <c r="AA820" t="str">
        <f>"9220939601"</f>
        <v>9220939601</v>
      </c>
      <c r="AB820" t="str">
        <f>"9220959179"</f>
        <v>9220959179</v>
      </c>
      <c r="AC820" t="str">
        <f>"9220939601"</f>
        <v>9220939601</v>
      </c>
      <c r="AD820" t="str">
        <f>"9220959179"</f>
        <v>9220959179</v>
      </c>
      <c r="AE820" t="str">
        <f>""</f>
        <v/>
      </c>
    </row>
    <row r="821" spans="1:31" x14ac:dyDescent="0.45">
      <c r="A821" t="str">
        <f>"ЯРИНА ТАИСА ЛЕЧАЕВНА"</f>
        <v>ЯРИНА ТАИСА ЛЕЧАЕВНА</v>
      </c>
      <c r="B821" t="str">
        <f>"1995-08-17"</f>
        <v>1995-08-17</v>
      </c>
      <c r="C821" t="str">
        <f>"75 15 644122"</f>
        <v>75 15 644122</v>
      </c>
      <c r="D821" t="str">
        <f>"4279011640789155"</f>
        <v>4279011640789155</v>
      </c>
      <c r="E821" t="str">
        <f t="shared" si="131"/>
        <v>2021-05-31</v>
      </c>
      <c r="F821" t="str">
        <f t="shared" si="132"/>
        <v>+</v>
      </c>
      <c r="G821" t="str">
        <f t="shared" si="132"/>
        <v>+</v>
      </c>
      <c r="H821" t="str">
        <f>"40817810016991429223"</f>
        <v>40817810016991429223</v>
      </c>
      <c r="I821" t="str">
        <f>"8597"</f>
        <v>8597</v>
      </c>
      <c r="J821" t="str">
        <f>"0242"</f>
        <v>0242</v>
      </c>
      <c r="K821" t="str">
        <f>"50000.00"</f>
        <v>50000.00</v>
      </c>
      <c r="L821" t="str">
        <f>"454000 ОБЛ ЧЕЛЯБИНСКАЯ   Г ЧЕЛЯБИНСК   УЛ ПЕКИНСКАЯ д. 7"</f>
        <v>454000 ОБЛ ЧЕЛЯБИНСКАЯ   Г ЧЕЛЯБИНСК   УЛ ПЕКИНСКАЯ д. 7</v>
      </c>
      <c r="M821" t="str">
        <f t="shared" si="124"/>
        <v>2019-08-24</v>
      </c>
      <c r="N821" t="str">
        <f>"ОБЛАСТНОЙ ЦЕНТР СПИДА"</f>
        <v>ОБЛАСТНОЙ ЦЕНТР СПИДА</v>
      </c>
      <c r="O821" t="str">
        <f>"454000"</f>
        <v>454000</v>
      </c>
      <c r="P821" t="str">
        <f>"ОБЛ ЧЕЛЯБИНСКАЯ"</f>
        <v>ОБЛ ЧЕЛЯБИНСКАЯ</v>
      </c>
      <c r="Q821" t="str">
        <f>""</f>
        <v/>
      </c>
      <c r="R821" t="str">
        <f>"Г ЧЕЛЯБИНСК"</f>
        <v>Г ЧЕЛЯБИНСК</v>
      </c>
      <c r="S821" t="str">
        <f>""</f>
        <v/>
      </c>
      <c r="T821" t="str">
        <f>"УЛ БОГДАНА ХМЕЛЬНИЦКОГО"</f>
        <v>УЛ БОГДАНА ХМЕЛЬНИЦКОГО</v>
      </c>
      <c r="U821" s="1" t="str">
        <f>"13"</f>
        <v>13</v>
      </c>
      <c r="V821" s="1" t="str">
        <f>""</f>
        <v/>
      </c>
      <c r="W821" s="1" t="str">
        <f>""</f>
        <v/>
      </c>
      <c r="X821" s="1" t="str">
        <f>""</f>
        <v/>
      </c>
      <c r="Y821" s="1" t="str">
        <f>"82"</f>
        <v>82</v>
      </c>
      <c r="Z821" t="str">
        <f>"9514574191"</f>
        <v>9514574191</v>
      </c>
      <c r="AA821" t="str">
        <f>"9227366305"</f>
        <v>9227366305</v>
      </c>
      <c r="AB821" t="str">
        <f>"9227366305"</f>
        <v>9227366305</v>
      </c>
      <c r="AC821" t="str">
        <f>"9227366305"</f>
        <v>9227366305</v>
      </c>
      <c r="AD821" t="str">
        <f>"9227366305"</f>
        <v>9227366305</v>
      </c>
      <c r="AE821" t="str">
        <f>"9514574191"</f>
        <v>9514574191</v>
      </c>
    </row>
    <row r="822" spans="1:31" x14ac:dyDescent="0.45">
      <c r="A822" t="str">
        <f>"ВЫСКУБ НАДЕЖДА АЛЕКСАНДРОВНА"</f>
        <v>ВЫСКУБ НАДЕЖДА АЛЕКСАНДРОВНА</v>
      </c>
      <c r="B822" t="str">
        <f>"1978-09-19"</f>
        <v>1978-09-19</v>
      </c>
      <c r="C822" t="str">
        <f>"75 00 439123"</f>
        <v>75 00 439123</v>
      </c>
      <c r="D822" t="str">
        <f>"4279011684818738"</f>
        <v>4279011684818738</v>
      </c>
      <c r="E822" t="str">
        <f t="shared" si="131"/>
        <v>2021-05-31</v>
      </c>
      <c r="F822" t="str">
        <f t="shared" si="132"/>
        <v>+</v>
      </c>
      <c r="G822" t="str">
        <f t="shared" si="132"/>
        <v>+</v>
      </c>
      <c r="H822" t="str">
        <f>"40817810316991429224"</f>
        <v>40817810316991429224</v>
      </c>
      <c r="I822" t="str">
        <f>"8597"</f>
        <v>8597</v>
      </c>
      <c r="J822" t="str">
        <f>"0242"</f>
        <v>0242</v>
      </c>
      <c r="K822" t="str">
        <f>"35000.00"</f>
        <v>35000.00</v>
      </c>
      <c r="L822" t="str">
        <f>"454000 ОБЛ ЧЕЛЯБИНСКАЯ   Г ЧЕЛЯБИНСК   УЛ АЭРОПОРТ"</f>
        <v>454000 ОБЛ ЧЕЛЯБИНСКАЯ   Г ЧЕЛЯБИНСК   УЛ АЭРОПОРТ</v>
      </c>
      <c r="M822" t="str">
        <f t="shared" si="124"/>
        <v>2019-08-24</v>
      </c>
      <c r="N822" t="str">
        <f>"ЧЕЛЯБИНСКИЙ ЦЕНТР ОВД ФИЛИАЛА"</f>
        <v>ЧЕЛЯБИНСКИЙ ЦЕНТР ОВД ФИЛИАЛА</v>
      </c>
      <c r="O822" t="str">
        <f>"454000"</f>
        <v>454000</v>
      </c>
      <c r="P822" t="str">
        <f>"ОБЛ ЧЕЛЯБИНСКАЯ"</f>
        <v>ОБЛ ЧЕЛЯБИНСКАЯ</v>
      </c>
      <c r="Q822" t="str">
        <f>""</f>
        <v/>
      </c>
      <c r="R822" t="str">
        <f>"Г ЧЕЛЯБИНСК"</f>
        <v>Г ЧЕЛЯБИНСК</v>
      </c>
      <c r="S822" t="str">
        <f>""</f>
        <v/>
      </c>
      <c r="T822" t="str">
        <f>"УЛ ПОС. АЭРОПОРТ"</f>
        <v>УЛ ПОС. АЭРОПОРТ</v>
      </c>
      <c r="U822" s="1" t="str">
        <f>"24"</f>
        <v>24</v>
      </c>
      <c r="V822" s="1" t="str">
        <f>""</f>
        <v/>
      </c>
      <c r="W822" s="1" t="str">
        <f>""</f>
        <v/>
      </c>
      <c r="X822" s="1" t="str">
        <f>""</f>
        <v/>
      </c>
      <c r="Y822" s="1" t="str">
        <f>"10"</f>
        <v>10</v>
      </c>
      <c r="Z822" t="str">
        <f>"3517783817"</f>
        <v>3517783817</v>
      </c>
      <c r="AA822" t="str">
        <f>"3517783538"</f>
        <v>3517783538</v>
      </c>
      <c r="AB822" t="str">
        <f>"9507372541"</f>
        <v>9507372541</v>
      </c>
      <c r="AC822" t="str">
        <f>"3517783538"</f>
        <v>3517783538</v>
      </c>
      <c r="AD822" t="str">
        <f>"9507372541"</f>
        <v>9507372541</v>
      </c>
      <c r="AE822" t="str">
        <f>"3517783817"</f>
        <v>3517783817</v>
      </c>
    </row>
    <row r="823" spans="1:31" x14ac:dyDescent="0.45">
      <c r="A823" t="str">
        <f>"АЛЕЙНИКОВ ДЕНИС СТАНИСЛАВОВИЧ"</f>
        <v>АЛЕЙНИКОВ ДЕНИС СТАНИСЛАВОВИЧ</v>
      </c>
      <c r="B823" t="str">
        <f>"1972-06-18"</f>
        <v>1972-06-18</v>
      </c>
      <c r="C823" t="str">
        <f>"65 17 461224"</f>
        <v>65 17 461224</v>
      </c>
      <c r="D823" t="str">
        <f>"4279011611346282"</f>
        <v>4279011611346282</v>
      </c>
      <c r="E823" t="str">
        <f t="shared" si="131"/>
        <v>2021-05-31</v>
      </c>
      <c r="F823" t="str">
        <f t="shared" si="132"/>
        <v>+</v>
      </c>
      <c r="G823" t="str">
        <f t="shared" si="132"/>
        <v>+</v>
      </c>
      <c r="H823" t="str">
        <f>"40817810616991429225"</f>
        <v>40817810616991429225</v>
      </c>
      <c r="I823" t="str">
        <f>"7003"</f>
        <v>7003</v>
      </c>
      <c r="J823" t="str">
        <f>"0402"</f>
        <v>0402</v>
      </c>
      <c r="K823" t="str">
        <f>"98000.00"</f>
        <v>98000.00</v>
      </c>
      <c r="L823" t="str">
        <f>"620000 ОБЛ СВЕРДЛОВСКАЯ   Г ЕКАТРИНБУРГ   УЛ БАРХОВСКАЯ стр. 1"</f>
        <v>620000 ОБЛ СВЕРДЛОВСКАЯ   Г ЕКАТРИНБУРГ   УЛ БАРХОВСКАЯ стр. 1</v>
      </c>
      <c r="M823" t="str">
        <f t="shared" si="124"/>
        <v>2019-08-24</v>
      </c>
      <c r="N823" t="s">
        <v>58</v>
      </c>
      <c r="O823" t="str">
        <f>"620000"</f>
        <v>620000</v>
      </c>
      <c r="P823" t="str">
        <f>"ОБЛ СВЕРДЛОВСКАЯ"</f>
        <v>ОБЛ СВЕРДЛОВСКАЯ</v>
      </c>
      <c r="Q823" t="str">
        <f>""</f>
        <v/>
      </c>
      <c r="R823" t="str">
        <f>"Г ЕКАТЕРИНБУРГ"</f>
        <v>Г ЕКАТЕРИНБУРГ</v>
      </c>
      <c r="S823" t="str">
        <f>""</f>
        <v/>
      </c>
      <c r="T823" t="str">
        <f>"УЛ ДЕКАБРИСТОВ"</f>
        <v>УЛ ДЕКАБРИСТОВ</v>
      </c>
      <c r="U823" s="1" t="str">
        <f>"51"</f>
        <v>51</v>
      </c>
      <c r="V823" s="1" t="str">
        <f>""</f>
        <v/>
      </c>
      <c r="W823" s="1" t="str">
        <f>""</f>
        <v/>
      </c>
      <c r="X823" s="1" t="str">
        <f>""</f>
        <v/>
      </c>
      <c r="Y823" s="1" t="str">
        <f>"69"</f>
        <v>69</v>
      </c>
      <c r="Z823" t="str">
        <f>"3432184137"</f>
        <v>3432184137</v>
      </c>
      <c r="AA823" t="str">
        <f>"3432513357"</f>
        <v>3432513357</v>
      </c>
      <c r="AB823" t="str">
        <f>"9126781979"</f>
        <v>9126781979</v>
      </c>
      <c r="AC823" t="str">
        <f>"3432513357"</f>
        <v>3432513357</v>
      </c>
      <c r="AD823" t="str">
        <f>"9126781979"</f>
        <v>9126781979</v>
      </c>
      <c r="AE823" t="str">
        <f>""</f>
        <v/>
      </c>
    </row>
    <row r="824" spans="1:31" x14ac:dyDescent="0.45">
      <c r="A824" t="str">
        <f>"ДЕМИНА ЕЛИЗАВЕТА АНАТОЛЬЕВНА"</f>
        <v>ДЕМИНА ЕЛИЗАВЕТА АНАТОЛЬЕВНА</v>
      </c>
      <c r="B824" t="str">
        <f>"1989-03-12"</f>
        <v>1989-03-12</v>
      </c>
      <c r="C824" t="str">
        <f>"65 11 175842"</f>
        <v>65 11 175842</v>
      </c>
      <c r="D824" t="str">
        <f>"4276011633007766"</f>
        <v>4276011633007766</v>
      </c>
      <c r="E824" t="str">
        <f t="shared" si="131"/>
        <v>2021-05-31</v>
      </c>
      <c r="F824" t="str">
        <f t="shared" si="132"/>
        <v>+</v>
      </c>
      <c r="G824" t="str">
        <f t="shared" si="132"/>
        <v>+</v>
      </c>
      <c r="H824" t="str">
        <f>"40817810016991424765"</f>
        <v>40817810016991424765</v>
      </c>
      <c r="I824" t="str">
        <f>"7003"</f>
        <v>7003</v>
      </c>
      <c r="J824" t="str">
        <f>"0682"</f>
        <v>0682</v>
      </c>
      <c r="K824" t="str">
        <f>"200000.00"</f>
        <v>200000.00</v>
      </c>
      <c r="L824" t="str">
        <f>"623100 ОБЛ СВЕРДЛОВСКАЯ   Г ПЕРВОУРАЛЬСК   УЛ ЕМЛИНА д. 19"</f>
        <v>623100 ОБЛ СВЕРДЛОВСКАЯ   Г ПЕРВОУРАЛЬСК   УЛ ЕМЛИНА д. 19</v>
      </c>
      <c r="M824" t="str">
        <f t="shared" si="124"/>
        <v>2019-08-24</v>
      </c>
      <c r="N824" t="str">
        <f>"МАРКОВА ЕВГЕНИЯ МИХАЙЛОВНА"</f>
        <v>МАРКОВА ЕВГЕНИЯ МИХАЙЛОВНА</v>
      </c>
      <c r="O824" t="str">
        <f>"623100"</f>
        <v>623100</v>
      </c>
      <c r="P824" t="str">
        <f>"ОБЛ СВЕРДЛОВСКАЯ"</f>
        <v>ОБЛ СВЕРДЛОВСКАЯ</v>
      </c>
      <c r="Q824" t="str">
        <f>""</f>
        <v/>
      </c>
      <c r="R824" t="str">
        <f>"Г ПЕРВОУРАЛЬСК"</f>
        <v>Г ПЕРВОУРАЛЬСК</v>
      </c>
      <c r="S824" t="str">
        <f>"ТЕР САДОВОДЧЕСКОЕ ТОВАРИЩЕСТВО 28"</f>
        <v>ТЕР САДОВОДЧЕСКОЕ ТОВАРИЩЕСТВО 28</v>
      </c>
      <c r="T824" t="str">
        <f>"УЛ УЧАСТОК 154"</f>
        <v>УЛ УЧАСТОК 154</v>
      </c>
      <c r="U824" s="1" t="str">
        <f>""</f>
        <v/>
      </c>
      <c r="V824" s="1" t="str">
        <f>""</f>
        <v/>
      </c>
      <c r="W824" s="1" t="str">
        <f>""</f>
        <v/>
      </c>
      <c r="X824" s="1" t="str">
        <f>""</f>
        <v/>
      </c>
      <c r="Y824" s="1" t="str">
        <f>""</f>
        <v/>
      </c>
      <c r="Z824" t="str">
        <f>"9533890249"</f>
        <v>9533890249</v>
      </c>
      <c r="AA824" t="str">
        <f>""</f>
        <v/>
      </c>
      <c r="AB824" t="str">
        <f>"9068138343"</f>
        <v>9068138343</v>
      </c>
      <c r="AC824" t="str">
        <f>""</f>
        <v/>
      </c>
      <c r="AD824" t="str">
        <f>"9068138343"</f>
        <v>9068138343</v>
      </c>
      <c r="AE824" t="str">
        <f>"9533890249"</f>
        <v>9533890249</v>
      </c>
    </row>
    <row r="825" spans="1:31" x14ac:dyDescent="0.45">
      <c r="A825" t="str">
        <f>"МУНТЯН НИКОЛАЙ СЕМЕНОВИЧ"</f>
        <v>МУНТЯН НИКОЛАЙ СЕМЕНОВИЧ</v>
      </c>
      <c r="B825" t="str">
        <f>"1982-07-20"</f>
        <v>1982-07-20</v>
      </c>
      <c r="C825" t="str">
        <f>"65 04 070715"</f>
        <v>65 04 070715</v>
      </c>
      <c r="D825" t="str">
        <f>"4279011640287143"</f>
        <v>4279011640287143</v>
      </c>
      <c r="E825" t="str">
        <f t="shared" si="131"/>
        <v>2021-05-31</v>
      </c>
      <c r="F825" t="str">
        <f t="shared" si="132"/>
        <v>+</v>
      </c>
      <c r="G825" t="str">
        <f t="shared" si="132"/>
        <v>+</v>
      </c>
      <c r="H825" t="str">
        <f>"40817810916991424768"</f>
        <v>40817810916991424768</v>
      </c>
      <c r="I825" t="str">
        <f>"7003"</f>
        <v>7003</v>
      </c>
      <c r="J825" t="str">
        <f>"7777"</f>
        <v>7777</v>
      </c>
      <c r="K825" t="str">
        <f>"80000.00"</f>
        <v>80000.00</v>
      </c>
      <c r="L825" t="str">
        <f>"623950 ОБЛ СВЕРДЛОВСКАЯ   Г ТАВДА   УЛ ЛЕНИНА д. 83"</f>
        <v>623950 ОБЛ СВЕРДЛОВСКАЯ   Г ТАВДА   УЛ ЛЕНИНА д. 83</v>
      </c>
      <c r="M825" t="str">
        <f t="shared" si="124"/>
        <v>2019-08-24</v>
      </c>
      <c r="N825" t="str">
        <f>"ММО МВД РОССИИ ТАВДИНСКИЙ"</f>
        <v>ММО МВД РОССИИ ТАВДИНСКИЙ</v>
      </c>
      <c r="O825" t="str">
        <f>"623950"</f>
        <v>623950</v>
      </c>
      <c r="P825" t="str">
        <f>"ОБЛ СВЕРДЛОВСКАЯ"</f>
        <v>ОБЛ СВЕРДЛОВСКАЯ</v>
      </c>
      <c r="Q825" t="str">
        <f>""</f>
        <v/>
      </c>
      <c r="R825" t="str">
        <f>"Г ТАВДА"</f>
        <v>Г ТАВДА</v>
      </c>
      <c r="S825" t="str">
        <f>""</f>
        <v/>
      </c>
      <c r="T825" t="str">
        <f>"УЛ 5ОЕ ДЕКАБРЯ"</f>
        <v>УЛ 5ОЕ ДЕКАБРЯ</v>
      </c>
      <c r="U825" s="1" t="str">
        <f>"10"</f>
        <v>10</v>
      </c>
      <c r="V825" s="1" t="str">
        <f>""</f>
        <v/>
      </c>
      <c r="W825" s="1" t="str">
        <f>""</f>
        <v/>
      </c>
      <c r="X825" s="1" t="str">
        <f>""</f>
        <v/>
      </c>
      <c r="Y825" s="1" t="str">
        <f>""</f>
        <v/>
      </c>
      <c r="Z825" t="str">
        <f>"3436050141"</f>
        <v>3436050141</v>
      </c>
      <c r="AA825" t="str">
        <f>"9538209042"</f>
        <v>9538209042</v>
      </c>
      <c r="AB825" t="str">
        <f>"9538209042"</f>
        <v>9538209042</v>
      </c>
      <c r="AC825" t="str">
        <f>"9538209042"</f>
        <v>9538209042</v>
      </c>
      <c r="AD825" t="str">
        <f>"9538209042"</f>
        <v>9538209042</v>
      </c>
      <c r="AE825" t="str">
        <f>"3436050141"</f>
        <v>3436050141</v>
      </c>
    </row>
    <row r="826" spans="1:31" x14ac:dyDescent="0.45">
      <c r="A826" t="str">
        <f>"ЛОПУХОВ АЛЕКСЕЙ ИВАНОВИЧ"</f>
        <v>ЛОПУХОВ АЛЕКСЕЙ ИВАНОВИЧ</v>
      </c>
      <c r="B826" t="str">
        <f>"1961-11-26"</f>
        <v>1961-11-26</v>
      </c>
      <c r="C826" t="str">
        <f>"65 06 938655"</f>
        <v>65 06 938655</v>
      </c>
      <c r="D826" t="str">
        <f>"4279011601954335"</f>
        <v>4279011601954335</v>
      </c>
      <c r="E826" t="str">
        <f t="shared" si="131"/>
        <v>2021-05-31</v>
      </c>
      <c r="F826" t="str">
        <f>"K"</f>
        <v>K</v>
      </c>
      <c r="G826" t="str">
        <f>"+"</f>
        <v>+</v>
      </c>
      <c r="H826" t="str">
        <f>"40817810216991424769"</f>
        <v>40817810216991424769</v>
      </c>
      <c r="I826" t="str">
        <f>"7003"</f>
        <v>7003</v>
      </c>
      <c r="J826" t="str">
        <f>"7770"</f>
        <v>7770</v>
      </c>
      <c r="K826" t="str">
        <f>"420000.00"</f>
        <v>420000.00</v>
      </c>
      <c r="L826" t="str">
        <f>"620000 ОБЛ СВЕРДЛОВСКАЯ   Г ЕКАТЕРИНБУРГ   УЛ КОСМОНАВТОВ д. 18"</f>
        <v>620000 ОБЛ СВЕРДЛОВСКАЯ   Г ЕКАТЕРИНБУРГ   УЛ КОСМОНАВТОВ д. 18</v>
      </c>
      <c r="M826" t="str">
        <f t="shared" si="124"/>
        <v>2019-08-24</v>
      </c>
      <c r="N826" t="str">
        <f>"АО ОКБ НОВАТОР"</f>
        <v>АО ОКБ НОВАТОР</v>
      </c>
      <c r="O826" t="str">
        <f>"620000"</f>
        <v>620000</v>
      </c>
      <c r="P826" t="str">
        <f>"ОБЛ СВЕРДЛОВСКАЯ"</f>
        <v>ОБЛ СВЕРДЛОВСКАЯ</v>
      </c>
      <c r="Q826" t="str">
        <f>""</f>
        <v/>
      </c>
      <c r="R826" t="str">
        <f>"Г ЕКАТЕРИНБУРГ"</f>
        <v>Г ЕКАТЕРИНБУРГ</v>
      </c>
      <c r="S826" t="str">
        <f>""</f>
        <v/>
      </c>
      <c r="T826" t="str">
        <f>"УЛ КОММУНИСТИЧЕСКАЯ"</f>
        <v>УЛ КОММУНИСТИЧЕСКАЯ</v>
      </c>
      <c r="U826" s="1" t="str">
        <f>"123"</f>
        <v>123</v>
      </c>
      <c r="V826" s="1" t="str">
        <f>""</f>
        <v/>
      </c>
      <c r="W826" s="1" t="str">
        <f>""</f>
        <v/>
      </c>
      <c r="X826" s="1" t="str">
        <f>""</f>
        <v/>
      </c>
      <c r="Y826" s="1" t="str">
        <f>"2"</f>
        <v>2</v>
      </c>
      <c r="Z826" t="str">
        <f>"3433821211"</f>
        <v>3433821211</v>
      </c>
      <c r="AA826" t="str">
        <f>"9527319935"</f>
        <v>9527319935</v>
      </c>
      <c r="AB826" t="str">
        <f>"9527319935"</f>
        <v>9527319935</v>
      </c>
      <c r="AC826" t="str">
        <f>"9527319935"</f>
        <v>9527319935</v>
      </c>
      <c r="AD826" t="str">
        <f>"9527319935"</f>
        <v>9527319935</v>
      </c>
      <c r="AE826" t="str">
        <f>"3433821211"</f>
        <v>3433821211</v>
      </c>
    </row>
    <row r="827" spans="1:31" x14ac:dyDescent="0.45">
      <c r="A827" t="str">
        <f>"МАГЗИМОВА РУКИЯ АБДУЛХОЛИКОВНА"</f>
        <v>МАГЗИМОВА РУКИЯ АБДУЛХОЛИКОВНА</v>
      </c>
      <c r="B827" t="str">
        <f>"1989-03-18"</f>
        <v>1989-03-18</v>
      </c>
      <c r="C827" t="str">
        <f>"75 12 214028"</f>
        <v>75 12 214028</v>
      </c>
      <c r="D827" t="str">
        <f>"4279011648353046"</f>
        <v>4279011648353046</v>
      </c>
      <c r="E827" t="str">
        <f t="shared" si="131"/>
        <v>2021-05-31</v>
      </c>
      <c r="F827" t="str">
        <f>"+"</f>
        <v>+</v>
      </c>
      <c r="G827" t="str">
        <f>"+"</f>
        <v>+</v>
      </c>
      <c r="H827" t="str">
        <f>"40817810616991424770"</f>
        <v>40817810616991424770</v>
      </c>
      <c r="I827" t="str">
        <f>"8597"</f>
        <v>8597</v>
      </c>
      <c r="J827" t="str">
        <f>"7770"</f>
        <v>7770</v>
      </c>
      <c r="K827" t="str">
        <f>"10000.00"</f>
        <v>10000.00</v>
      </c>
      <c r="L827" t="str">
        <f>"454000 ОБЛ ЧЕЛЯБИНСКАЯ   Г ЧЕЛЯБИНСК   УЛ КУЙБЫШЕВА д. 63"</f>
        <v>454000 ОБЛ ЧЕЛЯБИНСКАЯ   Г ЧЕЛЯБИНСК   УЛ КУЙБЫШЕВА д. 63</v>
      </c>
      <c r="M827" t="str">
        <f t="shared" si="124"/>
        <v>2019-08-24</v>
      </c>
      <c r="N827" t="str">
        <f>"72216083 МАДОУ ДЕТСКИЙ САД №344"</f>
        <v>72216083 МАДОУ ДЕТСКИЙ САД №344</v>
      </c>
      <c r="O827" t="str">
        <f>"454000"</f>
        <v>454000</v>
      </c>
      <c r="P827" t="str">
        <f>"ОБЛ ЧЕЛЯБИНСКАЯ"</f>
        <v>ОБЛ ЧЕЛЯБИНСКАЯ</v>
      </c>
      <c r="Q827" t="str">
        <f>""</f>
        <v/>
      </c>
      <c r="R827" t="str">
        <f>""</f>
        <v/>
      </c>
      <c r="S827" t="str">
        <f>""</f>
        <v/>
      </c>
      <c r="T827" t="str">
        <f>"УЛ ."</f>
        <v>УЛ .</v>
      </c>
      <c r="U827" s="1" t="str">
        <f>""</f>
        <v/>
      </c>
      <c r="V827" s="1" t="str">
        <f>""</f>
        <v/>
      </c>
      <c r="W827" s="1" t="str">
        <f>""</f>
        <v/>
      </c>
      <c r="X827" s="1" t="str">
        <f>""</f>
        <v/>
      </c>
      <c r="Y827" s="1" t="str">
        <f>""</f>
        <v/>
      </c>
      <c r="Z827" t="str">
        <f>"3517403732"</f>
        <v>3517403732</v>
      </c>
      <c r="AA827" t="str">
        <f>"0000000000"</f>
        <v>0000000000</v>
      </c>
      <c r="AB827" t="str">
        <f>"9511188398"</f>
        <v>9511188398</v>
      </c>
      <c r="AC827" t="str">
        <f>"0000000000"</f>
        <v>0000000000</v>
      </c>
      <c r="AD827" t="str">
        <f>"9511204621"</f>
        <v>9511204621</v>
      </c>
      <c r="AE827" t="str">
        <f>"3517403732"</f>
        <v>3517403732</v>
      </c>
    </row>
    <row r="828" spans="1:31" x14ac:dyDescent="0.45">
      <c r="A828" t="str">
        <f>"БАЧИНИНА ИРИНА ВЛАДИМИРОВНА"</f>
        <v>БАЧИНИНА ИРИНА ВЛАДИМИРОВНА</v>
      </c>
      <c r="B828" t="str">
        <f>"1978-08-27"</f>
        <v>1978-08-27</v>
      </c>
      <c r="C828" t="str">
        <f>"65 02 415566"</f>
        <v>65 02 415566</v>
      </c>
      <c r="D828" t="str">
        <f>"4279011639271223"</f>
        <v>4279011639271223</v>
      </c>
      <c r="E828" t="str">
        <f t="shared" si="131"/>
        <v>2021-05-31</v>
      </c>
      <c r="F828" t="str">
        <f>"+"</f>
        <v>+</v>
      </c>
      <c r="G828" t="str">
        <f>"+"</f>
        <v>+</v>
      </c>
      <c r="H828" t="str">
        <f>"40817810816991424774"</f>
        <v>40817810816991424774</v>
      </c>
      <c r="I828" t="str">
        <f>"7003"</f>
        <v>7003</v>
      </c>
      <c r="J828" t="str">
        <f>"0518"</f>
        <v>0518</v>
      </c>
      <c r="K828" t="str">
        <f>"200000.00"</f>
        <v>200000.00</v>
      </c>
      <c r="L828" t="str">
        <f>"620000 ОБЛ СВЕРДЛОВСКАЯ   Г РЕЖ   УЛ 1 д. 1"</f>
        <v>620000 ОБЛ СВЕРДЛОВСКАЯ   Г РЕЖ   УЛ 1 д. 1</v>
      </c>
      <c r="M828" t="str">
        <f t="shared" si="124"/>
        <v>2019-08-24</v>
      </c>
      <c r="N828" t="str">
        <f>"ПСК"</f>
        <v>ПСК</v>
      </c>
      <c r="O828" t="str">
        <f>"620000"</f>
        <v>620000</v>
      </c>
      <c r="P828" t="str">
        <f>"ОБЛ СВЕРДЛОВСКАЯ"</f>
        <v>ОБЛ СВЕРДЛОВСКАЯ</v>
      </c>
      <c r="Q828" t="str">
        <f>"Р-Н РЕЖЕВСКОЙ"</f>
        <v>Р-Н РЕЖЕВСКОЙ</v>
      </c>
      <c r="R828" t="str">
        <f>"Г РЕЖ"</f>
        <v>Г РЕЖ</v>
      </c>
      <c r="S828" t="str">
        <f>"Д ЖУКОВО"</f>
        <v>Д ЖУКОВО</v>
      </c>
      <c r="T828" t="str">
        <f>"УЛ САДОВАЯ"</f>
        <v>УЛ САДОВАЯ</v>
      </c>
      <c r="U828" s="1" t="str">
        <f>"6"</f>
        <v>6</v>
      </c>
      <c r="V828" s="1" t="str">
        <f>""</f>
        <v/>
      </c>
      <c r="W828" s="1" t="str">
        <f>""</f>
        <v/>
      </c>
      <c r="X828" s="1" t="str">
        <f>""</f>
        <v/>
      </c>
      <c r="Y828" s="1" t="str">
        <f>""</f>
        <v/>
      </c>
      <c r="Z828" t="str">
        <f>""</f>
        <v/>
      </c>
      <c r="AA828" t="str">
        <f>"9090217042"</f>
        <v>9090217042</v>
      </c>
      <c r="AB828" t="str">
        <f>"9090217042"</f>
        <v>9090217042</v>
      </c>
      <c r="AC828" t="str">
        <f>"9090217042"</f>
        <v>9090217042</v>
      </c>
      <c r="AD828" t="str">
        <f>"9090217042"</f>
        <v>9090217042</v>
      </c>
      <c r="AE828" t="str">
        <f>""</f>
        <v/>
      </c>
    </row>
    <row r="829" spans="1:31" x14ac:dyDescent="0.45">
      <c r="A829" t="str">
        <f>"КИРПИЧЕНКО ЯНА АЛЕКСАНДРОВНА"</f>
        <v>КИРПИЧЕНКО ЯНА АЛЕКСАНДРОВНА</v>
      </c>
      <c r="B829" t="str">
        <f>"1985-01-03"</f>
        <v>1985-01-03</v>
      </c>
      <c r="C829" t="str">
        <f>"65 10 965767"</f>
        <v>65 10 965767</v>
      </c>
      <c r="D829" t="str">
        <f>"4279011625855419"</f>
        <v>4279011625855419</v>
      </c>
      <c r="E829" t="str">
        <f t="shared" si="131"/>
        <v>2021-05-31</v>
      </c>
      <c r="F829" t="str">
        <f>"Q"</f>
        <v>Q</v>
      </c>
      <c r="G829" t="str">
        <f>"Q"</f>
        <v>Q</v>
      </c>
      <c r="H829" t="str">
        <f>"40817810416991424776"</f>
        <v>40817810416991424776</v>
      </c>
      <c r="I829" t="str">
        <f>"7003"</f>
        <v>7003</v>
      </c>
      <c r="J829" t="str">
        <f>"7777"</f>
        <v>7777</v>
      </c>
      <c r="K829" t="str">
        <f t="shared" ref="K829:K830" si="133">"0.00"</f>
        <v>0.00</v>
      </c>
      <c r="L829" t="str">
        <f>"623950 ОБЛ СВЕРДЛОВСКАЯ   Г ТАВДА   УЛ ЛЕНИНА д. 83 А"</f>
        <v>623950 ОБЛ СВЕРДЛОВСКАЯ   Г ТАВДА   УЛ ЛЕНИНА д. 83 А</v>
      </c>
      <c r="M829" t="str">
        <f t="shared" si="124"/>
        <v>2019-08-24</v>
      </c>
      <c r="N829" t="str">
        <f>"ТАВДИНСКИЙ МВД"</f>
        <v>ТАВДИНСКИЙ МВД</v>
      </c>
      <c r="O829" t="str">
        <f>"623950"</f>
        <v>623950</v>
      </c>
      <c r="P829" t="str">
        <f>"ОБЛ СВЕРДЛОВСКАЯ"</f>
        <v>ОБЛ СВЕРДЛОВСКАЯ</v>
      </c>
      <c r="Q829" t="str">
        <f>""</f>
        <v/>
      </c>
      <c r="R829" t="str">
        <f>"Г ТАВДА"</f>
        <v>Г ТАВДА</v>
      </c>
      <c r="S829" t="str">
        <f>""</f>
        <v/>
      </c>
      <c r="T829" t="str">
        <f>"УЛ ЧЕКИСТОВ"</f>
        <v>УЛ ЧЕКИСТОВ</v>
      </c>
      <c r="U829" s="1" t="str">
        <f>"2"</f>
        <v>2</v>
      </c>
      <c r="V829" s="1" t="str">
        <f>""</f>
        <v/>
      </c>
      <c r="W829" s="1" t="str">
        <f>""</f>
        <v/>
      </c>
      <c r="X829" s="1" t="str">
        <f>""</f>
        <v/>
      </c>
      <c r="Y829" s="1" t="str">
        <f>"36"</f>
        <v>36</v>
      </c>
      <c r="Z829" t="str">
        <f>"3436022950"</f>
        <v>3436022950</v>
      </c>
      <c r="AA829" t="str">
        <f>"9090041990"</f>
        <v>9090041990</v>
      </c>
      <c r="AB829" t="str">
        <f>"9090041990"</f>
        <v>9090041990</v>
      </c>
      <c r="AC829" t="str">
        <f>"9090041990"</f>
        <v>9090041990</v>
      </c>
      <c r="AD829" t="str">
        <f>"9090041990"</f>
        <v>9090041990</v>
      </c>
      <c r="AE829" t="str">
        <f>"3436022950"</f>
        <v>3436022950</v>
      </c>
    </row>
    <row r="830" spans="1:31" x14ac:dyDescent="0.45">
      <c r="A830" t="str">
        <f>"СЕМЯННИКОВ ВАЛЕРИЙ НИКОЛАЕВИЧ"</f>
        <v>СЕМЯННИКОВ ВАЛЕРИЙ НИКОЛАЕВИЧ</v>
      </c>
      <c r="B830" t="str">
        <f>"1963-10-18"</f>
        <v>1963-10-18</v>
      </c>
      <c r="C830" t="str">
        <f>"65 08 451557"</f>
        <v>65 08 451557</v>
      </c>
      <c r="D830" t="str">
        <f>"4279011688089302"</f>
        <v>4279011688089302</v>
      </c>
      <c r="E830" t="str">
        <f t="shared" si="131"/>
        <v>2021-05-31</v>
      </c>
      <c r="F830" t="str">
        <f>"Q"</f>
        <v>Q</v>
      </c>
      <c r="G830" t="str">
        <f>"Q"</f>
        <v>Q</v>
      </c>
      <c r="H830" t="str">
        <f>"40817810916991424784"</f>
        <v>40817810916991424784</v>
      </c>
      <c r="I830" t="str">
        <f>"7003"</f>
        <v>7003</v>
      </c>
      <c r="J830" t="str">
        <f>"7770"</f>
        <v>7770</v>
      </c>
      <c r="K830" t="str">
        <f t="shared" si="133"/>
        <v>0.00</v>
      </c>
      <c r="L830" t="str">
        <f>"620000 ОБЛ СВЕРДЛОВСКАЯ   Г ЕКАТЕРИНБУРГ   ПР-КТ КОСМОНАВТОВ д. 18"</f>
        <v>620000 ОБЛ СВЕРДЛОВСКАЯ   Г ЕКАТЕРИНБУРГ   ПР-КТ КОСМОНАВТОВ д. 18</v>
      </c>
      <c r="M830" t="str">
        <f t="shared" si="124"/>
        <v>2019-08-24</v>
      </c>
      <c r="N830" t="str">
        <f>"АО ОКБ НОВАТОР"</f>
        <v>АО ОКБ НОВАТОР</v>
      </c>
      <c r="O830" t="str">
        <f>"620000"</f>
        <v>620000</v>
      </c>
      <c r="P830" t="str">
        <f>"ОБЛ СВЕРДЛОВСКАЯ"</f>
        <v>ОБЛ СВЕРДЛОВСКАЯ</v>
      </c>
      <c r="Q830" t="str">
        <f>""</f>
        <v/>
      </c>
      <c r="R830" t="str">
        <f>"Г ЕКАТЕРИНБУРГ"</f>
        <v>Г ЕКАТЕРИНБУРГ</v>
      </c>
      <c r="S830" t="str">
        <f>""</f>
        <v/>
      </c>
      <c r="T830" t="str">
        <f>"УЛ СТАРЫХ БОЛЬШЕВИКОВ"</f>
        <v>УЛ СТАРЫХ БОЛЬШЕВИКОВ</v>
      </c>
      <c r="U830" s="1" t="str">
        <f>"84"</f>
        <v>84</v>
      </c>
      <c r="V830" s="1" t="str">
        <f>""</f>
        <v/>
      </c>
      <c r="W830" s="1" t="str">
        <f>"1"</f>
        <v>1</v>
      </c>
      <c r="X830" s="1" t="str">
        <f>""</f>
        <v/>
      </c>
      <c r="Y830" s="1" t="str">
        <f>"159"</f>
        <v>159</v>
      </c>
      <c r="Z830" t="str">
        <f>"3432641025"</f>
        <v>3432641025</v>
      </c>
      <c r="AA830" t="str">
        <f>"9089061527"</f>
        <v>9089061527</v>
      </c>
      <c r="AB830" t="str">
        <f>"9089061527"</f>
        <v>9089061527</v>
      </c>
      <c r="AC830" t="str">
        <f>"9089061527"</f>
        <v>9089061527</v>
      </c>
      <c r="AD830" t="str">
        <f>"9089061527"</f>
        <v>9089061527</v>
      </c>
      <c r="AE830" t="str">
        <f>"3432641025"</f>
        <v>3432641025</v>
      </c>
    </row>
    <row r="831" spans="1:31" x14ac:dyDescent="0.45">
      <c r="A831" t="str">
        <f>"АРДАШИРОВА ГЛЮЗА ФАНИТОВНА"</f>
        <v>АРДАШИРОВА ГЛЮЗА ФАНИТОВНА</v>
      </c>
      <c r="B831" t="str">
        <f>"1983-10-04"</f>
        <v>1983-10-04</v>
      </c>
      <c r="C831" t="str">
        <f>"80 07 407254"</f>
        <v>80 07 407254</v>
      </c>
      <c r="D831" t="str">
        <f>"4279011604144306"</f>
        <v>4279011604144306</v>
      </c>
      <c r="E831" t="str">
        <f t="shared" si="131"/>
        <v>2021-05-31</v>
      </c>
      <c r="F831" t="str">
        <f t="shared" ref="F831:G834" si="134">"+"</f>
        <v>+</v>
      </c>
      <c r="G831" t="str">
        <f t="shared" si="134"/>
        <v>+</v>
      </c>
      <c r="H831" t="str">
        <f>"40817810616991424783"</f>
        <v>40817810616991424783</v>
      </c>
      <c r="I831" t="str">
        <f>"8598"</f>
        <v>8598</v>
      </c>
      <c r="J831" t="str">
        <f>"7771"</f>
        <v>7771</v>
      </c>
      <c r="K831" t="str">
        <f>"85000.00"</f>
        <v>85000.00</v>
      </c>
      <c r="L831" t="str">
        <f>"453050 РЕСП БАШКОРТОСТАН Р-Н ГАФУРИЙСКИЙ   С КРАСНОУСОЛЬСКИЙ УЛ ЛЕНИНА д. 1"</f>
        <v>453050 РЕСП БАШКОРТОСТАН Р-Н ГАФУРИЙСКИЙ   С КРАСНОУСОЛЬСКИЙ УЛ ЛЕНИНА д. 1</v>
      </c>
      <c r="M831" t="str">
        <f t="shared" si="124"/>
        <v>2019-08-24</v>
      </c>
      <c r="N831" t="str">
        <f>"АДМИНИСТРАЦИЯ ГАФУРИЙСКОГО Р-НА"</f>
        <v>АДМИНИСТРАЦИЯ ГАФУРИЙСКОГО Р-НА</v>
      </c>
      <c r="O831" t="str">
        <f>"453050"</f>
        <v>453050</v>
      </c>
      <c r="P831" t="str">
        <f>"РЕСП БАШКОРТОСТАН"</f>
        <v>РЕСП БАШКОРТОСТАН</v>
      </c>
      <c r="Q831" t="str">
        <f>"Р-Н ГАФУРИЙСКИЙ"</f>
        <v>Р-Н ГАФУРИЙСКИЙ</v>
      </c>
      <c r="R831" t="str">
        <f>""</f>
        <v/>
      </c>
      <c r="S831" t="str">
        <f>"С КРАСНОУСОЛЬСКИЙ"</f>
        <v>С КРАСНОУСОЛЬСКИЙ</v>
      </c>
      <c r="T831" t="str">
        <f>"УЛ ПУГАЧЕВА"</f>
        <v>УЛ ПУГАЧЕВА</v>
      </c>
      <c r="U831" s="1" t="str">
        <f>"82"</f>
        <v>82</v>
      </c>
      <c r="V831" s="1" t="str">
        <f>""</f>
        <v/>
      </c>
      <c r="W831" s="1" t="str">
        <f>""</f>
        <v/>
      </c>
      <c r="X831" s="1" t="str">
        <f>""</f>
        <v/>
      </c>
      <c r="Y831" s="1" t="str">
        <f>""</f>
        <v/>
      </c>
      <c r="Z831" t="str">
        <f>""</f>
        <v/>
      </c>
      <c r="AA831" t="str">
        <f>"9375009495"</f>
        <v>9375009495</v>
      </c>
      <c r="AB831" t="str">
        <f>"9375009495"</f>
        <v>9375009495</v>
      </c>
      <c r="AC831" t="str">
        <f>"9375009495"</f>
        <v>9375009495</v>
      </c>
      <c r="AD831" t="str">
        <f>"9375009495"</f>
        <v>9375009495</v>
      </c>
      <c r="AE831" t="str">
        <f>""</f>
        <v/>
      </c>
    </row>
    <row r="832" spans="1:31" x14ac:dyDescent="0.45">
      <c r="A832" t="str">
        <f>"СИТДИКОВ РАНИС РИНАТОВИЧ"</f>
        <v>СИТДИКОВ РАНИС РИНАТОВИЧ</v>
      </c>
      <c r="B832" t="str">
        <f>"1990-11-08"</f>
        <v>1990-11-08</v>
      </c>
      <c r="C832" t="str">
        <f>"80 10 170298"</f>
        <v>80 10 170298</v>
      </c>
      <c r="D832" t="str">
        <f>"5484011603497794"</f>
        <v>5484011603497794</v>
      </c>
      <c r="E832" t="str">
        <f t="shared" si="131"/>
        <v>2021-05-31</v>
      </c>
      <c r="F832" t="str">
        <f t="shared" si="134"/>
        <v>+</v>
      </c>
      <c r="G832" t="str">
        <f t="shared" si="134"/>
        <v>+</v>
      </c>
      <c r="H832" t="str">
        <f>"40817810216991424785"</f>
        <v>40817810216991424785</v>
      </c>
      <c r="I832" t="str">
        <f>"8598"</f>
        <v>8598</v>
      </c>
      <c r="J832" t="str">
        <f>"0321"</f>
        <v>0321</v>
      </c>
      <c r="K832" t="str">
        <f>"115000.00"</f>
        <v>115000.00</v>
      </c>
      <c r="L832" t="str">
        <f>"450000 РЕСП БАШКОРТОСТАН Р-Н УЧАЛИНСКИЙ   С САФАРОВО УЛ -"</f>
        <v>450000 РЕСП БАШКОРТОСТАН Р-Н УЧАЛИНСКИЙ   С САФАРОВО УЛ -</v>
      </c>
      <c r="M832" t="str">
        <f t="shared" si="124"/>
        <v>2019-08-24</v>
      </c>
      <c r="N832" t="str">
        <f>"АО НПФ БЗК"</f>
        <v>АО НПФ БЗК</v>
      </c>
      <c r="O832" t="str">
        <f>"450000"</f>
        <v>450000</v>
      </c>
      <c r="P832" t="str">
        <f>"РЕСП БАШКОРТОСТАН"</f>
        <v>РЕСП БАШКОРТОСТАН</v>
      </c>
      <c r="Q832" t="str">
        <f>"Р-Н УЧАЛИНСКИЙ"</f>
        <v>Р-Н УЧАЛИНСКИЙ</v>
      </c>
      <c r="R832" t="str">
        <f>""</f>
        <v/>
      </c>
      <c r="S832" t="str">
        <f>"Д КУБАГУШЕВО"</f>
        <v>Д КУБАГУШЕВО</v>
      </c>
      <c r="T832" t="str">
        <f>"УЛ КУЯШЕВСКАЯ"</f>
        <v>УЛ КУЯШЕВСКАЯ</v>
      </c>
      <c r="U832" s="1" t="str">
        <f>"7"</f>
        <v>7</v>
      </c>
      <c r="V832" s="1" t="str">
        <f>""</f>
        <v/>
      </c>
      <c r="W832" s="1" t="str">
        <f>""</f>
        <v/>
      </c>
      <c r="X832" s="1" t="str">
        <f>""</f>
        <v/>
      </c>
      <c r="Y832" s="1" t="str">
        <f>""</f>
        <v/>
      </c>
      <c r="Z832" t="str">
        <f>"9610420605"</f>
        <v>9610420605</v>
      </c>
      <c r="AA832" t="str">
        <f>"9625260181"</f>
        <v>9625260181</v>
      </c>
      <c r="AB832" t="str">
        <f>"9625260181"</f>
        <v>9625260181</v>
      </c>
      <c r="AC832" t="str">
        <f>"9625260181"</f>
        <v>9625260181</v>
      </c>
      <c r="AD832" t="str">
        <f>"9625260181"</f>
        <v>9625260181</v>
      </c>
      <c r="AE832" t="str">
        <f>"9610420605"</f>
        <v>9610420605</v>
      </c>
    </row>
    <row r="833" spans="1:31" x14ac:dyDescent="0.45">
      <c r="A833" t="str">
        <f>"ВАХИТОВА ТАНЗИЛЯ НИГАМАТОВНА"</f>
        <v>ВАХИТОВА ТАНЗИЛЯ НИГАМАТОВНА</v>
      </c>
      <c r="B833" t="str">
        <f>"1963-09-29"</f>
        <v>1963-09-29</v>
      </c>
      <c r="C833" t="str">
        <f>"80 08 625369"</f>
        <v>80 08 625369</v>
      </c>
      <c r="D833" t="str">
        <f>"5484011603697880"</f>
        <v>5484011603697880</v>
      </c>
      <c r="E833" t="str">
        <f t="shared" si="131"/>
        <v>2021-05-31</v>
      </c>
      <c r="F833" t="str">
        <f t="shared" si="134"/>
        <v>+</v>
      </c>
      <c r="G833" t="str">
        <f t="shared" si="134"/>
        <v>+</v>
      </c>
      <c r="H833" t="str">
        <f>"40817810116991424788"</f>
        <v>40817810116991424788</v>
      </c>
      <c r="I833" t="str">
        <f>"8598"</f>
        <v>8598</v>
      </c>
      <c r="J833" t="str">
        <f>"0724"</f>
        <v>0724</v>
      </c>
      <c r="K833" t="str">
        <f>"15000.00"</f>
        <v>15000.00</v>
      </c>
      <c r="L833" t="str">
        <f>"450000 РЕСП БАШКОРТОСТАН   Г СИБАЙ   УЛ ЭЛЕВАТОРНАЯ д. 1"</f>
        <v>450000 РЕСП БАШКОРТОСТАН   Г СИБАЙ   УЛ ЭЛЕВАТОРНАЯ д. 1</v>
      </c>
      <c r="M833" t="str">
        <f t="shared" si="124"/>
        <v>2019-08-24</v>
      </c>
      <c r="N833" t="str">
        <f>"ООО ЭЛЕВАТОР"</f>
        <v>ООО ЭЛЕВАТОР</v>
      </c>
      <c r="O833" t="str">
        <f>"450000"</f>
        <v>450000</v>
      </c>
      <c r="P833" t="str">
        <f>"РЕСП БАШКОРТОСТАН"</f>
        <v>РЕСП БАШКОРТОСТАН</v>
      </c>
      <c r="Q833" t="str">
        <f>""</f>
        <v/>
      </c>
      <c r="R833" t="str">
        <f>"Г СИБАЙ"</f>
        <v>Г СИБАЙ</v>
      </c>
      <c r="S833" t="str">
        <f>""</f>
        <v/>
      </c>
      <c r="T833" t="str">
        <f>"УЛ ДИМИТРОВА"</f>
        <v>УЛ ДИМИТРОВА</v>
      </c>
      <c r="U833" s="1" t="str">
        <f>"3"</f>
        <v>3</v>
      </c>
      <c r="V833" s="1" t="str">
        <f>""</f>
        <v/>
      </c>
      <c r="W833" s="1" t="str">
        <f>""</f>
        <v/>
      </c>
      <c r="X833" s="1" t="str">
        <f>""</f>
        <v/>
      </c>
      <c r="Y833" s="1" t="str">
        <f>""</f>
        <v/>
      </c>
      <c r="Z833" t="str">
        <f>"3477553362"</f>
        <v>3477553362</v>
      </c>
      <c r="AA833" t="str">
        <f>"3477552618"</f>
        <v>3477552618</v>
      </c>
      <c r="AB833" t="str">
        <f>"9279248526"</f>
        <v>9279248526</v>
      </c>
      <c r="AC833" t="str">
        <f>"3477552618"</f>
        <v>3477552618</v>
      </c>
      <c r="AD833" t="str">
        <f>"9279248526"</f>
        <v>9279248526</v>
      </c>
      <c r="AE833" t="str">
        <f>"3477553362"</f>
        <v>3477553362</v>
      </c>
    </row>
    <row r="834" spans="1:31" x14ac:dyDescent="0.45">
      <c r="A834" t="str">
        <f>"КУТУЗОВА АЛЬФИЯ ГАБИТОВНА"</f>
        <v>КУТУЗОВА АЛЬФИЯ ГАБИТОВНА</v>
      </c>
      <c r="B834" t="str">
        <f>"1962-12-03"</f>
        <v>1962-12-03</v>
      </c>
      <c r="C834" t="str">
        <f>"75 07 170520"</f>
        <v>75 07 170520</v>
      </c>
      <c r="D834" t="str">
        <f>"4279011619489597"</f>
        <v>4279011619489597</v>
      </c>
      <c r="E834" t="str">
        <f t="shared" si="131"/>
        <v>2021-05-31</v>
      </c>
      <c r="F834" t="str">
        <f t="shared" si="134"/>
        <v>+</v>
      </c>
      <c r="G834" t="str">
        <f t="shared" si="134"/>
        <v>+</v>
      </c>
      <c r="H834" t="str">
        <f>"40817810116991424791"</f>
        <v>40817810116991424791</v>
      </c>
      <c r="I834" t="str">
        <f>"8597"</f>
        <v>8597</v>
      </c>
      <c r="J834" t="str">
        <f>"0297"</f>
        <v>0297</v>
      </c>
      <c r="K834" t="str">
        <f>"10000.00"</f>
        <v>10000.00</v>
      </c>
      <c r="L834" t="str">
        <f>"456659 ОБЛ ЧЕЛЯБИНСКАЯ   Г КОПЕЙСК С КАЛАЧЕВО УЛ ЗЕЛЕНАЯ д. 1"</f>
        <v>456659 ОБЛ ЧЕЛЯБИНСКАЯ   Г КОПЕЙСК С КАЛАЧЕВО УЛ ЗЕЛЕНАЯ д. 1</v>
      </c>
      <c r="M834" t="str">
        <f t="shared" ref="M834:M897" si="135">"2019-08-24"</f>
        <v>2019-08-24</v>
      </c>
      <c r="N834" t="str">
        <f>"72326255"</f>
        <v>72326255</v>
      </c>
      <c r="O834" t="str">
        <f>"456658"</f>
        <v>456658</v>
      </c>
      <c r="P834" t="str">
        <f>"ОБЛ ЧЕЛЯБИНСКАЯ"</f>
        <v>ОБЛ ЧЕЛЯБИНСКАЯ</v>
      </c>
      <c r="Q834" t="str">
        <f>""</f>
        <v/>
      </c>
      <c r="R834" t="str">
        <f>"Г КОПЕЙСК"</f>
        <v>Г КОПЕЙСК</v>
      </c>
      <c r="S834" t="str">
        <f>""</f>
        <v/>
      </c>
      <c r="T834" t="str">
        <f>"УЛ СОЛНЕЧНАЯ"</f>
        <v>УЛ СОЛНЕЧНАЯ</v>
      </c>
      <c r="U834" s="1" t="str">
        <f>"2"</f>
        <v>2</v>
      </c>
      <c r="V834" s="1" t="str">
        <f>""</f>
        <v/>
      </c>
      <c r="W834" s="1" t="str">
        <f>""</f>
        <v/>
      </c>
      <c r="X834" s="1" t="str">
        <f>""</f>
        <v/>
      </c>
      <c r="Y834" s="1" t="str">
        <f>"2"</f>
        <v>2</v>
      </c>
      <c r="Z834" t="str">
        <f>"+7 (35139) 39570"</f>
        <v>+7 (35139) 39570</v>
      </c>
      <c r="AA834" t="str">
        <f>"+7 (919) 3056892"</f>
        <v>+7 (919) 3056892</v>
      </c>
      <c r="AB834" t="str">
        <f>"+7 (919) 3056892"</f>
        <v>+7 (919) 3056892</v>
      </c>
      <c r="AC834" t="str">
        <f>"9193056892"</f>
        <v>9193056892</v>
      </c>
      <c r="AD834" t="str">
        <f>"9193056892"</f>
        <v>9193056892</v>
      </c>
      <c r="AE834" t="str">
        <f>""</f>
        <v/>
      </c>
    </row>
    <row r="835" spans="1:31" x14ac:dyDescent="0.45">
      <c r="A835" t="str">
        <f>"ШАРЛУПЕНКОВ ВАЛЕРИЙ АЛЕКСАНДРОВИЧ"</f>
        <v>ШАРЛУПЕНКОВ ВАЛЕРИЙ АЛЕКСАНДРОВИЧ</v>
      </c>
      <c r="B835" t="str">
        <f>"1963-04-06"</f>
        <v>1963-04-06</v>
      </c>
      <c r="C835" t="str">
        <f>"65 08 402624"</f>
        <v>65 08 402624</v>
      </c>
      <c r="D835" t="str">
        <f>"4276011671018378"</f>
        <v>4276011671018378</v>
      </c>
      <c r="E835" t="str">
        <f t="shared" si="131"/>
        <v>2021-05-31</v>
      </c>
      <c r="F835" t="str">
        <f>"Y"</f>
        <v>Y</v>
      </c>
      <c r="G835" t="str">
        <f>"Q"</f>
        <v>Q</v>
      </c>
      <c r="H835" t="str">
        <f>"40817810016991424794"</f>
        <v>40817810016991424794</v>
      </c>
      <c r="I835" t="str">
        <f>"7003"</f>
        <v>7003</v>
      </c>
      <c r="J835" t="str">
        <f>"7771"</f>
        <v>7771</v>
      </c>
      <c r="K835" t="str">
        <f>"0.00"</f>
        <v>0.00</v>
      </c>
      <c r="L835" t="str">
        <f>"620000 ОБЛ СВЕРДЛОВСКАЯ   Г АСБЕСТ П БЕЛОКАМЕННЫЙ УЛ ЗАРЕЧНАЯ д. 19"</f>
        <v>620000 ОБЛ СВЕРДЛОВСКАЯ   Г АСБЕСТ П БЕЛОКАМЕННЫЙ УЛ ЗАРЕЧНАЯ д. 19</v>
      </c>
      <c r="M835" t="str">
        <f t="shared" si="135"/>
        <v>2019-08-24</v>
      </c>
      <c r="N835" t="s">
        <v>59</v>
      </c>
      <c r="O835" t="str">
        <f>"624260"</f>
        <v>624260</v>
      </c>
      <c r="P835" t="str">
        <f>"ОБЛ СВЕРДЛОВСКАЯ"</f>
        <v>ОБЛ СВЕРДЛОВСКАЯ</v>
      </c>
      <c r="Q835" t="str">
        <f>""</f>
        <v/>
      </c>
      <c r="R835" t="str">
        <f>"Г АСБЕСТ"</f>
        <v>Г АСБЕСТ</v>
      </c>
      <c r="S835" t="str">
        <f>""</f>
        <v/>
      </c>
      <c r="T835" t="str">
        <f>"УЛ СТРОИТЕЛЕЙ"</f>
        <v>УЛ СТРОИТЕЛЕЙ</v>
      </c>
      <c r="U835" s="1" t="str">
        <f>"26"</f>
        <v>26</v>
      </c>
      <c r="V835" s="1" t="str">
        <f>""</f>
        <v/>
      </c>
      <c r="W835" s="1" t="str">
        <f>""</f>
        <v/>
      </c>
      <c r="X835" s="1" t="str">
        <f>""</f>
        <v/>
      </c>
      <c r="Y835" s="1" t="str">
        <f>"73"</f>
        <v>73</v>
      </c>
      <c r="Z835" t="str">
        <f>"3436564246"</f>
        <v>3436564246</v>
      </c>
      <c r="AA835" t="str">
        <f>"9506410472"</f>
        <v>9506410472</v>
      </c>
      <c r="AB835" t="str">
        <f>"9506410472"</f>
        <v>9506410472</v>
      </c>
      <c r="AC835" t="str">
        <f>"9506410472"</f>
        <v>9506410472</v>
      </c>
      <c r="AD835" t="str">
        <f>"9506410472"</f>
        <v>9506410472</v>
      </c>
      <c r="AE835" t="str">
        <f>"3436564246"</f>
        <v>3436564246</v>
      </c>
    </row>
    <row r="836" spans="1:31" x14ac:dyDescent="0.45">
      <c r="A836" t="str">
        <f>"ПЛАТОНОВ АЛЬБЕРТ АНАТОЛЬЕВИЧ"</f>
        <v>ПЛАТОНОВ АЛЬБЕРТ АНАТОЛЬЕВИЧ</v>
      </c>
      <c r="B836" t="str">
        <f>"1972-08-02"</f>
        <v>1972-08-02</v>
      </c>
      <c r="C836" t="str">
        <f>"65 17 490362"</f>
        <v>65 17 490362</v>
      </c>
      <c r="D836" t="str">
        <f>"4279011604491178"</f>
        <v>4279011604491178</v>
      </c>
      <c r="E836" t="str">
        <f t="shared" si="131"/>
        <v>2021-05-31</v>
      </c>
      <c r="F836" t="str">
        <f>"+"</f>
        <v>+</v>
      </c>
      <c r="G836" t="str">
        <f>"+"</f>
        <v>+</v>
      </c>
      <c r="H836" t="str">
        <f>"40817810616991424796"</f>
        <v>40817810616991424796</v>
      </c>
      <c r="I836" t="str">
        <f>"7003"</f>
        <v>7003</v>
      </c>
      <c r="J836" t="str">
        <f>"7777"</f>
        <v>7777</v>
      </c>
      <c r="K836" t="str">
        <f>"66000.00"</f>
        <v>66000.00</v>
      </c>
      <c r="L836" t="str">
        <f>"623620 ОБЛ СВЕРДЛОВСКАЯ Р-Н ТАЛИЦКИЙ   П ТРОИЦКИЙ УЛ ЛЕНИНА д. 29 стр. А кв. 0"</f>
        <v>623620 ОБЛ СВЕРДЛОВСКАЯ Р-Н ТАЛИЦКИЙ   П ТРОИЦКИЙ УЛ ЛЕНИНА д. 29 стр. А кв. 0</v>
      </c>
      <c r="M836" t="str">
        <f t="shared" si="135"/>
        <v>2019-08-24</v>
      </c>
      <c r="N836" t="str">
        <f>"ГКПТУ СО ОПС СВЕРДЛОВСКОЙ ОБЛАСТИ № 13 ПЧ 13/4"</f>
        <v>ГКПТУ СО ОПС СВЕРДЛОВСКОЙ ОБЛАСТИ № 13 ПЧ 13/4</v>
      </c>
      <c r="O836" t="str">
        <f>"623620"</f>
        <v>623620</v>
      </c>
      <c r="P836" t="str">
        <f>"ОБЛ СВЕРДЛОВСКАЯ"</f>
        <v>ОБЛ СВЕРДЛОВСКАЯ</v>
      </c>
      <c r="Q836" t="str">
        <f>"Р-Н ТАЛИЦКИЙ"</f>
        <v>Р-Н ТАЛИЦКИЙ</v>
      </c>
      <c r="R836" t="str">
        <f>""</f>
        <v/>
      </c>
      <c r="S836" t="str">
        <f>"П ТРОИЦКИЙ"</f>
        <v>П ТРОИЦКИЙ</v>
      </c>
      <c r="T836" t="str">
        <f>"УЛ КОМАРОВА"</f>
        <v>УЛ КОМАРОВА</v>
      </c>
      <c r="U836" s="1" t="str">
        <f>"7"</f>
        <v>7</v>
      </c>
      <c r="V836" s="1" t="str">
        <f>""</f>
        <v/>
      </c>
      <c r="W836" s="1" t="str">
        <f>""</f>
        <v/>
      </c>
      <c r="X836" s="1" t="str">
        <f>""</f>
        <v/>
      </c>
      <c r="Y836" s="1" t="str">
        <f>"22"</f>
        <v>22</v>
      </c>
      <c r="Z836" t="str">
        <f>"3436721446"</f>
        <v>3436721446</v>
      </c>
      <c r="AA836" t="str">
        <f>"9221848587"</f>
        <v>9221848587</v>
      </c>
      <c r="AB836" t="str">
        <f>"9221848587"</f>
        <v>9221848587</v>
      </c>
      <c r="AC836" t="str">
        <f>"9221848587"</f>
        <v>9221848587</v>
      </c>
      <c r="AD836" t="str">
        <f>"9221848587"</f>
        <v>9221848587</v>
      </c>
      <c r="AE836" t="str">
        <f>"3436721446"</f>
        <v>3436721446</v>
      </c>
    </row>
    <row r="837" spans="1:31" x14ac:dyDescent="0.45">
      <c r="A837" t="str">
        <f>"СЕМКИНА ЕЛЕНА АЛЕКСАНДРОВНА"</f>
        <v>СЕМКИНА ЕЛЕНА АЛЕКСАНДРОВНА</v>
      </c>
      <c r="B837" t="str">
        <f>"1973-11-10"</f>
        <v>1973-11-10</v>
      </c>
      <c r="C837" t="str">
        <f>"75 18 214437"</f>
        <v>75 18 214437</v>
      </c>
      <c r="D837" t="str">
        <f>"4279011627825550"</f>
        <v>4279011627825550</v>
      </c>
      <c r="E837" t="str">
        <f t="shared" si="131"/>
        <v>2021-05-31</v>
      </c>
      <c r="F837" t="str">
        <f>"Q"</f>
        <v>Q</v>
      </c>
      <c r="G837" t="str">
        <f>"Q"</f>
        <v>Q</v>
      </c>
      <c r="H837" t="str">
        <f>"40817810516991424799"</f>
        <v>40817810516991424799</v>
      </c>
      <c r="I837" t="str">
        <f>"8597"</f>
        <v>8597</v>
      </c>
      <c r="J837" t="str">
        <f>"7770"</f>
        <v>7770</v>
      </c>
      <c r="K837" t="str">
        <f>"0.00"</f>
        <v>0.00</v>
      </c>
      <c r="L837" t="str">
        <f>"454138 ОБЛ ЧЕЛЯБИНСКАЯ   Г ЧЕЛЯБИНСК   УЛ КРАСНОГО УРАЛА д. 11А"</f>
        <v>454138 ОБЛ ЧЕЛЯБИНСКАЯ   Г ЧЕЛЯБИНСК   УЛ КРАСНОГО УРАЛА д. 11А</v>
      </c>
      <c r="M837" t="str">
        <f t="shared" si="135"/>
        <v>2019-08-24</v>
      </c>
      <c r="N837" t="str">
        <f>"МАДОУ ДЕТСКИЙ САД №355"</f>
        <v>МАДОУ ДЕТСКИЙ САД №355</v>
      </c>
      <c r="O837" t="str">
        <f>"454000"</f>
        <v>454000</v>
      </c>
      <c r="P837" t="str">
        <f>"ОБЛ ЧЕЛЯБИНСКАЯ"</f>
        <v>ОБЛ ЧЕЛЯБИНСКАЯ</v>
      </c>
      <c r="Q837" t="str">
        <f>""</f>
        <v/>
      </c>
      <c r="R837" t="str">
        <f>"Г ЧЕЛЯБИНСК"</f>
        <v>Г ЧЕЛЯБИНСК</v>
      </c>
      <c r="S837" t="str">
        <f>""</f>
        <v/>
      </c>
      <c r="T837" t="str">
        <f>"УЛ КУЗНЕЦОВА"</f>
        <v>УЛ КУЗНЕЦОВА</v>
      </c>
      <c r="U837" s="1" t="str">
        <f>"19"</f>
        <v>19</v>
      </c>
      <c r="V837" s="1" t="str">
        <f>""</f>
        <v/>
      </c>
      <c r="W837" s="1" t="str">
        <f>""</f>
        <v/>
      </c>
      <c r="X837" s="1" t="str">
        <f>""</f>
        <v/>
      </c>
      <c r="Y837" s="1" t="str">
        <f>"39"</f>
        <v>39</v>
      </c>
      <c r="Z837" t="str">
        <f>"3517411604"</f>
        <v>3517411604</v>
      </c>
      <c r="AA837" t="str">
        <f>"0000000000"</f>
        <v>0000000000</v>
      </c>
      <c r="AB837" t="str">
        <f>"9080517494"</f>
        <v>9080517494</v>
      </c>
      <c r="AC837" t="str">
        <f>"0000000000"</f>
        <v>0000000000</v>
      </c>
      <c r="AD837" t="str">
        <f>"9080517494"</f>
        <v>9080517494</v>
      </c>
      <c r="AE837" t="str">
        <f>"3517411604"</f>
        <v>3517411604</v>
      </c>
    </row>
    <row r="838" spans="1:31" x14ac:dyDescent="0.45">
      <c r="A838" t="str">
        <f>"ПАНФИЛОВА АННА АЛЕКСАНДРОВНА"</f>
        <v>ПАНФИЛОВА АННА АЛЕКСАНДРОВНА</v>
      </c>
      <c r="B838" t="str">
        <f>"1975-11-03"</f>
        <v>1975-11-03</v>
      </c>
      <c r="C838" t="str">
        <f>"37 03 769755"</f>
        <v>37 03 769755</v>
      </c>
      <c r="D838" t="str">
        <f>"4279011661446669"</f>
        <v>4279011661446669</v>
      </c>
      <c r="E838" t="str">
        <f t="shared" si="131"/>
        <v>2021-05-31</v>
      </c>
      <c r="F838" t="str">
        <f>"+"</f>
        <v>+</v>
      </c>
      <c r="G838" t="str">
        <f>"+"</f>
        <v>+</v>
      </c>
      <c r="H838" t="str">
        <f>"40817810716991424803"</f>
        <v>40817810716991424803</v>
      </c>
      <c r="I838" t="str">
        <f>"8599"</f>
        <v>8599</v>
      </c>
      <c r="J838" t="str">
        <f>"7770"</f>
        <v>7770</v>
      </c>
      <c r="K838" t="str">
        <f>"20000.00"</f>
        <v>20000.00</v>
      </c>
      <c r="L838" t="str">
        <f>"641000 ОБЛ КУРГАНСКАЯ   Г КУРГАН   УЛ М.ГОРЬКОГО д. 133 корп. 4"</f>
        <v>641000 ОБЛ КУРГАНСКАЯ   Г КУРГАН   УЛ М.ГОРЬКОГО д. 133 корп. 4</v>
      </c>
      <c r="M838" t="str">
        <f t="shared" si="135"/>
        <v>2019-08-24</v>
      </c>
      <c r="N838" t="str">
        <f>"Д/С №6 ЗОЛОТАЯ РЫБКА"</f>
        <v>Д/С №6 ЗОЛОТАЯ РЫБКА</v>
      </c>
      <c r="O838" t="str">
        <f>"641000"</f>
        <v>641000</v>
      </c>
      <c r="P838" t="str">
        <f>"ОБЛ КУРГАНСКАЯ"</f>
        <v>ОБЛ КУРГАНСКАЯ</v>
      </c>
      <c r="Q838" t="str">
        <f>""</f>
        <v/>
      </c>
      <c r="R838" t="str">
        <f>"Г КУРГАН"</f>
        <v>Г КУРГАН</v>
      </c>
      <c r="S838" t="str">
        <f>""</f>
        <v/>
      </c>
      <c r="T838" t="str">
        <f>"УЛ 8 ГО РАЙСЪЕЗДА"</f>
        <v>УЛ 8 ГО РАЙСЪЕЗДА</v>
      </c>
      <c r="U838" s="1" t="str">
        <f>"27"</f>
        <v>27</v>
      </c>
      <c r="V838" s="1" t="str">
        <f>""</f>
        <v/>
      </c>
      <c r="W838" s="1" t="str">
        <f>""</f>
        <v/>
      </c>
      <c r="X838" s="1" t="str">
        <f>""</f>
        <v/>
      </c>
      <c r="Y838" s="1" t="str">
        <f>""</f>
        <v/>
      </c>
      <c r="Z838" t="str">
        <f>"3522460312"</f>
        <v>3522460312</v>
      </c>
      <c r="AA838" t="str">
        <f>"9195892933"</f>
        <v>9195892933</v>
      </c>
      <c r="AB838" t="str">
        <f>"9195892933"</f>
        <v>9195892933</v>
      </c>
      <c r="AC838" t="str">
        <f>"9195892933"</f>
        <v>9195892933</v>
      </c>
      <c r="AD838" t="str">
        <f>"9195892933"</f>
        <v>9195892933</v>
      </c>
      <c r="AE838" t="str">
        <f>"3522460312"</f>
        <v>3522460312</v>
      </c>
    </row>
    <row r="839" spans="1:31" x14ac:dyDescent="0.45">
      <c r="A839" t="str">
        <f>"ЦЫБИН ВЛАДИМИР ВИКТОРОВИЧ"</f>
        <v>ЦЫБИН ВЛАДИМИР ВИКТОРОВИЧ</v>
      </c>
      <c r="B839" t="str">
        <f>"1959-02-15"</f>
        <v>1959-02-15</v>
      </c>
      <c r="C839" t="str">
        <f>"65 05 265734"</f>
        <v>65 05 265734</v>
      </c>
      <c r="D839" t="str">
        <f>"4279011631031443"</f>
        <v>4279011631031443</v>
      </c>
      <c r="E839" t="str">
        <f t="shared" si="131"/>
        <v>2021-05-31</v>
      </c>
      <c r="F839" t="str">
        <f>"Y"</f>
        <v>Y</v>
      </c>
      <c r="G839" t="str">
        <f>"Q"</f>
        <v>Q</v>
      </c>
      <c r="H839" t="str">
        <f>"40817810316991424805"</f>
        <v>40817810316991424805</v>
      </c>
      <c r="I839" t="str">
        <f>"7003"</f>
        <v>7003</v>
      </c>
      <c r="J839" t="str">
        <f>"7774"</f>
        <v>7774</v>
      </c>
      <c r="K839" t="str">
        <f>"0.00"</f>
        <v>0.00</v>
      </c>
      <c r="L839" t="str">
        <f>"623080 ОБЛ СВЕРДЛОВСКАЯ   Г МИХАЙЛОВСК   УЛ КИРОВА д. 4"</f>
        <v>623080 ОБЛ СВЕРДЛОВСКАЯ   Г МИХАЙЛОВСК   УЛ КИРОВА д. 4</v>
      </c>
      <c r="M839" t="str">
        <f t="shared" si="135"/>
        <v>2019-08-24</v>
      </c>
      <c r="N839" t="str">
        <f>"АО УРАЛЬСКАЯ ФОЛЬГА"</f>
        <v>АО УРАЛЬСКАЯ ФОЛЬГА</v>
      </c>
      <c r="O839" t="str">
        <f>"623080"</f>
        <v>623080</v>
      </c>
      <c r="P839" t="str">
        <f>"ОБЛ СВЕРДЛОВСКАЯ"</f>
        <v>ОБЛ СВЕРДЛОВСКАЯ</v>
      </c>
      <c r="Q839" t="str">
        <f>""</f>
        <v/>
      </c>
      <c r="R839" t="str">
        <f>"Г МИХАЙЛОВСК"</f>
        <v>Г МИХАЙЛОВСК</v>
      </c>
      <c r="S839" t="str">
        <f>""</f>
        <v/>
      </c>
      <c r="T839" t="str">
        <f>"УЛ ГРЯЗНОВА"</f>
        <v>УЛ ГРЯЗНОВА</v>
      </c>
      <c r="U839" s="1" t="str">
        <f>"57"</f>
        <v>57</v>
      </c>
      <c r="V839" s="1" t="str">
        <f>""</f>
        <v/>
      </c>
      <c r="W839" s="1" t="str">
        <f>""</f>
        <v/>
      </c>
      <c r="X839" s="1" t="str">
        <f>""</f>
        <v/>
      </c>
      <c r="Y839" s="1" t="str">
        <f>"9"</f>
        <v>9</v>
      </c>
      <c r="Z839" t="str">
        <f>"3439682105"</f>
        <v>3439682105</v>
      </c>
      <c r="AA839" t="str">
        <f>"9506427557"</f>
        <v>9506427557</v>
      </c>
      <c r="AB839" t="str">
        <f>"9506427557"</f>
        <v>9506427557</v>
      </c>
      <c r="AC839" t="str">
        <f>"9506427557"</f>
        <v>9506427557</v>
      </c>
      <c r="AD839" t="str">
        <f>"9506427557"</f>
        <v>9506427557</v>
      </c>
      <c r="AE839" t="str">
        <f>"3439682105"</f>
        <v>3439682105</v>
      </c>
    </row>
    <row r="840" spans="1:31" x14ac:dyDescent="0.45">
      <c r="A840" t="str">
        <f>"АБДРАХИМОВА МИНСУЛУ АЮПОВНА"</f>
        <v>АБДРАХИМОВА МИНСУЛУ АЮПОВНА</v>
      </c>
      <c r="B840" t="str">
        <f>"1957-02-05"</f>
        <v>1957-02-05</v>
      </c>
      <c r="C840" t="str">
        <f>"80 03 039020"</f>
        <v>80 03 039020</v>
      </c>
      <c r="D840" t="str">
        <f>"5484011605187492"</f>
        <v>5484011605187492</v>
      </c>
      <c r="E840" t="str">
        <f t="shared" si="131"/>
        <v>2021-05-31</v>
      </c>
      <c r="F840" t="str">
        <f t="shared" ref="F840:G842" si="136">"+"</f>
        <v>+</v>
      </c>
      <c r="G840" t="str">
        <f t="shared" si="136"/>
        <v>+</v>
      </c>
      <c r="H840" t="str">
        <f>"40817810916991424810"</f>
        <v>40817810916991424810</v>
      </c>
      <c r="I840" t="str">
        <f>"8598"</f>
        <v>8598</v>
      </c>
      <c r="J840" t="str">
        <f>"0724"</f>
        <v>0724</v>
      </c>
      <c r="K840" t="str">
        <f>"10000.00"</f>
        <v>10000.00</v>
      </c>
      <c r="L840" t="str">
        <f>"453832 РЕСП БАШКОРТОСТАН   Г СИБАЙ   УЛ ЭЛЕВАТОРНАЯ д. 1"</f>
        <v>453832 РЕСП БАШКОРТОСТАН   Г СИБАЙ   УЛ ЭЛЕВАТОРНАЯ д. 1</v>
      </c>
      <c r="M840" t="str">
        <f t="shared" si="135"/>
        <v>2019-08-24</v>
      </c>
      <c r="N840" t="str">
        <f>"ООО ЭЛЕВАТОР"</f>
        <v>ООО ЭЛЕВАТОР</v>
      </c>
      <c r="O840" t="str">
        <f>"453838"</f>
        <v>453838</v>
      </c>
      <c r="P840" t="str">
        <f>"РЕСП БАШКОРТОСТАН"</f>
        <v>РЕСП БАШКОРТОСТАН</v>
      </c>
      <c r="Q840" t="str">
        <f>""</f>
        <v/>
      </c>
      <c r="R840" t="str">
        <f>"Г СИБАЙ"</f>
        <v>Г СИБАЙ</v>
      </c>
      <c r="S840" t="str">
        <f>""</f>
        <v/>
      </c>
      <c r="T840" t="str">
        <f>"УЛ БЕЛОВА"</f>
        <v>УЛ БЕЛОВА</v>
      </c>
      <c r="U840" s="1" t="str">
        <f>"60"</f>
        <v>60</v>
      </c>
      <c r="V840" s="1" t="str">
        <f>""</f>
        <v/>
      </c>
      <c r="W840" s="1" t="str">
        <f>""</f>
        <v/>
      </c>
      <c r="X840" s="1" t="str">
        <f>""</f>
        <v/>
      </c>
      <c r="Y840" s="1" t="str">
        <f>""</f>
        <v/>
      </c>
      <c r="Z840" t="str">
        <f>"3477553362"</f>
        <v>3477553362</v>
      </c>
      <c r="AA840" t="str">
        <f>"9371635917"</f>
        <v>9371635917</v>
      </c>
      <c r="AB840" t="str">
        <f>"9371635917"</f>
        <v>9371635917</v>
      </c>
      <c r="AC840" t="str">
        <f>"9371635917"</f>
        <v>9371635917</v>
      </c>
      <c r="AD840" t="str">
        <f>"9371635917"</f>
        <v>9371635917</v>
      </c>
      <c r="AE840" t="str">
        <f>"3477553362"</f>
        <v>3477553362</v>
      </c>
    </row>
    <row r="841" spans="1:31" x14ac:dyDescent="0.45">
      <c r="A841" t="str">
        <f>"ЛАВРЕНОВА ЮЛИЯ ЕВГЕНЬЕВНА"</f>
        <v>ЛАВРЕНОВА ЮЛИЯ ЕВГЕНЬЕВНА</v>
      </c>
      <c r="B841" t="str">
        <f>"1992-01-09"</f>
        <v>1992-01-09</v>
      </c>
      <c r="C841" t="str">
        <f>"65 18 844395"</f>
        <v>65 18 844395</v>
      </c>
      <c r="D841" t="str">
        <f>"4279011632016526"</f>
        <v>4279011632016526</v>
      </c>
      <c r="E841" t="str">
        <f t="shared" si="131"/>
        <v>2021-05-31</v>
      </c>
      <c r="F841" t="str">
        <f t="shared" si="136"/>
        <v>+</v>
      </c>
      <c r="G841" t="str">
        <f t="shared" si="136"/>
        <v>+</v>
      </c>
      <c r="H841" t="str">
        <f>"40817810316991424818"</f>
        <v>40817810316991424818</v>
      </c>
      <c r="I841" t="str">
        <f>"7003"</f>
        <v>7003</v>
      </c>
      <c r="J841" t="str">
        <f>"7777"</f>
        <v>7777</v>
      </c>
      <c r="K841" t="str">
        <f>"300000.00"</f>
        <v>300000.00</v>
      </c>
      <c r="L841" t="str">
        <f>"620000 ОБЛ СВЕРДЛОВСКАЯ   Г ТАВДА   УЛ ЛЕНИНА д. 83 стр. А"</f>
        <v>620000 ОБЛ СВЕРДЛОВСКАЯ   Г ТАВДА   УЛ ЛЕНИНА д. 83 стр. А</v>
      </c>
      <c r="M841" t="str">
        <f t="shared" si="135"/>
        <v>2019-08-24</v>
      </c>
      <c r="N841" t="str">
        <f>"МВД ТАВДИНСКИЙ"</f>
        <v>МВД ТАВДИНСКИЙ</v>
      </c>
      <c r="O841" t="str">
        <f>"620000"</f>
        <v>620000</v>
      </c>
      <c r="P841" t="str">
        <f>"ОБЛ СВЕРДЛОВСКАЯ"</f>
        <v>ОБЛ СВЕРДЛОВСКАЯ</v>
      </c>
      <c r="Q841" t="str">
        <f>""</f>
        <v/>
      </c>
      <c r="R841" t="str">
        <f>"Г ТАВДА"</f>
        <v>Г ТАВДА</v>
      </c>
      <c r="S841" t="str">
        <f>""</f>
        <v/>
      </c>
      <c r="T841" t="str">
        <f>"УЛ РЕСПУБЛИКИ"</f>
        <v>УЛ РЕСПУБЛИКИ</v>
      </c>
      <c r="U841" s="1" t="str">
        <f>"21"</f>
        <v>21</v>
      </c>
      <c r="V841" s="1" t="str">
        <f>""</f>
        <v/>
      </c>
      <c r="W841" s="1" t="str">
        <f>""</f>
        <v/>
      </c>
      <c r="X841" s="1" t="str">
        <f>""</f>
        <v/>
      </c>
      <c r="Y841" s="1" t="str">
        <f>""</f>
        <v/>
      </c>
      <c r="Z841" t="str">
        <f>"+7 (34360) 52278"</f>
        <v>+7 (34360) 52278</v>
      </c>
      <c r="AA841" t="str">
        <f>"+7 (999) 5691427"</f>
        <v>+7 (999) 5691427</v>
      </c>
      <c r="AB841" t="str">
        <f>"+7 (999) 5691427"</f>
        <v>+7 (999) 5691427</v>
      </c>
      <c r="AC841" t="str">
        <f>"9995691427"</f>
        <v>9995691427</v>
      </c>
      <c r="AD841" t="str">
        <f>"9995691427"</f>
        <v>9995691427</v>
      </c>
      <c r="AE841" t="str">
        <f>"3436022950"</f>
        <v>3436022950</v>
      </c>
    </row>
    <row r="842" spans="1:31" x14ac:dyDescent="0.45">
      <c r="A842" t="str">
        <f>"МИХЕЕВ АНТОН АНДРЕЕВИЧ"</f>
        <v>МИХЕЕВ АНТОН АНДРЕЕВИЧ</v>
      </c>
      <c r="B842" t="str">
        <f>"1995-09-02"</f>
        <v>1995-09-02</v>
      </c>
      <c r="C842" t="str">
        <f>"80 15 237971"</f>
        <v>80 15 237971</v>
      </c>
      <c r="D842" t="str">
        <f>"5484011608105442"</f>
        <v>5484011608105442</v>
      </c>
      <c r="E842" t="str">
        <f t="shared" si="131"/>
        <v>2021-05-31</v>
      </c>
      <c r="F842" t="str">
        <f t="shared" si="136"/>
        <v>+</v>
      </c>
      <c r="G842" t="str">
        <f t="shared" si="136"/>
        <v>+</v>
      </c>
      <c r="H842" t="str">
        <f>"40817810316991424821"</f>
        <v>40817810316991424821</v>
      </c>
      <c r="I842" t="str">
        <f>"8598"</f>
        <v>8598</v>
      </c>
      <c r="J842" t="str">
        <f>"0724"</f>
        <v>0724</v>
      </c>
      <c r="K842" t="str">
        <f>"15000.00"</f>
        <v>15000.00</v>
      </c>
      <c r="L842" t="str">
        <f>"453832 РЕСП БАШКОРТОСТАН   Г СИБАЙ   УЛ ЭЛЕВАТОРНАЯ д. 1"</f>
        <v>453832 РЕСП БАШКОРТОСТАН   Г СИБАЙ   УЛ ЭЛЕВАТОРНАЯ д. 1</v>
      </c>
      <c r="M842" t="str">
        <f t="shared" si="135"/>
        <v>2019-08-24</v>
      </c>
      <c r="N842" t="str">
        <f>"ООО ЭЛЕВАТОР"</f>
        <v>ООО ЭЛЕВАТОР</v>
      </c>
      <c r="O842" t="str">
        <f>"453838"</f>
        <v>453838</v>
      </c>
      <c r="P842" t="str">
        <f>"РЕСП БАШКОРТОСТАН"</f>
        <v>РЕСП БАШКОРТОСТАН</v>
      </c>
      <c r="Q842" t="str">
        <f>""</f>
        <v/>
      </c>
      <c r="R842" t="str">
        <f>"Г СИБАЙ"</f>
        <v>Г СИБАЙ</v>
      </c>
      <c r="S842" t="str">
        <f>""</f>
        <v/>
      </c>
      <c r="T842" t="str">
        <f>"УЛ БЕЛОВА"</f>
        <v>УЛ БЕЛОВА</v>
      </c>
      <c r="U842" s="1" t="str">
        <f>"26"</f>
        <v>26</v>
      </c>
      <c r="V842" s="1" t="str">
        <f>""</f>
        <v/>
      </c>
      <c r="W842" s="1" t="str">
        <f>""</f>
        <v/>
      </c>
      <c r="X842" s="1" t="str">
        <f>""</f>
        <v/>
      </c>
      <c r="Y842" s="1" t="str">
        <f>"35"</f>
        <v>35</v>
      </c>
      <c r="Z842" t="str">
        <f>"3477553362"</f>
        <v>3477553362</v>
      </c>
      <c r="AA842" t="str">
        <f>"9374710951"</f>
        <v>9374710951</v>
      </c>
      <c r="AB842" t="str">
        <f>"9374710951"</f>
        <v>9374710951</v>
      </c>
      <c r="AC842" t="str">
        <f>"9374710951"</f>
        <v>9374710951</v>
      </c>
      <c r="AD842" t="str">
        <f>"9374710951"</f>
        <v>9374710951</v>
      </c>
      <c r="AE842" t="str">
        <f>"3477553362"</f>
        <v>3477553362</v>
      </c>
    </row>
    <row r="843" spans="1:31" x14ac:dyDescent="0.45">
      <c r="A843" t="str">
        <f>"СИМАНЕНКО АЛЕКСАНДР ВЛАДИМИРОВИЧ"</f>
        <v>СИМАНЕНКО АЛЕКСАНДР ВЛАДИМИРОВИЧ</v>
      </c>
      <c r="B843" t="str">
        <f>"1972-06-28"</f>
        <v>1972-06-28</v>
      </c>
      <c r="C843" t="str">
        <f>"75 17 971830"</f>
        <v>75 17 971830</v>
      </c>
      <c r="D843" t="str">
        <f>"4279011665473545"</f>
        <v>4279011665473545</v>
      </c>
      <c r="E843" t="str">
        <f t="shared" si="131"/>
        <v>2021-05-31</v>
      </c>
      <c r="F843" t="str">
        <f>"K"</f>
        <v>K</v>
      </c>
      <c r="G843" t="str">
        <f>"+"</f>
        <v>+</v>
      </c>
      <c r="H843" t="str">
        <f>"40817810416991425199"</f>
        <v>40817810416991425199</v>
      </c>
      <c r="I843" t="str">
        <f>"8597"</f>
        <v>8597</v>
      </c>
      <c r="J843" t="str">
        <f>"7770"</f>
        <v>7770</v>
      </c>
      <c r="K843" t="str">
        <f>"26000.00"</f>
        <v>26000.00</v>
      </c>
      <c r="L843" t="str">
        <f>"454000 ОБЛ ЧЕЛЯБИНСКАЯ   Г ЧЕЛЯБИНСК   УЛ КАСЛИНСКАЯ д. 27Б"</f>
        <v>454000 ОБЛ ЧЕЛЯБИНСКАЯ   Г ЧЕЛЯБИНСК   УЛ КАСЛИНСКАЯ д. 27Б</v>
      </c>
      <c r="M843" t="str">
        <f t="shared" si="135"/>
        <v>2019-08-24</v>
      </c>
      <c r="N843" t="str">
        <f>"МБДОУ ДЕТСКИЙ САД №253"</f>
        <v>МБДОУ ДЕТСКИЙ САД №253</v>
      </c>
      <c r="O843" t="str">
        <f>"454000"</f>
        <v>454000</v>
      </c>
      <c r="P843" t="str">
        <f>"ОБЛ ЧЕЛЯБИНСКАЯ"</f>
        <v>ОБЛ ЧЕЛЯБИНСКАЯ</v>
      </c>
      <c r="Q843" t="str">
        <f>""</f>
        <v/>
      </c>
      <c r="R843" t="str">
        <f>"Г ЧЕЛЯБИНСК"</f>
        <v>Г ЧЕЛЯБИНСК</v>
      </c>
      <c r="S843" t="str">
        <f>""</f>
        <v/>
      </c>
      <c r="T843" t="str">
        <f>"УЛ 40-ЛЕТИЯ ПОБЕДЫ"</f>
        <v>УЛ 40-ЛЕТИЯ ПОБЕДЫ</v>
      </c>
      <c r="U843" s="1" t="str">
        <f>"14"</f>
        <v>14</v>
      </c>
      <c r="V843" s="1" t="str">
        <f>""</f>
        <v/>
      </c>
      <c r="W843" s="1" t="str">
        <f>""</f>
        <v/>
      </c>
      <c r="X843" s="1" t="str">
        <f>""</f>
        <v/>
      </c>
      <c r="Y843" s="1" t="str">
        <f>"27"</f>
        <v>27</v>
      </c>
      <c r="Z843" t="str">
        <f>"3517917695"</f>
        <v>3517917695</v>
      </c>
      <c r="AA843" t="str">
        <f>"3517909887"</f>
        <v>3517909887</v>
      </c>
      <c r="AB843" t="str">
        <f>"9822752444"</f>
        <v>9822752444</v>
      </c>
      <c r="AC843" t="str">
        <f>"0000000000"</f>
        <v>0000000000</v>
      </c>
      <c r="AD843" t="str">
        <f>"9822752444"</f>
        <v>9822752444</v>
      </c>
      <c r="AE843" t="str">
        <f>"3517917695"</f>
        <v>3517917695</v>
      </c>
    </row>
    <row r="844" spans="1:31" x14ac:dyDescent="0.45">
      <c r="A844" t="str">
        <f>"ГАЛЛЯМОВА ФЛЮРА РАУФОВНА"</f>
        <v>ГАЛЛЯМОВА ФЛЮРА РАУФОВНА</v>
      </c>
      <c r="B844" t="str">
        <f>"1964-12-20"</f>
        <v>1964-12-20</v>
      </c>
      <c r="C844" t="str">
        <f>"75 09 658888"</f>
        <v>75 09 658888</v>
      </c>
      <c r="D844" t="str">
        <f>"4279011615348201"</f>
        <v>4279011615348201</v>
      </c>
      <c r="E844" t="str">
        <f t="shared" si="131"/>
        <v>2021-05-31</v>
      </c>
      <c r="F844" t="str">
        <f>"+"</f>
        <v>+</v>
      </c>
      <c r="G844" t="str">
        <f>"+"</f>
        <v>+</v>
      </c>
      <c r="H844" t="str">
        <f>"40817810016991425201"</f>
        <v>40817810016991425201</v>
      </c>
      <c r="I844" t="str">
        <f>"8597"</f>
        <v>8597</v>
      </c>
      <c r="J844" t="str">
        <f>"7770"</f>
        <v>7770</v>
      </c>
      <c r="K844" t="str">
        <f>"87000.00"</f>
        <v>87000.00</v>
      </c>
      <c r="L844" t="str">
        <f>"454000 ОБЛ ЧЕЛЯБИНСКАЯ   Г ЧЕЛЯБИНСК   УЛ КУЙБЫШЕВА д. 63"</f>
        <v>454000 ОБЛ ЧЕЛЯБИНСКАЯ   Г ЧЕЛЯБИНСК   УЛ КУЙБЫШЕВА д. 63</v>
      </c>
      <c r="M844" t="str">
        <f t="shared" si="135"/>
        <v>2019-08-24</v>
      </c>
      <c r="N844" t="str">
        <f>"72216083 МАДОУ ДЕТСКИЙ САД №344"</f>
        <v>72216083 МАДОУ ДЕТСКИЙ САД №344</v>
      </c>
      <c r="O844" t="str">
        <f>"454000"</f>
        <v>454000</v>
      </c>
      <c r="P844" t="str">
        <f>"ОБЛ ЧЕЛЯБИНСКАЯ"</f>
        <v>ОБЛ ЧЕЛЯБИНСКАЯ</v>
      </c>
      <c r="Q844" t="str">
        <f>""</f>
        <v/>
      </c>
      <c r="R844" t="str">
        <f>"Г ЧЕЛЯБИНСК"</f>
        <v>Г ЧЕЛЯБИНСК</v>
      </c>
      <c r="S844" t="str">
        <f>""</f>
        <v/>
      </c>
      <c r="T844" t="str">
        <f>"УЛ КУЙБЫШЕВА"</f>
        <v>УЛ КУЙБЫШЕВА</v>
      </c>
      <c r="U844" s="1" t="str">
        <f>"86"</f>
        <v>86</v>
      </c>
      <c r="V844" s="1" t="str">
        <f>""</f>
        <v/>
      </c>
      <c r="W844" s="1" t="str">
        <f>""</f>
        <v/>
      </c>
      <c r="X844" s="1" t="str">
        <f>""</f>
        <v/>
      </c>
      <c r="Y844" s="1" t="str">
        <f>"113"</f>
        <v>113</v>
      </c>
      <c r="Z844" t="str">
        <f>"3517403732"</f>
        <v>3517403732</v>
      </c>
      <c r="AA844" t="str">
        <f>"0000000000"</f>
        <v>0000000000</v>
      </c>
      <c r="AB844" t="str">
        <f>"9678604898"</f>
        <v>9678604898</v>
      </c>
      <c r="AC844" t="str">
        <f>"0000000000"</f>
        <v>0000000000</v>
      </c>
      <c r="AD844" t="str">
        <f>"9678604898"</f>
        <v>9678604898</v>
      </c>
      <c r="AE844" t="str">
        <f>"3517403732"</f>
        <v>3517403732</v>
      </c>
    </row>
    <row r="845" spans="1:31" x14ac:dyDescent="0.45">
      <c r="A845" t="str">
        <f>"ЧЕРНОБРОВКИНА СВЕТЛАНА ВИКТОРОВНА"</f>
        <v>ЧЕРНОБРОВКИНА СВЕТЛАНА ВИКТОРОВНА</v>
      </c>
      <c r="B845" t="str">
        <f>"1984-05-03"</f>
        <v>1984-05-03</v>
      </c>
      <c r="C845" t="str">
        <f>"75 10 922625"</f>
        <v>75 10 922625</v>
      </c>
      <c r="D845" t="str">
        <f>"4854630396884085"</f>
        <v>4854630396884085</v>
      </c>
      <c r="E845" t="str">
        <f>"2020-04-30"</f>
        <v>2020-04-30</v>
      </c>
      <c r="F845" t="str">
        <f>"+"</f>
        <v>+</v>
      </c>
      <c r="G845" t="str">
        <f>"+"</f>
        <v>+</v>
      </c>
      <c r="H845" t="str">
        <f>"40817810816991428259"</f>
        <v>40817810816991428259</v>
      </c>
      <c r="I845" t="str">
        <f>"8597"</f>
        <v>8597</v>
      </c>
      <c r="J845" t="str">
        <f>"0384"</f>
        <v>0384</v>
      </c>
      <c r="K845" t="str">
        <f>"85000.00"</f>
        <v>85000.00</v>
      </c>
      <c r="L845" t="str">
        <f>"454000 ОБЛ ЧЕЛЯБИНСКАЯ Р-Н КАРТАЛИНСКИЙ Г КАРТАЛЫ   УЛ СТАНЦИОННАЯ д. 2"</f>
        <v>454000 ОБЛ ЧЕЛЯБИНСКАЯ Р-Н КАРТАЛИНСКИЙ Г КАРТАЛЫ   УЛ СТАНЦИОННАЯ д. 2</v>
      </c>
      <c r="M845" t="str">
        <f t="shared" si="135"/>
        <v>2019-08-24</v>
      </c>
      <c r="N845" t="str">
        <f>"ООО СТМ СЕРВИС"</f>
        <v>ООО СТМ СЕРВИС</v>
      </c>
      <c r="O845" t="str">
        <f>"454000"</f>
        <v>454000</v>
      </c>
      <c r="P845" t="str">
        <f>"ОБЛ ЧЕЛЯБИНСКАЯ"</f>
        <v>ОБЛ ЧЕЛЯБИНСКАЯ</v>
      </c>
      <c r="Q845" t="str">
        <f>"Р-Н КАРТАЛИНСКИЙ"</f>
        <v>Р-Н КАРТАЛИНСКИЙ</v>
      </c>
      <c r="R845" t="str">
        <f>""</f>
        <v/>
      </c>
      <c r="S845" t="str">
        <f>"П ЛОКОМОТИВНЫЙ"</f>
        <v>П ЛОКОМОТИВНЫЙ</v>
      </c>
      <c r="T845" t="str">
        <f>"УЛ ШКОЛЬНАЯ"</f>
        <v>УЛ ШКОЛЬНАЯ</v>
      </c>
      <c r="U845" s="1" t="str">
        <f>"16"</f>
        <v>16</v>
      </c>
      <c r="V845" s="1" t="str">
        <f>""</f>
        <v/>
      </c>
      <c r="W845" s="1" t="str">
        <f>""</f>
        <v/>
      </c>
      <c r="X845" s="1" t="str">
        <f>""</f>
        <v/>
      </c>
      <c r="Y845" s="1" t="str">
        <f>"37"</f>
        <v>37</v>
      </c>
      <c r="Z845" t="str">
        <f>"3513372216"</f>
        <v>3513372216</v>
      </c>
      <c r="AA845" t="str">
        <f>"9080552701"</f>
        <v>9080552701</v>
      </c>
      <c r="AB845" t="str">
        <f>"9080552701"</f>
        <v>9080552701</v>
      </c>
      <c r="AC845" t="str">
        <f>"9080552701"</f>
        <v>9080552701</v>
      </c>
      <c r="AD845" t="str">
        <f>"9080552701"</f>
        <v>9080552701</v>
      </c>
      <c r="AE845" t="str">
        <f>""</f>
        <v/>
      </c>
    </row>
    <row r="846" spans="1:31" x14ac:dyDescent="0.45">
      <c r="A846" t="str">
        <f>"ДОЛМАТОВА СВЕТЛАНА ЮРЬЕВНА"</f>
        <v>ДОЛМАТОВА СВЕТЛАНА ЮРЬЕВНА</v>
      </c>
      <c r="B846" t="str">
        <f>"1984-06-22"</f>
        <v>1984-06-22</v>
      </c>
      <c r="C846" t="str">
        <f>"65 09 770961"</f>
        <v>65 09 770961</v>
      </c>
      <c r="D846" t="str">
        <f>"4854630201828582"</f>
        <v>4854630201828582</v>
      </c>
      <c r="E846" t="str">
        <f t="shared" ref="E846:E851" si="137">"2021-04-30"</f>
        <v>2021-04-30</v>
      </c>
      <c r="F846" t="str">
        <f>"+"</f>
        <v>+</v>
      </c>
      <c r="G846" t="str">
        <f>"+"</f>
        <v>+</v>
      </c>
      <c r="H846" t="str">
        <f>"40817810016991428282"</f>
        <v>40817810016991428282</v>
      </c>
      <c r="I846" t="str">
        <f>"7003"</f>
        <v>7003</v>
      </c>
      <c r="J846" t="str">
        <f>"0727"</f>
        <v>0727</v>
      </c>
      <c r="K846" t="str">
        <f>"12000.00"</f>
        <v>12000.00</v>
      </c>
      <c r="L846" t="str">
        <f>"620000 ОБЛ СВЕРДЛОВСКАЯ   Г НИЖНИЙ ТАГИЛ   ПР-КТ ЛЕНИНА д. 25"</f>
        <v>620000 ОБЛ СВЕРДЛОВСКАЯ   Г НИЖНИЙ ТАГИЛ   ПР-КТ ЛЕНИНА д. 25</v>
      </c>
      <c r="M846" t="str">
        <f t="shared" si="135"/>
        <v>2019-08-24</v>
      </c>
      <c r="N846" t="str">
        <f>"МАУК НИЖНЕТАГИЛЬСКАЯ ФЕЛОРМОНИЯ"</f>
        <v>МАУК НИЖНЕТАГИЛЬСКАЯ ФЕЛОРМОНИЯ</v>
      </c>
      <c r="O846" t="str">
        <f>"622049"</f>
        <v>622049</v>
      </c>
      <c r="P846" t="str">
        <f>"ОБЛ СВЕРДЛОВСКАЯ"</f>
        <v>ОБЛ СВЕРДЛОВСКАЯ</v>
      </c>
      <c r="Q846" t="str">
        <f>""</f>
        <v/>
      </c>
      <c r="R846" t="str">
        <f>"Г НИЖНИЙ ТАГИЛ"</f>
        <v>Г НИЖНИЙ ТАГИЛ</v>
      </c>
      <c r="S846" t="str">
        <f>""</f>
        <v/>
      </c>
      <c r="T846" t="str">
        <f>"УЛ ТАГИЛСТРОЕВСКАЯ"</f>
        <v>УЛ ТАГИЛСТРОЕВСКАЯ</v>
      </c>
      <c r="U846" s="1" t="str">
        <f>"31"</f>
        <v>31</v>
      </c>
      <c r="V846" s="1" t="str">
        <f>""</f>
        <v/>
      </c>
      <c r="W846" s="1" t="str">
        <f>""</f>
        <v/>
      </c>
      <c r="X846" s="1" t="str">
        <f>""</f>
        <v/>
      </c>
      <c r="Y846" s="1" t="str">
        <f>"95"</f>
        <v>95</v>
      </c>
      <c r="Z846" t="str">
        <f>""</f>
        <v/>
      </c>
      <c r="AA846" t="str">
        <f>"9068552712"</f>
        <v>9068552712</v>
      </c>
      <c r="AB846" t="str">
        <f>"9126227226"</f>
        <v>9126227226</v>
      </c>
      <c r="AC846" t="str">
        <f>"9068552712"</f>
        <v>9068552712</v>
      </c>
      <c r="AD846" t="str">
        <f>"9126227226"</f>
        <v>9126227226</v>
      </c>
      <c r="AE846" t="str">
        <f>""</f>
        <v/>
      </c>
    </row>
    <row r="847" spans="1:31" x14ac:dyDescent="0.45">
      <c r="A847" t="str">
        <f>"НУРИСЛАМОВА АЛИЯ САДРИСЛАМОВНА"</f>
        <v>НУРИСЛАМОВА АЛИЯ САДРИСЛАМОВНА</v>
      </c>
      <c r="B847" t="str">
        <f>"1975-03-13"</f>
        <v>1975-03-13</v>
      </c>
      <c r="C847" t="str">
        <f>"67 15 476522"</f>
        <v>67 15 476522</v>
      </c>
      <c r="D847" t="str">
        <f>"4854630429621876"</f>
        <v>4854630429621876</v>
      </c>
      <c r="E847" t="str">
        <f t="shared" si="137"/>
        <v>2021-04-30</v>
      </c>
      <c r="F847" t="str">
        <f>"+"</f>
        <v>+</v>
      </c>
      <c r="G847" t="str">
        <f>"+"</f>
        <v>+</v>
      </c>
      <c r="H847" t="str">
        <f>"40817810416992245970"</f>
        <v>40817810416992245970</v>
      </c>
      <c r="I847" t="str">
        <f>"5940"</f>
        <v>5940</v>
      </c>
      <c r="J847" t="str">
        <f>"0115"</f>
        <v>0115</v>
      </c>
      <c r="K847" t="str">
        <f>"150000.00"</f>
        <v>150000.00</v>
      </c>
      <c r="L847" t="str">
        <f>"628600 АО ХАНТЫ-МАНСИЙСКИЙ АВТОНОМНЫЙ ОКРУГ-ЮГРА   Г НИЖНЕВАРТОВСК   УЛ СЕВЕРНАЯ д. 30"</f>
        <v>628600 АО ХАНТЫ-МАНСИЙСКИЙ АВТОНОМНЫЙ ОКРУГ-ЮГРА   Г НИЖНЕВАРТОВСК   УЛ СЕВЕРНАЯ д. 30</v>
      </c>
      <c r="M847" t="str">
        <f t="shared" si="135"/>
        <v>2019-08-24</v>
      </c>
      <c r="N847" t="str">
        <f>"БУ НОКДБ"</f>
        <v>БУ НОКДБ</v>
      </c>
      <c r="O847" t="str">
        <f>"628600"</f>
        <v>628600</v>
      </c>
      <c r="P847" t="str">
        <f>"АО ХАНТЫ-МАНСИЙСКИЙ АВТОНОМНЫЙ ОКРУГ-ЮГРА"</f>
        <v>АО ХАНТЫ-МАНСИЙСКИЙ АВТОНОМНЫЙ ОКРУГ-ЮГРА</v>
      </c>
      <c r="Q847" t="str">
        <f>""</f>
        <v/>
      </c>
      <c r="R847" t="str">
        <f>"Г НИЖНЕВАРТОВСК"</f>
        <v>Г НИЖНЕВАРТОВСК</v>
      </c>
      <c r="S847" t="str">
        <f>""</f>
        <v/>
      </c>
      <c r="T847" t="str">
        <f>"УЛ МИРА"</f>
        <v>УЛ МИРА</v>
      </c>
      <c r="U847" s="1" t="str">
        <f>"60"</f>
        <v>60</v>
      </c>
      <c r="V847" s="1" t="str">
        <f>""</f>
        <v/>
      </c>
      <c r="W847" s="1" t="str">
        <f>"1"</f>
        <v>1</v>
      </c>
      <c r="X847" s="1" t="str">
        <f>""</f>
        <v/>
      </c>
      <c r="Y847" s="1" t="str">
        <f>"119"</f>
        <v>119</v>
      </c>
      <c r="Z847" t="str">
        <f>"+7 (3466) 492626"</f>
        <v>+7 (3466) 492626</v>
      </c>
      <c r="AA847" t="str">
        <f>""</f>
        <v/>
      </c>
      <c r="AB847" t="str">
        <f>"+7 (982) 5273223"</f>
        <v>+7 (982) 5273223</v>
      </c>
      <c r="AC847" t="str">
        <f>"9093479079"</f>
        <v>9093479079</v>
      </c>
      <c r="AD847" t="str">
        <f>"9093479079"</f>
        <v>9093479079</v>
      </c>
      <c r="AE847" t="str">
        <f>""</f>
        <v/>
      </c>
    </row>
    <row r="848" spans="1:31" x14ac:dyDescent="0.45">
      <c r="A848" t="str">
        <f>"СКОРЫНИНА ЕВГЕНИЯ АРКАДЬЕВНА"</f>
        <v>СКОРЫНИНА ЕВГЕНИЯ АРКАДЬЕВНА</v>
      </c>
      <c r="B848" t="str">
        <f>"1993-03-12"</f>
        <v>1993-03-12</v>
      </c>
      <c r="C848" t="str">
        <f>"71 12 989787"</f>
        <v>71 12 989787</v>
      </c>
      <c r="D848" t="str">
        <f>"4854630213343588"</f>
        <v>4854630213343588</v>
      </c>
      <c r="E848" t="str">
        <f t="shared" si="137"/>
        <v>2021-04-30</v>
      </c>
      <c r="F848" t="str">
        <f>"Q"</f>
        <v>Q</v>
      </c>
      <c r="G848" t="str">
        <f>"Q"</f>
        <v>Q</v>
      </c>
      <c r="H848" t="str">
        <f>"40817810067720699009"</f>
        <v>40817810067720699009</v>
      </c>
      <c r="I848" t="str">
        <f>"0029"</f>
        <v>0029</v>
      </c>
      <c r="J848" t="str">
        <f>"0171"</f>
        <v>0171</v>
      </c>
      <c r="K848" t="str">
        <f>"0.00"</f>
        <v>0.00</v>
      </c>
      <c r="L848" t="str">
        <f>"625000 ОБЛ ТЮМЕНСКАЯ   Г ТЮМЕНЬ   УЛ СЕРГЕЯ ИЛЮШИНА д. 12"</f>
        <v>625000 ОБЛ ТЮМЕНСКАЯ   Г ТЮМЕНЬ   УЛ СЕРГЕЯ ИЛЮШИНА д. 12</v>
      </c>
      <c r="M848" t="str">
        <f t="shared" si="135"/>
        <v>2019-08-24</v>
      </c>
      <c r="N848" t="str">
        <f>"ООО ТС ТЕХНИК"</f>
        <v>ООО ТС ТЕХНИК</v>
      </c>
      <c r="O848" t="str">
        <f>"625000"</f>
        <v>625000</v>
      </c>
      <c r="P848" t="str">
        <f>"ОБЛ ТЮМЕНСКАЯ"</f>
        <v>ОБЛ ТЮМЕНСКАЯ</v>
      </c>
      <c r="Q848" t="str">
        <f>""</f>
        <v/>
      </c>
      <c r="R848" t="str">
        <f>"Г ТЮМЕНЬ"</f>
        <v>Г ТЮМЕНЬ</v>
      </c>
      <c r="S848" t="str">
        <f>""</f>
        <v/>
      </c>
      <c r="T848" t="str">
        <f>"УЛ МОРИСА ТОРЕЗА"</f>
        <v>УЛ МОРИСА ТОРЕЗА</v>
      </c>
      <c r="U848" s="1" t="str">
        <f>"2"</f>
        <v>2</v>
      </c>
      <c r="V848" s="1" t="str">
        <f>""</f>
        <v/>
      </c>
      <c r="W848" s="1" t="str">
        <f>""</f>
        <v/>
      </c>
      <c r="X848" s="1" t="str">
        <f>""</f>
        <v/>
      </c>
      <c r="Y848" s="1" t="str">
        <f>"94"</f>
        <v>94</v>
      </c>
      <c r="Z848" t="str">
        <f>""</f>
        <v/>
      </c>
      <c r="AA848" t="str">
        <f>"9044921534"</f>
        <v>9044921534</v>
      </c>
      <c r="AB848" t="str">
        <f>"9829175514"</f>
        <v>9829175514</v>
      </c>
      <c r="AC848" t="str">
        <f>"9044921534"</f>
        <v>9044921534</v>
      </c>
      <c r="AD848" t="str">
        <f>"9829175514"</f>
        <v>9829175514</v>
      </c>
      <c r="AE848" t="str">
        <f>""</f>
        <v/>
      </c>
    </row>
    <row r="849" spans="1:31" x14ac:dyDescent="0.45">
      <c r="A849" t="str">
        <f>"ПЛОТНИКОВ ИВАН СЕРГЕЕВИЧ"</f>
        <v>ПЛОТНИКОВ ИВАН СЕРГЕЕВИЧ</v>
      </c>
      <c r="B849" t="str">
        <f>"1983-01-30"</f>
        <v>1983-01-30</v>
      </c>
      <c r="C849" t="str">
        <f>"80 05 157244"</f>
        <v>80 05 157244</v>
      </c>
      <c r="D849" t="str">
        <f>"4854630355975205"</f>
        <v>4854630355975205</v>
      </c>
      <c r="E849" t="str">
        <f t="shared" si="137"/>
        <v>2021-04-30</v>
      </c>
      <c r="F849" t="str">
        <f t="shared" ref="F849:G851" si="138">"+"</f>
        <v>+</v>
      </c>
      <c r="G849" t="str">
        <f t="shared" si="138"/>
        <v>+</v>
      </c>
      <c r="H849" t="str">
        <f>"40817810816991428301"</f>
        <v>40817810816991428301</v>
      </c>
      <c r="I849" t="str">
        <f>"8598"</f>
        <v>8598</v>
      </c>
      <c r="J849" t="str">
        <f>"0190"</f>
        <v>0190</v>
      </c>
      <c r="K849" t="str">
        <f>"100000.00"</f>
        <v>100000.00</v>
      </c>
      <c r="L849" t="str">
        <f>"450000 РЕСП БАШКОРТОСТАН   Г УФА   УЛ ПЛЕХАНОВА д. 5 корп. 1"</f>
        <v>450000 РЕСП БАШКОРТОСТАН   Г УФА   УЛ ПЛЕХАНОВА д. 5 корп. 1</v>
      </c>
      <c r="M849" t="str">
        <f t="shared" si="135"/>
        <v>2019-08-24</v>
      </c>
      <c r="N849" t="str">
        <f>"ООО ЖЭУ 47"</f>
        <v>ООО ЖЭУ 47</v>
      </c>
      <c r="O849" t="str">
        <f>"450000"</f>
        <v>450000</v>
      </c>
      <c r="P849" t="str">
        <f>"РЕСП БАШКОРТОСТАН"</f>
        <v>РЕСП БАШКОРТОСТАН</v>
      </c>
      <c r="Q849" t="str">
        <f>"Р-Н КУШНАРЕНКОВСКИЙ"</f>
        <v>Р-Н КУШНАРЕНКОВСКИЙ</v>
      </c>
      <c r="R849" t="str">
        <f>""</f>
        <v/>
      </c>
      <c r="S849" t="str">
        <f>"Д СТАРЫЙ БАСКАК"</f>
        <v>Д СТАРЫЙ БАСКАК</v>
      </c>
      <c r="T849" t="str">
        <f>"УЛ ШКОЛЬНАЯ"</f>
        <v>УЛ ШКОЛЬНАЯ</v>
      </c>
      <c r="U849" s="1" t="str">
        <f>"2"</f>
        <v>2</v>
      </c>
      <c r="V849" s="1" t="str">
        <f>""</f>
        <v/>
      </c>
      <c r="W849" s="1" t="str">
        <f>""</f>
        <v/>
      </c>
      <c r="X849" s="1" t="str">
        <f>""</f>
        <v/>
      </c>
      <c r="Y849" s="1" t="str">
        <f>""</f>
        <v/>
      </c>
      <c r="Z849" t="str">
        <f>"3472646977"</f>
        <v>3472646977</v>
      </c>
      <c r="AA849" t="str">
        <f>"3472677112"</f>
        <v>3472677112</v>
      </c>
      <c r="AB849" t="str">
        <f>"9279413496"</f>
        <v>9279413496</v>
      </c>
      <c r="AC849" t="str">
        <f>"3472677112"</f>
        <v>3472677112</v>
      </c>
      <c r="AD849" t="str">
        <f>"9279413496"</f>
        <v>9279413496</v>
      </c>
      <c r="AE849" t="str">
        <f>"3472646977"</f>
        <v>3472646977</v>
      </c>
    </row>
    <row r="850" spans="1:31" x14ac:dyDescent="0.45">
      <c r="A850" t="str">
        <f>"ГАЛИНА ГУЛЬЯМАЛ ВАХИТОВНА"</f>
        <v>ГАЛИНА ГУЛЬЯМАЛ ВАХИТОВНА</v>
      </c>
      <c r="B850" t="str">
        <f>"1959-11-27"</f>
        <v>1959-11-27</v>
      </c>
      <c r="C850" t="str">
        <f>"80 05 949243"</f>
        <v>80 05 949243</v>
      </c>
      <c r="D850" t="str">
        <f>"4854630382061532"</f>
        <v>4854630382061532</v>
      </c>
      <c r="E850" t="str">
        <f t="shared" si="137"/>
        <v>2021-04-30</v>
      </c>
      <c r="F850" t="str">
        <f t="shared" si="138"/>
        <v>+</v>
      </c>
      <c r="G850" t="str">
        <f t="shared" si="138"/>
        <v>+</v>
      </c>
      <c r="H850" t="str">
        <f>"40817810116991428302"</f>
        <v>40817810116991428302</v>
      </c>
      <c r="I850" t="str">
        <f>"8598"</f>
        <v>8598</v>
      </c>
      <c r="J850" t="str">
        <f>"0006"</f>
        <v>0006</v>
      </c>
      <c r="K850" t="str">
        <f>"70000.00"</f>
        <v>70000.00</v>
      </c>
      <c r="L850" t="str">
        <f>"450000 РЕСП БАШКОРТОСТАН   Г УФА   УЛ ЛЕНИНА д. 99 корп. 1 кв. 38"</f>
        <v>450000 РЕСП БАШКОРТОСТАН   Г УФА   УЛ ЛЕНИНА д. 99 корп. 1 кв. 38</v>
      </c>
      <c r="M850" t="str">
        <f t="shared" si="135"/>
        <v>2019-08-24</v>
      </c>
      <c r="N850" t="str">
        <f>"ПЕНСИОНЕР"</f>
        <v>ПЕНСИОНЕР</v>
      </c>
      <c r="O850" t="str">
        <f>"450000"</f>
        <v>450000</v>
      </c>
      <c r="P850" t="str">
        <f>"РЕСП БАШКОРТОСТАН"</f>
        <v>РЕСП БАШКОРТОСТАН</v>
      </c>
      <c r="Q850" t="str">
        <f>""</f>
        <v/>
      </c>
      <c r="R850" t="str">
        <f>"Г УФА"</f>
        <v>Г УФА</v>
      </c>
      <c r="S850" t="str">
        <f>""</f>
        <v/>
      </c>
      <c r="T850" t="str">
        <f>"УЛ ЛЕНИНА"</f>
        <v>УЛ ЛЕНИНА</v>
      </c>
      <c r="U850" s="1" t="str">
        <f>"99"</f>
        <v>99</v>
      </c>
      <c r="V850" s="1" t="str">
        <f>""</f>
        <v/>
      </c>
      <c r="W850" s="1" t="str">
        <f>"1"</f>
        <v>1</v>
      </c>
      <c r="X850" s="1" t="str">
        <f>""</f>
        <v/>
      </c>
      <c r="Y850" s="1" t="str">
        <f>"38"</f>
        <v>38</v>
      </c>
      <c r="Z850" t="str">
        <f>"9196111950"</f>
        <v>9196111950</v>
      </c>
      <c r="AA850" t="str">
        <f>"+7 (919) 6111950"</f>
        <v>+7 (919) 6111950</v>
      </c>
      <c r="AB850" t="str">
        <f>"9991305646"</f>
        <v>9991305646</v>
      </c>
      <c r="AC850" t="str">
        <f>"9196111950"</f>
        <v>9196111950</v>
      </c>
      <c r="AD850" t="str">
        <f>"9196111950"</f>
        <v>9196111950</v>
      </c>
      <c r="AE850" t="str">
        <f>"9196111950"</f>
        <v>9196111950</v>
      </c>
    </row>
    <row r="851" spans="1:31" x14ac:dyDescent="0.45">
      <c r="A851" t="str">
        <f>"САЙФУЛИНА АЛЬМИРА РИНАТОВНА"</f>
        <v>САЙФУЛИНА АЛЬМИРА РИНАТОВНА</v>
      </c>
      <c r="B851" t="str">
        <f>"1975-04-01"</f>
        <v>1975-04-01</v>
      </c>
      <c r="C851" t="str">
        <f>"75 99 130717"</f>
        <v>75 99 130717</v>
      </c>
      <c r="D851" t="str">
        <f>"4854630403856779"</f>
        <v>4854630403856779</v>
      </c>
      <c r="E851" t="str">
        <f t="shared" si="137"/>
        <v>2021-04-30</v>
      </c>
      <c r="F851" t="str">
        <f t="shared" si="138"/>
        <v>+</v>
      </c>
      <c r="G851" t="str">
        <f t="shared" si="138"/>
        <v>+</v>
      </c>
      <c r="H851" t="str">
        <f>"40817810216991428325"</f>
        <v>40817810216991428325</v>
      </c>
      <c r="I851" t="str">
        <f>"8597"</f>
        <v>8597</v>
      </c>
      <c r="J851" t="str">
        <f>"0266"</f>
        <v>0266</v>
      </c>
      <c r="K851" t="str">
        <f>"40000.00"</f>
        <v>40000.00</v>
      </c>
      <c r="L851" t="str">
        <f>"655000 РЕСП ХАКАСИЯ   Г ЧЕЛЯБИНСК   УЛ МОХОВАЯ д. 7"</f>
        <v>655000 РЕСП ХАКАСИЯ   Г ЧЕЛЯБИНСК   УЛ МОХОВАЯ д. 7</v>
      </c>
      <c r="M851" t="str">
        <f t="shared" si="135"/>
        <v>2019-08-24</v>
      </c>
      <c r="N851" t="str">
        <f>"ООО БОРА 74"</f>
        <v>ООО БОРА 74</v>
      </c>
      <c r="O851" t="str">
        <f>"454000"</f>
        <v>454000</v>
      </c>
      <c r="P851" t="str">
        <f>"ОБЛ ЧЕЛЯБИНСКАЯ"</f>
        <v>ОБЛ ЧЕЛЯБИНСКАЯ</v>
      </c>
      <c r="Q851" t="str">
        <f>""</f>
        <v/>
      </c>
      <c r="R851" t="str">
        <f>"Г ЧЕЛЯБИНСК"</f>
        <v>Г ЧЕЛЯБИНСК</v>
      </c>
      <c r="S851" t="str">
        <f>""</f>
        <v/>
      </c>
      <c r="T851" t="str">
        <f>"УЛ ГАБДУЛЛЫ ТУКАЯ"</f>
        <v>УЛ ГАБДУЛЛЫ ТУКАЯ</v>
      </c>
      <c r="U851" s="1" t="str">
        <f>"17"</f>
        <v>17</v>
      </c>
      <c r="V851" s="1" t="str">
        <f>""</f>
        <v/>
      </c>
      <c r="W851" s="1" t="str">
        <f>""</f>
        <v/>
      </c>
      <c r="X851" s="1" t="str">
        <f>""</f>
        <v/>
      </c>
      <c r="Y851" s="1" t="str">
        <f>"174"</f>
        <v>174</v>
      </c>
      <c r="Z851" t="str">
        <f>"3512202171"</f>
        <v>3512202171</v>
      </c>
      <c r="AA851" t="str">
        <f>"9080469303"</f>
        <v>9080469303</v>
      </c>
      <c r="AB851" t="str">
        <f>"9227118775"</f>
        <v>9227118775</v>
      </c>
      <c r="AC851" t="str">
        <f>"9080469303"</f>
        <v>9080469303</v>
      </c>
      <c r="AD851" t="str">
        <f>"9227118775"</f>
        <v>9227118775</v>
      </c>
      <c r="AE851" t="str">
        <f>""</f>
        <v/>
      </c>
    </row>
    <row r="852" spans="1:31" x14ac:dyDescent="0.45">
      <c r="A852" t="str">
        <f>"МОЖАЕВА АЛЕНА СЕРГЕЕВНА"</f>
        <v>МОЖАЕВА АЛЕНА СЕРГЕЕВНА</v>
      </c>
      <c r="B852" t="str">
        <f>"1989-11-01"</f>
        <v>1989-11-01</v>
      </c>
      <c r="C852" t="str">
        <f>"75 12 098450"</f>
        <v>75 12 098450</v>
      </c>
      <c r="D852" t="str">
        <f>"4279011657609403"</f>
        <v>4279011657609403</v>
      </c>
      <c r="E852" t="str">
        <f t="shared" ref="E852:E876" si="139">"2021-05-31"</f>
        <v>2021-05-31</v>
      </c>
      <c r="F852" t="str">
        <f>"Y"</f>
        <v>Y</v>
      </c>
      <c r="G852" t="str">
        <f>"Q"</f>
        <v>Q</v>
      </c>
      <c r="H852" t="str">
        <f>"40817810916991429226"</f>
        <v>40817810916991429226</v>
      </c>
      <c r="I852" t="str">
        <f>"8597"</f>
        <v>8597</v>
      </c>
      <c r="J852" t="str">
        <f>"0499"</f>
        <v>0499</v>
      </c>
      <c r="K852" t="str">
        <f>"0.00"</f>
        <v>0.00</v>
      </c>
      <c r="L852" t="str">
        <f>"454000 ОБЛ ЧЕЛЯБИНСКАЯ   Г ЗЛАТОУСТ   УЛ ЧЕРНОРЕЧЕНСКАЯ д. 43"</f>
        <v>454000 ОБЛ ЧЕЛЯБИНСКАЯ   Г ЗЛАТОУСТ   УЛ ЧЕРНОРЕЧЕНСКАЯ д. 43</v>
      </c>
      <c r="M852" t="str">
        <f t="shared" si="135"/>
        <v>2019-08-24</v>
      </c>
      <c r="N852" t="s">
        <v>60</v>
      </c>
      <c r="O852" t="str">
        <f>"454000"</f>
        <v>454000</v>
      </c>
      <c r="P852" t="str">
        <f>"ОБЛ ЧЕЛЯБИНСКАЯ"</f>
        <v>ОБЛ ЧЕЛЯБИНСКАЯ</v>
      </c>
      <c r="Q852" t="str">
        <f>""</f>
        <v/>
      </c>
      <c r="R852" t="str">
        <f>"Г ЗЛАТОУСТ"</f>
        <v>Г ЗЛАТОУСТ</v>
      </c>
      <c r="S852" t="str">
        <f>""</f>
        <v/>
      </c>
      <c r="T852" t="str">
        <f>"УЛ ТРАКТОВАЯ"</f>
        <v>УЛ ТРАКТОВАЯ</v>
      </c>
      <c r="U852" s="1" t="str">
        <f>"3"</f>
        <v>3</v>
      </c>
      <c r="V852" s="1" t="str">
        <f>""</f>
        <v/>
      </c>
      <c r="W852" s="1" t="str">
        <f>""</f>
        <v/>
      </c>
      <c r="X852" s="1" t="str">
        <f>""</f>
        <v/>
      </c>
      <c r="Y852" s="1" t="str">
        <f>"7"</f>
        <v>7</v>
      </c>
      <c r="Z852" t="str">
        <f>"+7 (3513) 690385"</f>
        <v>+7 (3513) 690385</v>
      </c>
      <c r="AA852" t="str">
        <f>"+7 (3513) 659445"</f>
        <v>+7 (3513) 659445</v>
      </c>
      <c r="AB852" t="str">
        <f>"+7 (912) 3241511"</f>
        <v>+7 (912) 3241511</v>
      </c>
      <c r="AC852" t="str">
        <f>"9123241511"</f>
        <v>9123241511</v>
      </c>
      <c r="AD852" t="str">
        <f>"9123241511"</f>
        <v>9123241511</v>
      </c>
      <c r="AE852" t="str">
        <f>""</f>
        <v/>
      </c>
    </row>
    <row r="853" spans="1:31" x14ac:dyDescent="0.45">
      <c r="A853" t="str">
        <f>"САДЫКОВ ФИДАН САЛИМОВИЧ"</f>
        <v>САДЫКОВ ФИДАН САЛИМОВИЧ</v>
      </c>
      <c r="B853" t="str">
        <f>"1984-09-09"</f>
        <v>1984-09-09</v>
      </c>
      <c r="C853" t="str">
        <f>"80 05 488531"</f>
        <v>80 05 488531</v>
      </c>
      <c r="D853" t="str">
        <f>"4279011649884163"</f>
        <v>4279011649884163</v>
      </c>
      <c r="E853" t="str">
        <f t="shared" si="139"/>
        <v>2021-05-31</v>
      </c>
      <c r="F853" t="str">
        <f t="shared" ref="F853:F861" si="140">"+"</f>
        <v>+</v>
      </c>
      <c r="G853" t="str">
        <f>"W"</f>
        <v>W</v>
      </c>
      <c r="H853" t="str">
        <f>"40817810216991429227"</f>
        <v>40817810216991429227</v>
      </c>
      <c r="I853" t="str">
        <f>"8598"</f>
        <v>8598</v>
      </c>
      <c r="J853" t="str">
        <f>"0687"</f>
        <v>0687</v>
      </c>
      <c r="K853" t="str">
        <f>"155000.00"</f>
        <v>155000.00</v>
      </c>
      <c r="L853" t="str">
        <f>"000000 РЕСП УДМУРТСКАЯ   Г ИЖЕВСК   УЛ ПУШКИНСКАЯ д. 291 корп. А"</f>
        <v>000000 РЕСП УДМУРТСКАЯ   Г ИЖЕВСК   УЛ ПУШКИНСКАЯ д. 291 корп. А</v>
      </c>
      <c r="M853" t="str">
        <f t="shared" si="135"/>
        <v>2019-08-24</v>
      </c>
      <c r="N853" t="str">
        <f>"ООО УПС"</f>
        <v>ООО УПС</v>
      </c>
      <c r="O853" t="str">
        <f>"450000"</f>
        <v>450000</v>
      </c>
      <c r="P853" t="str">
        <f>"РЕСП БАШКОРТОСТАН"</f>
        <v>РЕСП БАШКОРТОСТАН</v>
      </c>
      <c r="Q853" t="str">
        <f>""</f>
        <v/>
      </c>
      <c r="R853" t="str">
        <f>"Г КУМЕРТАУ"</f>
        <v>Г КУМЕРТАУ</v>
      </c>
      <c r="S853" t="str">
        <f>""</f>
        <v/>
      </c>
      <c r="T853" t="str">
        <f>"УЛ ХУДАЙБЕРДИНА"</f>
        <v>УЛ ХУДАЙБЕРДИНА</v>
      </c>
      <c r="U853" s="1" t="str">
        <f>"12"</f>
        <v>12</v>
      </c>
      <c r="V853" s="1" t="str">
        <f>""</f>
        <v/>
      </c>
      <c r="W853" s="1" t="str">
        <f>""</f>
        <v/>
      </c>
      <c r="X853" s="1" t="str">
        <f>""</f>
        <v/>
      </c>
      <c r="Y853" s="1" t="str">
        <f>"104А"</f>
        <v>104А</v>
      </c>
      <c r="Z853" t="str">
        <f>""</f>
        <v/>
      </c>
      <c r="AA853" t="str">
        <f>"9191583881"</f>
        <v>9191583881</v>
      </c>
      <c r="AB853" t="str">
        <f>"9191583881"</f>
        <v>9191583881</v>
      </c>
      <c r="AC853" t="str">
        <f>"9191583881"</f>
        <v>9191583881</v>
      </c>
      <c r="AD853" t="str">
        <f>"9191583881"</f>
        <v>9191583881</v>
      </c>
      <c r="AE853" t="str">
        <f>""</f>
        <v/>
      </c>
    </row>
    <row r="854" spans="1:31" x14ac:dyDescent="0.45">
      <c r="A854" t="str">
        <f>"КОВТУН ЕКАТЕРИНА ВАСИЛЬЕВНА"</f>
        <v>КОВТУН ЕКАТЕРИНА ВАСИЛЬЕВНА</v>
      </c>
      <c r="B854" t="str">
        <f>"1974-03-16"</f>
        <v>1974-03-16</v>
      </c>
      <c r="C854" t="str">
        <f>"65 19 858096"</f>
        <v>65 19 858096</v>
      </c>
      <c r="D854" t="str">
        <f>"4279011658594471"</f>
        <v>4279011658594471</v>
      </c>
      <c r="E854" t="str">
        <f t="shared" si="139"/>
        <v>2021-05-31</v>
      </c>
      <c r="F854" t="str">
        <f t="shared" si="140"/>
        <v>+</v>
      </c>
      <c r="G854" t="str">
        <f>"+"</f>
        <v>+</v>
      </c>
      <c r="H854" t="str">
        <f>"40817810516991429228"</f>
        <v>40817810516991429228</v>
      </c>
      <c r="I854" t="str">
        <f>"7003"</f>
        <v>7003</v>
      </c>
      <c r="J854" t="str">
        <f>"0004"</f>
        <v>0004</v>
      </c>
      <c r="K854" t="str">
        <f>"90000.00"</f>
        <v>90000.00</v>
      </c>
      <c r="L854" t="str">
        <f>"620000 ОБЛ СВЕРДЛОВСКАЯ   Г ЕКАТЕРИНБУРГ   УЛ ГАГАРИНА д. 28"</f>
        <v>620000 ОБЛ СВЕРДЛОВСКАЯ   Г ЕКАТЕРИНБУРГ   УЛ ГАГАРИНА д. 28</v>
      </c>
      <c r="M854" t="str">
        <f t="shared" si="135"/>
        <v>2019-08-24</v>
      </c>
      <c r="N854" t="str">
        <f>"АО УПП ВЕКТОР"</f>
        <v>АО УПП ВЕКТОР</v>
      </c>
      <c r="O854" t="str">
        <f>"620137"</f>
        <v>620137</v>
      </c>
      <c r="P854" t="str">
        <f>"ОБЛ СВЕРДЛОВСКАЯ"</f>
        <v>ОБЛ СВЕРДЛОВСКАЯ</v>
      </c>
      <c r="Q854" t="str">
        <f>""</f>
        <v/>
      </c>
      <c r="R854" t="str">
        <f>"Г ЕКАТЕРИНБУРГ"</f>
        <v>Г ЕКАТЕРИНБУРГ</v>
      </c>
      <c r="S854" t="str">
        <f>""</f>
        <v/>
      </c>
      <c r="T854" t="str">
        <f>"УЛ ЧЕКИСТОВ"</f>
        <v>УЛ ЧЕКИСТОВ</v>
      </c>
      <c r="U854" s="1" t="str">
        <f>"12"</f>
        <v>12</v>
      </c>
      <c r="V854" s="1" t="str">
        <f>""</f>
        <v/>
      </c>
      <c r="W854" s="1" t="str">
        <f>""</f>
        <v/>
      </c>
      <c r="X854" s="1" t="str">
        <f>""</f>
        <v/>
      </c>
      <c r="Y854" s="1" t="str">
        <f>"50"</f>
        <v>50</v>
      </c>
      <c r="Z854" t="str">
        <f>""</f>
        <v/>
      </c>
      <c r="AA854" t="str">
        <f>"3433604038"</f>
        <v>3433604038</v>
      </c>
      <c r="AB854" t="str">
        <f>"9090107619"</f>
        <v>9090107619</v>
      </c>
      <c r="AC854" t="str">
        <f>"9080107619"</f>
        <v>9080107619</v>
      </c>
      <c r="AD854" t="str">
        <f>"9080107619"</f>
        <v>9080107619</v>
      </c>
      <c r="AE854" t="str">
        <f>""</f>
        <v/>
      </c>
    </row>
    <row r="855" spans="1:31" x14ac:dyDescent="0.45">
      <c r="A855" t="str">
        <f>"БОРОДУЛИНА ГАЛИНА ВАСИЛЬЕВНА"</f>
        <v>БОРОДУЛИНА ГАЛИНА ВАСИЛЬЕВНА</v>
      </c>
      <c r="B855" t="str">
        <f>"1953-02-08"</f>
        <v>1953-02-08</v>
      </c>
      <c r="C855" t="str">
        <f>"65 04 888866"</f>
        <v>65 04 888866</v>
      </c>
      <c r="D855" t="str">
        <f>"4279011632094879"</f>
        <v>4279011632094879</v>
      </c>
      <c r="E855" t="str">
        <f t="shared" si="139"/>
        <v>2021-05-31</v>
      </c>
      <c r="F855" t="str">
        <f t="shared" si="140"/>
        <v>+</v>
      </c>
      <c r="G855" t="str">
        <f>"+"</f>
        <v>+</v>
      </c>
      <c r="H855" t="str">
        <f>"40817810816991429229"</f>
        <v>40817810816991429229</v>
      </c>
      <c r="I855" t="str">
        <f>"7003"</f>
        <v>7003</v>
      </c>
      <c r="J855" t="str">
        <f>"0560"</f>
        <v>0560</v>
      </c>
      <c r="K855" t="str">
        <f>"245000.00"</f>
        <v>245000.00</v>
      </c>
      <c r="L855" t="str">
        <f>"620000 ОБЛ СВЕРДЛОВСКАЯ   Г КУШВА   УЛ 8 МАРТА д. 2"</f>
        <v>620000 ОБЛ СВЕРДЛОВСКАЯ   Г КУШВА   УЛ 8 МАРТА д. 2</v>
      </c>
      <c r="M855" t="str">
        <f t="shared" si="135"/>
        <v>2019-08-24</v>
      </c>
      <c r="N855" t="str">
        <f>"ООО ЗТО"</f>
        <v>ООО ЗТО</v>
      </c>
      <c r="O855" t="str">
        <f>"620000"</f>
        <v>620000</v>
      </c>
      <c r="P855" t="str">
        <f>"ОБЛ СВЕРДЛОВСКАЯ"</f>
        <v>ОБЛ СВЕРДЛОВСКАЯ</v>
      </c>
      <c r="Q855" t="str">
        <f>""</f>
        <v/>
      </c>
      <c r="R855" t="str">
        <f>"Г КУШВА"</f>
        <v>Г КУШВА</v>
      </c>
      <c r="S855" t="str">
        <f>""</f>
        <v/>
      </c>
      <c r="T855" t="str">
        <f>"УЛ ЛОКОМОТИВНАЯ"</f>
        <v>УЛ ЛОКОМОТИВНАЯ</v>
      </c>
      <c r="U855" s="1" t="str">
        <f>"10"</f>
        <v>10</v>
      </c>
      <c r="V855" s="1" t="str">
        <f>""</f>
        <v/>
      </c>
      <c r="W855" s="1" t="str">
        <f>""</f>
        <v/>
      </c>
      <c r="X855" s="1" t="str">
        <f>""</f>
        <v/>
      </c>
      <c r="Y855" s="1" t="str">
        <f>"2"</f>
        <v>2</v>
      </c>
      <c r="Z855" t="str">
        <f>"9126364957"</f>
        <v>9126364957</v>
      </c>
      <c r="AA855" t="str">
        <f>"9041673680"</f>
        <v>9041673680</v>
      </c>
      <c r="AB855" t="str">
        <f>"9041673680"</f>
        <v>9041673680</v>
      </c>
      <c r="AC855" t="str">
        <f>"9041673680"</f>
        <v>9041673680</v>
      </c>
      <c r="AD855" t="str">
        <f>"9041673680"</f>
        <v>9041673680</v>
      </c>
      <c r="AE855" t="str">
        <f>"9126364957"</f>
        <v>9126364957</v>
      </c>
    </row>
    <row r="856" spans="1:31" x14ac:dyDescent="0.45">
      <c r="A856" t="str">
        <f>"ФАЙЗРАХМАНОВ ДИНИС ГАБДРАХМАНОВИЧ"</f>
        <v>ФАЙЗРАХМАНОВ ДИНИС ГАБДРАХМАНОВИЧ</v>
      </c>
      <c r="B856" t="str">
        <f>"1969-03-16"</f>
        <v>1969-03-16</v>
      </c>
      <c r="C856" t="str">
        <f>"80 13 924821"</f>
        <v>80 13 924821</v>
      </c>
      <c r="D856" t="str">
        <f>"4279011675414729"</f>
        <v>4279011675414729</v>
      </c>
      <c r="E856" t="str">
        <f t="shared" si="139"/>
        <v>2021-05-31</v>
      </c>
      <c r="F856" t="str">
        <f t="shared" si="140"/>
        <v>+</v>
      </c>
      <c r="G856" t="str">
        <f>"+"</f>
        <v>+</v>
      </c>
      <c r="H856" t="str">
        <f>"40817810516991429231"</f>
        <v>40817810516991429231</v>
      </c>
      <c r="I856" t="str">
        <f>"8598"</f>
        <v>8598</v>
      </c>
      <c r="J856" t="str">
        <f>"0497"</f>
        <v>0497</v>
      </c>
      <c r="K856" t="str">
        <f>"90000.00"</f>
        <v>90000.00</v>
      </c>
      <c r="L856" t="str">
        <f>"450000 РЕСП БАШКОРТОСТАН Р-Н ДЮРТЮЛИНСКИЙ   С МОСКОВО УЛ АЛГА д. 1"</f>
        <v>450000 РЕСП БАШКОРТОСТАН Р-Н ДЮРТЮЛИНСКИЙ   С МОСКОВО УЛ АЛГА д. 1</v>
      </c>
      <c r="M856" t="str">
        <f t="shared" si="135"/>
        <v>2019-08-24</v>
      </c>
      <c r="N856" t="str">
        <f>"ГАЗПРОМТРАНСГАЗУФА"</f>
        <v>ГАЗПРОМТРАНСГАЗУФА</v>
      </c>
      <c r="O856" t="str">
        <f>"450000"</f>
        <v>450000</v>
      </c>
      <c r="P856" t="str">
        <f>"РЕСП БАШКОРТОСТАН"</f>
        <v>РЕСП БАШКОРТОСТАН</v>
      </c>
      <c r="Q856" t="str">
        <f>"Р-Н ДЮРТЮЛИНСКИЙ"</f>
        <v>Р-Н ДЮРТЮЛИНСКИЙ</v>
      </c>
      <c r="R856" t="str">
        <f>""</f>
        <v/>
      </c>
      <c r="S856" t="str">
        <f>"С МОСКОВО"</f>
        <v>С МОСКОВО</v>
      </c>
      <c r="T856" t="str">
        <f>"УЛ САДОВАЯ"</f>
        <v>УЛ САДОВАЯ</v>
      </c>
      <c r="U856" s="1" t="str">
        <f>"23"</f>
        <v>23</v>
      </c>
      <c r="V856" s="1" t="str">
        <f>""</f>
        <v/>
      </c>
      <c r="W856" s="1" t="str">
        <f>""</f>
        <v/>
      </c>
      <c r="X856" s="1" t="str">
        <f>""</f>
        <v/>
      </c>
      <c r="Y856" s="1" t="str">
        <f>"1"</f>
        <v>1</v>
      </c>
      <c r="Z856" t="str">
        <f>"3472375080"</f>
        <v>3472375080</v>
      </c>
      <c r="AA856" t="str">
        <f>"3478763408"</f>
        <v>3478763408</v>
      </c>
      <c r="AB856" t="str">
        <f>"9177952073"</f>
        <v>9177952073</v>
      </c>
      <c r="AC856" t="str">
        <f>"9270860234"</f>
        <v>9270860234</v>
      </c>
      <c r="AD856" t="str">
        <f>"9177952073"</f>
        <v>9177952073</v>
      </c>
      <c r="AE856" t="str">
        <f>""</f>
        <v/>
      </c>
    </row>
    <row r="857" spans="1:31" x14ac:dyDescent="0.45">
      <c r="A857" t="str">
        <f>"ИВАНОВ ДМИТРИЙ АЛЕКСАНДРОВИЧ"</f>
        <v>ИВАНОВ ДМИТРИЙ АЛЕКСАНДРОВИЧ</v>
      </c>
      <c r="B857" t="str">
        <f>"1976-12-02"</f>
        <v>1976-12-02</v>
      </c>
      <c r="C857" t="str">
        <f>"37 02 590950"</f>
        <v>37 02 590950</v>
      </c>
      <c r="D857" t="str">
        <f>"4279011691816592"</f>
        <v>4279011691816592</v>
      </c>
      <c r="E857" t="str">
        <f t="shared" si="139"/>
        <v>2021-05-31</v>
      </c>
      <c r="F857" t="str">
        <f t="shared" si="140"/>
        <v>+</v>
      </c>
      <c r="G857" t="str">
        <f>"W"</f>
        <v>W</v>
      </c>
      <c r="H857" t="str">
        <f>"40817810116991429233"</f>
        <v>40817810116991429233</v>
      </c>
      <c r="I857" t="str">
        <f>"8599"</f>
        <v>8599</v>
      </c>
      <c r="J857" t="str">
        <f>"0076"</f>
        <v>0076</v>
      </c>
      <c r="K857" t="str">
        <f>"85000.00"</f>
        <v>85000.00</v>
      </c>
      <c r="L857" t="str">
        <f>"641000 ОБЛ КУРГАНСКАЯ   Г КУРГАН   УЛ ПРОМЫШЛЕННАЯ д. 16"</f>
        <v>641000 ОБЛ КУРГАНСКАЯ   Г КУРГАН   УЛ ПРОМЫШЛЕННАЯ д. 16</v>
      </c>
      <c r="M857" t="str">
        <f t="shared" si="135"/>
        <v>2019-08-24</v>
      </c>
      <c r="N857" t="str">
        <f>"ТПК АГРОПРОМ"</f>
        <v>ТПК АГРОПРОМ</v>
      </c>
      <c r="O857" t="str">
        <f>"641000"</f>
        <v>641000</v>
      </c>
      <c r="P857" t="str">
        <f>"ОБЛ КУРГАНСКАЯ"</f>
        <v>ОБЛ КУРГАНСКАЯ</v>
      </c>
      <c r="Q857" t="str">
        <f>""</f>
        <v/>
      </c>
      <c r="R857" t="str">
        <f>"Г КУРГАН"</f>
        <v>Г КУРГАН</v>
      </c>
      <c r="S857" t="str">
        <f>"МКР 3-Й"</f>
        <v>МКР 3-Й</v>
      </c>
      <c r="T857" t="str">
        <f>""</f>
        <v/>
      </c>
      <c r="U857" s="1" t="str">
        <f>"2"</f>
        <v>2</v>
      </c>
      <c r="V857" s="1" t="str">
        <f>""</f>
        <v/>
      </c>
      <c r="W857" s="1" t="str">
        <f>""</f>
        <v/>
      </c>
      <c r="X857" s="1" t="str">
        <f>""</f>
        <v/>
      </c>
      <c r="Y857" s="1" t="str">
        <f>"58"</f>
        <v>58</v>
      </c>
      <c r="Z857" t="str">
        <f>""</f>
        <v/>
      </c>
      <c r="AA857" t="str">
        <f>"9924257352"</f>
        <v>9924257352</v>
      </c>
      <c r="AB857" t="str">
        <f>"9638634412"</f>
        <v>9638634412</v>
      </c>
      <c r="AC857" t="str">
        <f>"9924257352"</f>
        <v>9924257352</v>
      </c>
      <c r="AD857" t="str">
        <f>"9638634412"</f>
        <v>9638634412</v>
      </c>
      <c r="AE857" t="str">
        <f>""</f>
        <v/>
      </c>
    </row>
    <row r="858" spans="1:31" x14ac:dyDescent="0.45">
      <c r="A858" t="str">
        <f>"ШМИТОВА ОКСАНА ЮРЬЕВНА"</f>
        <v>ШМИТОВА ОКСАНА ЮРЬЕВНА</v>
      </c>
      <c r="B858" t="str">
        <f>"1973-03-27"</f>
        <v>1973-03-27</v>
      </c>
      <c r="C858" t="str">
        <f>"65 18 647903"</f>
        <v>65 18 647903</v>
      </c>
      <c r="D858" t="str">
        <f>"4279011655917600"</f>
        <v>4279011655917600</v>
      </c>
      <c r="E858" t="str">
        <f t="shared" si="139"/>
        <v>2021-05-31</v>
      </c>
      <c r="F858" t="str">
        <f t="shared" si="140"/>
        <v>+</v>
      </c>
      <c r="G858" t="str">
        <f>"+"</f>
        <v>+</v>
      </c>
      <c r="H858" t="str">
        <f>"40817810916991424836"</f>
        <v>40817810916991424836</v>
      </c>
      <c r="I858" t="str">
        <f>"7003"</f>
        <v>7003</v>
      </c>
      <c r="J858" t="str">
        <f>"0827"</f>
        <v>0827</v>
      </c>
      <c r="K858" t="str">
        <f>"155000.00"</f>
        <v>155000.00</v>
      </c>
      <c r="L858" t="str">
        <f>"620000 ОБЛ СВЕРДЛОВСКАЯ Р-Н - Г НОВОУРАЛЬСК Г - УЛ АВТОЗАВОДСКАЯ д. 27А"</f>
        <v>620000 ОБЛ СВЕРДЛОВСКАЯ Р-Н - Г НОВОУРАЛЬСК Г - УЛ АВТОЗАВОДСКАЯ д. 27А</v>
      </c>
      <c r="M858" t="str">
        <f t="shared" si="135"/>
        <v>2019-08-24</v>
      </c>
      <c r="N858" t="str">
        <f>"ООО АСТРА"</f>
        <v>ООО АСТРА</v>
      </c>
      <c r="O858" t="str">
        <f>"620000"</f>
        <v>620000</v>
      </c>
      <c r="P858" t="str">
        <f>"ОБЛ СВЕРДЛОВСКАЯ"</f>
        <v>ОБЛ СВЕРДЛОВСКАЯ</v>
      </c>
      <c r="Q858" t="str">
        <f>"Р-Н -"</f>
        <v>Р-Н -</v>
      </c>
      <c r="R858" t="str">
        <f>"Г НОВОУРАЛЬСК"</f>
        <v>Г НОВОУРАЛЬСК</v>
      </c>
      <c r="S858" t="str">
        <f>"Г -"</f>
        <v>Г -</v>
      </c>
      <c r="T858" t="str">
        <f>"УЛ САВЧУКА"</f>
        <v>УЛ САВЧУКА</v>
      </c>
      <c r="U858" s="1" t="str">
        <f>"8"</f>
        <v>8</v>
      </c>
      <c r="V858" s="1" t="str">
        <f>""</f>
        <v/>
      </c>
      <c r="W858" s="1" t="str">
        <f>""</f>
        <v/>
      </c>
      <c r="X858" s="1" t="str">
        <f>""</f>
        <v/>
      </c>
      <c r="Y858" s="1" t="str">
        <f>"72"</f>
        <v>72</v>
      </c>
      <c r="Z858" t="str">
        <f>"34370 91103"</f>
        <v>34370 91103</v>
      </c>
      <c r="AA858" t="str">
        <f>"3437062542"</f>
        <v>3437062542</v>
      </c>
      <c r="AB858" t="str">
        <f>"9089256520"</f>
        <v>9089256520</v>
      </c>
      <c r="AC858" t="str">
        <f>"3437062542"</f>
        <v>3437062542</v>
      </c>
      <c r="AD858" t="str">
        <f>"9089256520"</f>
        <v>9089256520</v>
      </c>
      <c r="AE858" t="str">
        <f>""</f>
        <v/>
      </c>
    </row>
    <row r="859" spans="1:31" x14ac:dyDescent="0.45">
      <c r="A859" t="str">
        <f>"БОРОДУЛИН АЛЕКСАНДР ПЕТРОВИЧ"</f>
        <v>БОРОДУЛИН АЛЕКСАНДР ПЕТРОВИЧ</v>
      </c>
      <c r="B859" t="str">
        <f>"1958-10-07"</f>
        <v>1958-10-07</v>
      </c>
      <c r="C859" t="str">
        <f>"75 09 550003"</f>
        <v>75 09 550003</v>
      </c>
      <c r="D859" t="str">
        <f>"4279011617733103"</f>
        <v>4279011617733103</v>
      </c>
      <c r="E859" t="str">
        <f t="shared" si="139"/>
        <v>2021-05-31</v>
      </c>
      <c r="F859" t="str">
        <f t="shared" si="140"/>
        <v>+</v>
      </c>
      <c r="G859" t="str">
        <f>"+"</f>
        <v>+</v>
      </c>
      <c r="H859" t="str">
        <f>"40817810716991424829"</f>
        <v>40817810716991424829</v>
      </c>
      <c r="I859" t="str">
        <f>"8597"</f>
        <v>8597</v>
      </c>
      <c r="J859" t="str">
        <f>"7770"</f>
        <v>7770</v>
      </c>
      <c r="K859" t="str">
        <f>"15000.00"</f>
        <v>15000.00</v>
      </c>
      <c r="L859" t="str">
        <f>"454000 ОБЛ ЧЕЛЯБИНСКАЯ   Г ЧЕЛЯБИНСК   УЛ ПЕРВОЙ ПЯТИЛЕТКИ д. 57"</f>
        <v>454000 ОБЛ ЧЕЛЯБИНСКАЯ   Г ЧЕЛЯБИНСК   УЛ ПЕРВОЙ ПЯТИЛЕТКИ д. 57</v>
      </c>
      <c r="M859" t="str">
        <f t="shared" si="135"/>
        <v>2019-08-24</v>
      </c>
      <c r="N859" t="str">
        <f>"МКУ КРУ"</f>
        <v>МКУ КРУ</v>
      </c>
      <c r="O859" t="str">
        <f>"454000"</f>
        <v>454000</v>
      </c>
      <c r="P859" t="str">
        <f>"ОБЛ ЧЕЛЯБИНСКАЯ"</f>
        <v>ОБЛ ЧЕЛЯБИНСКАЯ</v>
      </c>
      <c r="Q859" t="str">
        <f>""</f>
        <v/>
      </c>
      <c r="R859" t="str">
        <f>"Г ЧЕЛЯБИНСК"</f>
        <v>Г ЧЕЛЯБИНСК</v>
      </c>
      <c r="S859" t="str">
        <f>""</f>
        <v/>
      </c>
      <c r="T859" t="str">
        <f>"УЛ ПР.ПОБЕДЫ"</f>
        <v>УЛ ПР.ПОБЕДЫ</v>
      </c>
      <c r="U859" s="1" t="str">
        <f>"321"</f>
        <v>321</v>
      </c>
      <c r="V859" s="1" t="str">
        <f>""</f>
        <v/>
      </c>
      <c r="W859" s="1" t="str">
        <f>""</f>
        <v/>
      </c>
      <c r="X859" s="1" t="str">
        <f>""</f>
        <v/>
      </c>
      <c r="Y859" s="1" t="str">
        <f>"12"</f>
        <v>12</v>
      </c>
      <c r="Z859" t="str">
        <f>"3512452632"</f>
        <v>3512452632</v>
      </c>
      <c r="AA859" t="str">
        <f>"0000000000"</f>
        <v>0000000000</v>
      </c>
      <c r="AB859" t="str">
        <f>"9193077025"</f>
        <v>9193077025</v>
      </c>
      <c r="AC859" t="str">
        <f>"0000000000"</f>
        <v>0000000000</v>
      </c>
      <c r="AD859" t="str">
        <f>"9000952669"</f>
        <v>9000952669</v>
      </c>
      <c r="AE859" t="str">
        <f>"3512452632"</f>
        <v>3512452632</v>
      </c>
    </row>
    <row r="860" spans="1:31" x14ac:dyDescent="0.45">
      <c r="A860" t="str">
        <f>"ТЕРЕНТЬЕВ АЛЕКСЕЙ ВЛАДИМИРОВИЧ"</f>
        <v>ТЕРЕНТЬЕВ АЛЕКСЕЙ ВЛАДИМИРОВИЧ</v>
      </c>
      <c r="B860" t="str">
        <f>"1971-07-07"</f>
        <v>1971-07-07</v>
      </c>
      <c r="C860" t="str">
        <f>"65 16 262158"</f>
        <v>65 16 262158</v>
      </c>
      <c r="D860" t="str">
        <f>"4276011676761105"</f>
        <v>4276011676761105</v>
      </c>
      <c r="E860" t="str">
        <f t="shared" si="139"/>
        <v>2021-05-31</v>
      </c>
      <c r="F860" t="str">
        <f t="shared" si="140"/>
        <v>+</v>
      </c>
      <c r="G860" t="str">
        <f>"+"</f>
        <v>+</v>
      </c>
      <c r="H860" t="str">
        <f>"40817810116991424830"</f>
        <v>40817810116991424830</v>
      </c>
      <c r="I860" t="str">
        <f>"7003"</f>
        <v>7003</v>
      </c>
      <c r="J860" t="str">
        <f>"7771"</f>
        <v>7771</v>
      </c>
      <c r="K860" t="str">
        <f>"10000.00"</f>
        <v>10000.00</v>
      </c>
      <c r="L860" t="str">
        <f>"624282 ОБЛ СВЕРДЛОВСКАЯ   Г АСБЕСТ П БЕЛОКАМЕННЫЙ УЛ ЗАРЕЧНАЯ д. 19"</f>
        <v>624282 ОБЛ СВЕРДЛОВСКАЯ   Г АСБЕСТ П БЕЛОКАМЕННЫЙ УЛ ЗАРЕЧНАЯ д. 19</v>
      </c>
      <c r="M860" t="str">
        <f t="shared" si="135"/>
        <v>2019-08-24</v>
      </c>
      <c r="N860" t="s">
        <v>59</v>
      </c>
      <c r="O860" t="str">
        <f>"624260"</f>
        <v>624260</v>
      </c>
      <c r="P860" t="str">
        <f>"ОБЛ СВЕРДЛОВСКАЯ"</f>
        <v>ОБЛ СВЕРДЛОВСКАЯ</v>
      </c>
      <c r="Q860" t="str">
        <f>""</f>
        <v/>
      </c>
      <c r="R860" t="str">
        <f>"Г АСБЕСТ"</f>
        <v>Г АСБЕСТ</v>
      </c>
      <c r="S860" t="str">
        <f>""</f>
        <v/>
      </c>
      <c r="T860" t="str">
        <f>"УЛ ЛАДЫЖЕНСКОГО"</f>
        <v>УЛ ЛАДЫЖЕНСКОГО</v>
      </c>
      <c r="U860" s="1" t="str">
        <f>"9"</f>
        <v>9</v>
      </c>
      <c r="V860" s="1" t="str">
        <f>""</f>
        <v/>
      </c>
      <c r="W860" s="1" t="str">
        <f>""</f>
        <v/>
      </c>
      <c r="X860" s="1" t="str">
        <f>""</f>
        <v/>
      </c>
      <c r="Y860" s="1" t="str">
        <f>"34"</f>
        <v>34</v>
      </c>
      <c r="Z860" t="str">
        <f>"3436564246"</f>
        <v>3436564246</v>
      </c>
      <c r="AA860" t="str">
        <f>"9226090577"</f>
        <v>9226090577</v>
      </c>
      <c r="AB860" t="str">
        <f>"9226090577"</f>
        <v>9226090577</v>
      </c>
      <c r="AC860" t="str">
        <f>"9226090577"</f>
        <v>9226090577</v>
      </c>
      <c r="AD860" t="str">
        <f>"9226090577"</f>
        <v>9226090577</v>
      </c>
      <c r="AE860" t="str">
        <f>"3436564246"</f>
        <v>3436564246</v>
      </c>
    </row>
    <row r="861" spans="1:31" x14ac:dyDescent="0.45">
      <c r="A861" t="str">
        <f>"ТИХОНОВА МАРИНА ВИКТОРОВНА"</f>
        <v>ТИХОНОВА МАРИНА ВИКТОРОВНА</v>
      </c>
      <c r="B861" t="str">
        <f>"1980-07-11"</f>
        <v>1980-07-11</v>
      </c>
      <c r="C861" t="str">
        <f>"68 04 118932"</f>
        <v>68 04 118932</v>
      </c>
      <c r="D861" t="str">
        <f>"4279011636207485"</f>
        <v>4279011636207485</v>
      </c>
      <c r="E861" t="str">
        <f t="shared" si="139"/>
        <v>2021-05-31</v>
      </c>
      <c r="F861" t="str">
        <f t="shared" si="140"/>
        <v>+</v>
      </c>
      <c r="G861" t="str">
        <f>"+"</f>
        <v>+</v>
      </c>
      <c r="H861" t="str">
        <f>"40817810216991424837"</f>
        <v>40817810216991424837</v>
      </c>
      <c r="I861" t="str">
        <f>"8597"</f>
        <v>8597</v>
      </c>
      <c r="J861" t="str">
        <f>"7770"</f>
        <v>7770</v>
      </c>
      <c r="K861" t="str">
        <f>"370000.00"</f>
        <v>370000.00</v>
      </c>
      <c r="L861" t="str">
        <f>"454000 ОБЛ ЧЕЛЯБИНСКАЯ   Г ЧЕЛЯБИНСК   Ш КОПЕЙСКОЕ д. 36"</f>
        <v>454000 ОБЛ ЧЕЛЯБИНСКАЯ   Г ЧЕЛЯБИНСК   Ш КОПЕЙСКОЕ д. 36</v>
      </c>
      <c r="M861" t="str">
        <f t="shared" si="135"/>
        <v>2019-08-24</v>
      </c>
      <c r="N861" t="s">
        <v>61</v>
      </c>
      <c r="O861" t="str">
        <f>"456000"</f>
        <v>456000</v>
      </c>
      <c r="P861" t="str">
        <f>"ОБЛ ЧЕЛЯБИНСКАЯ"</f>
        <v>ОБЛ ЧЕЛЯБИНСКАЯ</v>
      </c>
      <c r="Q861" t="str">
        <f>""</f>
        <v/>
      </c>
      <c r="R861" t="str">
        <f>"Г КОПЕЙСК"</f>
        <v>Г КОПЕЙСК</v>
      </c>
      <c r="S861" t="str">
        <f>""</f>
        <v/>
      </c>
      <c r="T861" t="str">
        <f>"УЛ ПР. ИЛЬИЧА"</f>
        <v>УЛ ПР. ИЛЬИЧА</v>
      </c>
      <c r="U861" s="1" t="str">
        <f>"18/1"</f>
        <v>18/1</v>
      </c>
      <c r="V861" s="1" t="str">
        <f>""</f>
        <v/>
      </c>
      <c r="W861" s="1" t="str">
        <f>""</f>
        <v/>
      </c>
      <c r="X861" s="1" t="str">
        <f>""</f>
        <v/>
      </c>
      <c r="Y861" s="1" t="str">
        <f>"33"</f>
        <v>33</v>
      </c>
      <c r="Z861" t="str">
        <f>"+7 (351) 2487078"</f>
        <v>+7 (351) 2487078</v>
      </c>
      <c r="AA861" t="str">
        <f>""</f>
        <v/>
      </c>
      <c r="AB861" t="str">
        <f>"+7 (951) 8068992"</f>
        <v>+7 (951) 8068992</v>
      </c>
      <c r="AC861" t="str">
        <f>"0000000000"</f>
        <v>0000000000</v>
      </c>
      <c r="AD861" t="str">
        <f>"9518068992"</f>
        <v>9518068992</v>
      </c>
      <c r="AE861" t="str">
        <f>"3512487078"</f>
        <v>3512487078</v>
      </c>
    </row>
    <row r="862" spans="1:31" x14ac:dyDescent="0.45">
      <c r="A862" t="str">
        <f>"УФИМЦЕВА МАРИНА ДАМИРОВНА"</f>
        <v>УФИМЦЕВА МАРИНА ДАМИРОВНА</v>
      </c>
      <c r="B862" t="str">
        <f>"1985-07-30"</f>
        <v>1985-07-30</v>
      </c>
      <c r="C862" t="str">
        <f>"75 09 607076"</f>
        <v>75 09 607076</v>
      </c>
      <c r="D862" t="str">
        <f>"4279011623429878"</f>
        <v>4279011623429878</v>
      </c>
      <c r="E862" t="str">
        <f t="shared" si="139"/>
        <v>2021-05-31</v>
      </c>
      <c r="F862" t="str">
        <f>"Q"</f>
        <v>Q</v>
      </c>
      <c r="G862" t="str">
        <f>"Q"</f>
        <v>Q</v>
      </c>
      <c r="H862" t="str">
        <f>"40817810816991424839"</f>
        <v>40817810816991424839</v>
      </c>
      <c r="I862" t="str">
        <f>"8597"</f>
        <v>8597</v>
      </c>
      <c r="J862" t="str">
        <f>"7770"</f>
        <v>7770</v>
      </c>
      <c r="K862" t="str">
        <f>"0.00"</f>
        <v>0.00</v>
      </c>
      <c r="L862" t="str">
        <f>"454138 ОБЛ ЧЕЛЯБИНСКАЯ   Г ЧЕЛЯБИНСК   УЛ КРАСНОГО УРАЛА д. 11А"</f>
        <v>454138 ОБЛ ЧЕЛЯБИНСКАЯ   Г ЧЕЛЯБИНСК   УЛ КРАСНОГО УРАЛА д. 11А</v>
      </c>
      <c r="M862" t="str">
        <f t="shared" si="135"/>
        <v>2019-08-24</v>
      </c>
      <c r="N862" t="str">
        <f>"МАДОУ ДЕТСКИЙ САД №355"</f>
        <v>МАДОУ ДЕТСКИЙ САД №355</v>
      </c>
      <c r="O862" t="str">
        <f>"454000"</f>
        <v>454000</v>
      </c>
      <c r="P862" t="str">
        <f>"ОБЛ ЧЕЛЯБИНСКАЯ"</f>
        <v>ОБЛ ЧЕЛЯБИНСКАЯ</v>
      </c>
      <c r="Q862" t="str">
        <f>""</f>
        <v/>
      </c>
      <c r="R862" t="str">
        <f>"Г ЧЕЛЯБИНСК"</f>
        <v>Г ЧЕЛЯБИНСК</v>
      </c>
      <c r="S862" t="str">
        <f>""</f>
        <v/>
      </c>
      <c r="T862" t="str">
        <f>"УЛ КОМСОМОЛЬСКИЙ ПР."</f>
        <v>УЛ КОМСОМОЛЬСКИЙ ПР.</v>
      </c>
      <c r="U862" s="1" t="str">
        <f>"71"</f>
        <v>71</v>
      </c>
      <c r="V862" s="1" t="str">
        <f>""</f>
        <v/>
      </c>
      <c r="W862" s="1" t="str">
        <f>""</f>
        <v/>
      </c>
      <c r="X862" s="1" t="str">
        <f>""</f>
        <v/>
      </c>
      <c r="Y862" s="1" t="str">
        <f>"27"</f>
        <v>27</v>
      </c>
      <c r="Z862" t="str">
        <f>"3517411604"</f>
        <v>3517411604</v>
      </c>
      <c r="AA862" t="str">
        <f>"0000000000"</f>
        <v>0000000000</v>
      </c>
      <c r="AB862" t="str">
        <f>"9517859326"</f>
        <v>9517859326</v>
      </c>
      <c r="AC862" t="str">
        <f>"0000000000"</f>
        <v>0000000000</v>
      </c>
      <c r="AD862" t="str">
        <f>"9517859326"</f>
        <v>9517859326</v>
      </c>
      <c r="AE862" t="str">
        <f>"3517411604"</f>
        <v>3517411604</v>
      </c>
    </row>
    <row r="863" spans="1:31" x14ac:dyDescent="0.45">
      <c r="A863" t="str">
        <f>"НУРМУХАМЕТОВ САЛАВАТ ШАМИЛЕВИЧ"</f>
        <v>НУРМУХАМЕТОВ САЛАВАТ ШАМИЛЕВИЧ</v>
      </c>
      <c r="B863" t="str">
        <f>"1990-11-02"</f>
        <v>1990-11-02</v>
      </c>
      <c r="C863" t="str">
        <f>"80 18 766222"</f>
        <v>80 18 766222</v>
      </c>
      <c r="D863" t="str">
        <f>"4279011629274963"</f>
        <v>4279011629274963</v>
      </c>
      <c r="E863" t="str">
        <f t="shared" si="139"/>
        <v>2021-05-31</v>
      </c>
      <c r="F863" t="str">
        <f>"+"</f>
        <v>+</v>
      </c>
      <c r="G863" t="str">
        <f>"J"</f>
        <v>J</v>
      </c>
      <c r="H863" t="str">
        <f>"40817810316991424847"</f>
        <v>40817810316991424847</v>
      </c>
      <c r="I863" t="str">
        <f>"8598"</f>
        <v>8598</v>
      </c>
      <c r="J863" t="str">
        <f>"0332"</f>
        <v>0332</v>
      </c>
      <c r="K863" t="str">
        <f>"320000.00"</f>
        <v>320000.00</v>
      </c>
      <c r="L863" t="str">
        <f>"628600 ОБЛ ТЮМЕНСКАЯ АО ХМАО Г НИЖНЕВАРТОВСК   УЛ ИНДУСТИАЛЬНАЯ д. 95 стр. 1"</f>
        <v>628600 ОБЛ ТЮМЕНСКАЯ АО ХМАО Г НИЖНЕВАРТОВСК   УЛ ИНДУСТИАЛЬНАЯ д. 95 стр. 1</v>
      </c>
      <c r="M863" t="str">
        <f t="shared" si="135"/>
        <v>2019-08-24</v>
      </c>
      <c r="N863" t="str">
        <f>"САМАТЛОРНЕФТЕПРОМХИМ"</f>
        <v>САМАТЛОРНЕФТЕПРОМХИМ</v>
      </c>
      <c r="O863" t="str">
        <f>"450000"</f>
        <v>450000</v>
      </c>
      <c r="P863" t="str">
        <f>"РЕСП БАШКОРТОСТАН"</f>
        <v>РЕСП БАШКОРТОСТАН</v>
      </c>
      <c r="Q863" t="str">
        <f>"Р-Н КУГАРЧИНСКИЙ"</f>
        <v>Р-Н КУГАРЧИНСКИЙ</v>
      </c>
      <c r="R863" t="str">
        <f>""</f>
        <v/>
      </c>
      <c r="S863" t="str">
        <f>"С МРАКОВО"</f>
        <v>С МРАКОВО</v>
      </c>
      <c r="T863" t="str">
        <f>"УЛ КОМАРОВА"</f>
        <v>УЛ КОМАРОВА</v>
      </c>
      <c r="U863" s="1" t="str">
        <f>"14"</f>
        <v>14</v>
      </c>
      <c r="V863" s="1" t="str">
        <f>""</f>
        <v/>
      </c>
      <c r="W863" s="1" t="str">
        <f>""</f>
        <v/>
      </c>
      <c r="X863" s="1" t="str">
        <f>""</f>
        <v/>
      </c>
      <c r="Y863" s="1" t="str">
        <f>"1"</f>
        <v>1</v>
      </c>
      <c r="Z863" t="str">
        <f>""</f>
        <v/>
      </c>
      <c r="AA863" t="str">
        <f>"9273335053"</f>
        <v>9273335053</v>
      </c>
      <c r="AB863" t="str">
        <f>"9273335053"</f>
        <v>9273335053</v>
      </c>
      <c r="AC863" t="str">
        <f>"9273335053"</f>
        <v>9273335053</v>
      </c>
      <c r="AD863" t="str">
        <f>"9273335053"</f>
        <v>9273335053</v>
      </c>
      <c r="AE863" t="str">
        <f>""</f>
        <v/>
      </c>
    </row>
    <row r="864" spans="1:31" x14ac:dyDescent="0.45">
      <c r="A864" t="str">
        <f>"ВАРИКОВА ТАТЬЯНА ВАЛЕРЬЕВНА"</f>
        <v>ВАРИКОВА ТАТЬЯНА ВАЛЕРЬЕВНА</v>
      </c>
      <c r="B864" t="str">
        <f>"1987-02-01"</f>
        <v>1987-02-01</v>
      </c>
      <c r="C864" t="str">
        <f>"80 09 862433"</f>
        <v>80 09 862433</v>
      </c>
      <c r="D864" t="str">
        <f>"4279011635120051"</f>
        <v>4279011635120051</v>
      </c>
      <c r="E864" t="str">
        <f t="shared" si="139"/>
        <v>2021-05-31</v>
      </c>
      <c r="F864" t="str">
        <f>"L"</f>
        <v>L</v>
      </c>
      <c r="G864" t="str">
        <f t="shared" ref="G864:G887" si="141">"+"</f>
        <v>+</v>
      </c>
      <c r="H864" t="str">
        <f>"40817810416991424857"</f>
        <v>40817810416991424857</v>
      </c>
      <c r="I864" t="str">
        <f>"8598"</f>
        <v>8598</v>
      </c>
      <c r="J864" t="str">
        <f>"0481"</f>
        <v>0481</v>
      </c>
      <c r="K864" t="str">
        <f>"10000.00"</f>
        <v>10000.00</v>
      </c>
      <c r="L864" t="str">
        <f>"452040 РЕСП БАШКОРТОСТАН Р-Н БИЖБУЛЯКСКИЙ   С БИЖБУЛЯК УЛ ЦЕНТРАЛЬНАЯ д. 31 кв. 2"</f>
        <v>452040 РЕСП БАШКОРТОСТАН Р-Н БИЖБУЛЯКСКИЙ   С БИЖБУЛЯК УЛ ЦЕНТРАЛЬНАЯ д. 31 кв. 2</v>
      </c>
      <c r="M864" t="str">
        <f t="shared" si="135"/>
        <v>2019-08-24</v>
      </c>
      <c r="N864" t="str">
        <f>"06004314"</f>
        <v>06004314</v>
      </c>
      <c r="O864" t="str">
        <f>"452040"</f>
        <v>452040</v>
      </c>
      <c r="P864" t="str">
        <f>"РЕСП БАШКОРТОСТАН"</f>
        <v>РЕСП БАШКОРТОСТАН</v>
      </c>
      <c r="Q864" t="str">
        <f>"Р-Н БИЖБУЛЯКСКИЙ"</f>
        <v>Р-Н БИЖБУЛЯКСКИЙ</v>
      </c>
      <c r="R864" t="str">
        <f>""</f>
        <v/>
      </c>
      <c r="S864" t="str">
        <f>"С БИЖБУЛЯК"</f>
        <v>С БИЖБУЛЯК</v>
      </c>
      <c r="T864" t="str">
        <f>"УЛ САДОВАЯ"</f>
        <v>УЛ САДОВАЯ</v>
      </c>
      <c r="U864" s="1" t="str">
        <f>"16"</f>
        <v>16</v>
      </c>
      <c r="V864" s="1" t="str">
        <f>""</f>
        <v/>
      </c>
      <c r="W864" s="1" t="str">
        <f>""</f>
        <v/>
      </c>
      <c r="X864" s="1" t="str">
        <f>""</f>
        <v/>
      </c>
      <c r="Y864" s="1" t="str">
        <f>""</f>
        <v/>
      </c>
      <c r="Z864" t="str">
        <f>"3474322470"</f>
        <v>3474322470</v>
      </c>
      <c r="AA864" t="str">
        <f>"3474322470"</f>
        <v>3474322470</v>
      </c>
      <c r="AB864" t="str">
        <f>"9273108331"</f>
        <v>9273108331</v>
      </c>
      <c r="AC864" t="str">
        <f>"3474322470"</f>
        <v>3474322470</v>
      </c>
      <c r="AD864" t="str">
        <f>"9273108331"</f>
        <v>9273108331</v>
      </c>
      <c r="AE864" t="str">
        <f>"3474322470"</f>
        <v>3474322470</v>
      </c>
    </row>
    <row r="865" spans="1:31" x14ac:dyDescent="0.45">
      <c r="A865" t="str">
        <f>"САВИНКОВ НИКОЛАЙ ВЛАДИМИРОВИЧ"</f>
        <v>САВИНКОВ НИКОЛАЙ ВЛАДИМИРОВИЧ</v>
      </c>
      <c r="B865" t="str">
        <f>"1989-03-23"</f>
        <v>1989-03-23</v>
      </c>
      <c r="C865" t="str">
        <f>"75 08 481161"</f>
        <v>75 08 481161</v>
      </c>
      <c r="D865" t="str">
        <f>"4279011686431894"</f>
        <v>4279011686431894</v>
      </c>
      <c r="E865" t="str">
        <f t="shared" si="139"/>
        <v>2021-05-31</v>
      </c>
      <c r="F865" t="str">
        <f t="shared" ref="F865:F882" si="142">"+"</f>
        <v>+</v>
      </c>
      <c r="G865" t="str">
        <f t="shared" si="141"/>
        <v>+</v>
      </c>
      <c r="H865" t="str">
        <f>"40817810016991424859"</f>
        <v>40817810016991424859</v>
      </c>
      <c r="I865" t="str">
        <f>"8597"</f>
        <v>8597</v>
      </c>
      <c r="J865" t="str">
        <f>"7770"</f>
        <v>7770</v>
      </c>
      <c r="K865" t="str">
        <f>"340000.00"</f>
        <v>340000.00</v>
      </c>
      <c r="L865" t="str">
        <f>"454000 ОБЛ ЧЕЛЯБИНСКАЯ   Г ЧЕЛЯБИНСК   Ш КОПЕЙСКОЕ д. 90"</f>
        <v>454000 ОБЛ ЧЕЛЯБИНСКАЯ   Г ЧЕЛЯБИНСК   Ш КОПЕЙСКОЕ д. 90</v>
      </c>
      <c r="M865" t="str">
        <f t="shared" si="135"/>
        <v>2019-08-24</v>
      </c>
      <c r="N865" t="s">
        <v>62</v>
      </c>
      <c r="O865" t="str">
        <f>"454000"</f>
        <v>454000</v>
      </c>
      <c r="P865" t="str">
        <f>"ОБЛ ЧЕЛЯБИНСКАЯ"</f>
        <v>ОБЛ ЧЕЛЯБИНСКАЯ</v>
      </c>
      <c r="Q865" t="str">
        <f>""</f>
        <v/>
      </c>
      <c r="R865" t="str">
        <f>"Г ЧЕЛЯБИНСК"</f>
        <v>Г ЧЕЛЯБИНСК</v>
      </c>
      <c r="S865" t="str">
        <f>""</f>
        <v/>
      </c>
      <c r="T865" t="str">
        <f>"УЛ ШОТА РУСТАВЕЛИ"</f>
        <v>УЛ ШОТА РУСТАВЕЛИ</v>
      </c>
      <c r="U865" s="1" t="str">
        <f>"27"</f>
        <v>27</v>
      </c>
      <c r="V865" s="1" t="str">
        <f>""</f>
        <v/>
      </c>
      <c r="W865" s="1" t="str">
        <f>""</f>
        <v/>
      </c>
      <c r="X865" s="1" t="str">
        <f>""</f>
        <v/>
      </c>
      <c r="Y865" s="1" t="str">
        <f>"10"</f>
        <v>10</v>
      </c>
      <c r="Z865" t="str">
        <f>"3512234206"</f>
        <v>3512234206</v>
      </c>
      <c r="AA865" t="str">
        <f>"3512239252"</f>
        <v>3512239252</v>
      </c>
      <c r="AB865" t="str">
        <f>"9191234206"</f>
        <v>9191234206</v>
      </c>
      <c r="AC865" t="str">
        <f>"0000000000"</f>
        <v>0000000000</v>
      </c>
      <c r="AD865" t="str">
        <f>"9191234206"</f>
        <v>9191234206</v>
      </c>
      <c r="AE865" t="str">
        <f>"3517298077"</f>
        <v>3517298077</v>
      </c>
    </row>
    <row r="866" spans="1:31" x14ac:dyDescent="0.45">
      <c r="A866" t="str">
        <f>"КУРИЦИН РОМАН НИКОЛАЕВИЧ"</f>
        <v>КУРИЦИН РОМАН НИКОЛАЕВИЧ</v>
      </c>
      <c r="B866" t="str">
        <f>"1963-12-01"</f>
        <v>1963-12-01</v>
      </c>
      <c r="C866" t="str">
        <f>"65 08 515977"</f>
        <v>65 08 515977</v>
      </c>
      <c r="D866" t="str">
        <f>"4279011699426444"</f>
        <v>4279011699426444</v>
      </c>
      <c r="E866" t="str">
        <f t="shared" si="139"/>
        <v>2021-05-31</v>
      </c>
      <c r="F866" t="str">
        <f t="shared" si="142"/>
        <v>+</v>
      </c>
      <c r="G866" t="str">
        <f t="shared" si="141"/>
        <v>+</v>
      </c>
      <c r="H866" t="str">
        <f>"40817810416991424860"</f>
        <v>40817810416991424860</v>
      </c>
      <c r="I866" t="str">
        <f>"7003"</f>
        <v>7003</v>
      </c>
      <c r="J866" t="str">
        <f>"7777"</f>
        <v>7777</v>
      </c>
      <c r="K866" t="str">
        <f>"65000.00"</f>
        <v>65000.00</v>
      </c>
      <c r="L866" t="str">
        <f>"623950 ОБЛ СВЕРДЛОВСКАЯ   Г ТАВДА   УЛ ЛЕНИНА д. 83 А"</f>
        <v>623950 ОБЛ СВЕРДЛОВСКАЯ   Г ТАВДА   УЛ ЛЕНИНА д. 83 А</v>
      </c>
      <c r="M866" t="str">
        <f t="shared" si="135"/>
        <v>2019-08-24</v>
      </c>
      <c r="N866" t="str">
        <f>"ТАВДИНСКИЙ МВД"</f>
        <v>ТАВДИНСКИЙ МВД</v>
      </c>
      <c r="O866" t="str">
        <f>"623950"</f>
        <v>623950</v>
      </c>
      <c r="P866" t="str">
        <f>"ОБЛ СВЕРДЛОВСКАЯ"</f>
        <v>ОБЛ СВЕРДЛОВСКАЯ</v>
      </c>
      <c r="Q866" t="str">
        <f>""</f>
        <v/>
      </c>
      <c r="R866" t="str">
        <f>"Г ТАВДА"</f>
        <v>Г ТАВДА</v>
      </c>
      <c r="S866" t="str">
        <f>""</f>
        <v/>
      </c>
      <c r="T866" t="str">
        <f>"УЛ ЗАВОДСКАЯ"</f>
        <v>УЛ ЗАВОДСКАЯ</v>
      </c>
      <c r="U866" s="1" t="str">
        <f>"7"</f>
        <v>7</v>
      </c>
      <c r="V866" s="1" t="str">
        <f>""</f>
        <v/>
      </c>
      <c r="W866" s="1" t="str">
        <f>""</f>
        <v/>
      </c>
      <c r="X866" s="1" t="str">
        <f>""</f>
        <v/>
      </c>
      <c r="Y866" s="1" t="str">
        <f>"15"</f>
        <v>15</v>
      </c>
      <c r="Z866" t="str">
        <f>"3436022950"</f>
        <v>3436022950</v>
      </c>
      <c r="AA866" t="str">
        <f>"9122191412"</f>
        <v>9122191412</v>
      </c>
      <c r="AB866" t="str">
        <f>"9122191412"</f>
        <v>9122191412</v>
      </c>
      <c r="AC866" t="str">
        <f>"9122191412"</f>
        <v>9122191412</v>
      </c>
      <c r="AD866" t="str">
        <f>"9122191412"</f>
        <v>9122191412</v>
      </c>
      <c r="AE866" t="str">
        <f>"3436022950"</f>
        <v>3436022950</v>
      </c>
    </row>
    <row r="867" spans="1:31" x14ac:dyDescent="0.45">
      <c r="A867" t="str">
        <f>"РЕШЕТНИКОВ МИХАИЛ ЕВГЕНЬЕВИЧ"</f>
        <v>РЕШЕТНИКОВ МИХАИЛ ЕВГЕНЬЕВИЧ</v>
      </c>
      <c r="B867" t="str">
        <f>"1982-01-27"</f>
        <v>1982-01-27</v>
      </c>
      <c r="C867" t="str">
        <f>"65 02 538173"</f>
        <v>65 02 538173</v>
      </c>
      <c r="D867" t="str">
        <f>"4279011632899236"</f>
        <v>4279011632899236</v>
      </c>
      <c r="E867" t="str">
        <f t="shared" si="139"/>
        <v>2021-05-31</v>
      </c>
      <c r="F867" t="str">
        <f t="shared" si="142"/>
        <v>+</v>
      </c>
      <c r="G867" t="str">
        <f t="shared" si="141"/>
        <v>+</v>
      </c>
      <c r="H867" t="str">
        <f>"40817810016991424862"</f>
        <v>40817810016991424862</v>
      </c>
      <c r="I867" t="str">
        <f>"7003"</f>
        <v>7003</v>
      </c>
      <c r="J867" t="str">
        <f>"7777"</f>
        <v>7777</v>
      </c>
      <c r="K867" t="str">
        <f>"125000.00"</f>
        <v>125000.00</v>
      </c>
      <c r="L867" t="str">
        <f>"623950 ОБЛ СВЕРДЛОВСКАЯ   Г ТАВДА   УЛ СТРОИТЕЛЕЙ д. 1"</f>
        <v>623950 ОБЛ СВЕРДЛОВСКАЯ   Г ТАВДА   УЛ СТРОИТЕЛЕЙ д. 1</v>
      </c>
      <c r="M867" t="str">
        <f t="shared" si="135"/>
        <v>2019-08-24</v>
      </c>
      <c r="N867" t="str">
        <f>"ММО МВД ТАВДИНСКИЙ"</f>
        <v>ММО МВД ТАВДИНСКИЙ</v>
      </c>
      <c r="O867" t="str">
        <f>"620000"</f>
        <v>620000</v>
      </c>
      <c r="P867" t="str">
        <f>"ОБЛ СВЕРДЛОВСКАЯ"</f>
        <v>ОБЛ СВЕРДЛОВСКАЯ</v>
      </c>
      <c r="Q867" t="str">
        <f>""</f>
        <v/>
      </c>
      <c r="R867" t="str">
        <f>"Г ТАВДА"</f>
        <v>Г ТАВДА</v>
      </c>
      <c r="S867" t="str">
        <f>""</f>
        <v/>
      </c>
      <c r="T867" t="str">
        <f>"УЛ 5Я ПЯТИЛЕТКА"</f>
        <v>УЛ 5Я ПЯТИЛЕТКА</v>
      </c>
      <c r="U867" s="1" t="str">
        <f>"58"</f>
        <v>58</v>
      </c>
      <c r="V867" s="1" t="str">
        <f>""</f>
        <v/>
      </c>
      <c r="W867" s="1" t="str">
        <f>""</f>
        <v/>
      </c>
      <c r="X867" s="1" t="str">
        <f>""</f>
        <v/>
      </c>
      <c r="Y867" s="1" t="str">
        <f>""</f>
        <v/>
      </c>
      <c r="Z867" t="str">
        <f>"3436050141"</f>
        <v>3436050141</v>
      </c>
      <c r="AA867" t="str">
        <f>"9617629715"</f>
        <v>9617629715</v>
      </c>
      <c r="AB867" t="str">
        <f>"9617629715"</f>
        <v>9617629715</v>
      </c>
      <c r="AC867" t="str">
        <f>"9617629715"</f>
        <v>9617629715</v>
      </c>
      <c r="AD867" t="str">
        <f>"9617629715"</f>
        <v>9617629715</v>
      </c>
      <c r="AE867" t="str">
        <f>"3436050141"</f>
        <v>3436050141</v>
      </c>
    </row>
    <row r="868" spans="1:31" x14ac:dyDescent="0.45">
      <c r="A868" t="str">
        <f>"АЗАРОВА ОЛЬГА ФЕДОРОВНА"</f>
        <v>АЗАРОВА ОЛЬГА ФЕДОРОВНА</v>
      </c>
      <c r="B868" t="str">
        <f>"1961-06-30"</f>
        <v>1961-06-30</v>
      </c>
      <c r="C868" t="str">
        <f>"80 09 915071"</f>
        <v>80 09 915071</v>
      </c>
      <c r="D868" t="str">
        <f>"4279011674437929"</f>
        <v>4279011674437929</v>
      </c>
      <c r="E868" t="str">
        <f t="shared" si="139"/>
        <v>2021-05-31</v>
      </c>
      <c r="F868" t="str">
        <f t="shared" si="142"/>
        <v>+</v>
      </c>
      <c r="G868" t="str">
        <f t="shared" si="141"/>
        <v>+</v>
      </c>
      <c r="H868" t="str">
        <f>"40817810516991424867"</f>
        <v>40817810516991424867</v>
      </c>
      <c r="I868" t="str">
        <f>"8598"</f>
        <v>8598</v>
      </c>
      <c r="J868" t="str">
        <f>"0213"</f>
        <v>0213</v>
      </c>
      <c r="K868" t="str">
        <f>"63000.00"</f>
        <v>63000.00</v>
      </c>
      <c r="L868" t="str">
        <f>"450000 РЕСП БАШКОРТОСТАН   Г УФА   УЛ ЮРИЯ ГАГАРИНА д. 42"</f>
        <v>450000 РЕСП БАШКОРТОСТАН   Г УФА   УЛ ЮРИЯ ГАГАРИНА д. 42</v>
      </c>
      <c r="M868" t="str">
        <f t="shared" si="135"/>
        <v>2019-08-24</v>
      </c>
      <c r="N868" t="str">
        <f>"ИП АЗАРОВА ОЛЬГА ФЕДОРОВНА"</f>
        <v>ИП АЗАРОВА ОЛЬГА ФЕДОРОВНА</v>
      </c>
      <c r="O868" t="str">
        <f>"450000"</f>
        <v>450000</v>
      </c>
      <c r="P868" t="str">
        <f>"РЕСП БАШКОРТОСТАН"</f>
        <v>РЕСП БАШКОРТОСТАН</v>
      </c>
      <c r="Q868" t="str">
        <f>""</f>
        <v/>
      </c>
      <c r="R868" t="str">
        <f>"Г МЕЛЕУЗ"</f>
        <v>Г МЕЛЕУЗ</v>
      </c>
      <c r="S868" t="str">
        <f>""</f>
        <v/>
      </c>
      <c r="T868" t="str">
        <f>"УЛ ПЕРВОМАЙСКАЯ"</f>
        <v>УЛ ПЕРВОМАЙСКАЯ</v>
      </c>
      <c r="U868" s="1" t="str">
        <f>"20"</f>
        <v>20</v>
      </c>
      <c r="V868" s="1" t="str">
        <f>""</f>
        <v/>
      </c>
      <c r="W868" s="1" t="str">
        <f>""</f>
        <v/>
      </c>
      <c r="X868" s="1" t="str">
        <f>""</f>
        <v/>
      </c>
      <c r="Y868" s="1" t="str">
        <f>"35"</f>
        <v>35</v>
      </c>
      <c r="Z868" t="str">
        <f>""</f>
        <v/>
      </c>
      <c r="AA868" t="str">
        <f>"3476434417"</f>
        <v>3476434417</v>
      </c>
      <c r="AB868" t="str">
        <f>"9177967668"</f>
        <v>9177967668</v>
      </c>
      <c r="AC868" t="str">
        <f>"9177967668"</f>
        <v>9177967668</v>
      </c>
      <c r="AD868" t="str">
        <f>"9177967668"</f>
        <v>9177967668</v>
      </c>
      <c r="AE868" t="str">
        <f>""</f>
        <v/>
      </c>
    </row>
    <row r="869" spans="1:31" x14ac:dyDescent="0.45">
      <c r="A869" t="str">
        <f>"БЫКОВ СТАНИСЛАВ АНАТОЛЬЕВИЧ"</f>
        <v>БЫКОВ СТАНИСЛАВ АНАТОЛЬЕВИЧ</v>
      </c>
      <c r="B869" t="str">
        <f>"1975-06-07"</f>
        <v>1975-06-07</v>
      </c>
      <c r="C869" t="str">
        <f>"65 00 725451"</f>
        <v>65 00 725451</v>
      </c>
      <c r="D869" t="str">
        <f>"4279011697772310"</f>
        <v>4279011697772310</v>
      </c>
      <c r="E869" t="str">
        <f t="shared" si="139"/>
        <v>2021-05-31</v>
      </c>
      <c r="F869" t="str">
        <f t="shared" si="142"/>
        <v>+</v>
      </c>
      <c r="G869" t="str">
        <f t="shared" si="141"/>
        <v>+</v>
      </c>
      <c r="H869" t="str">
        <f>"40817810516991424870"</f>
        <v>40817810516991424870</v>
      </c>
      <c r="I869" t="str">
        <f>"7003"</f>
        <v>7003</v>
      </c>
      <c r="J869" t="str">
        <f>"7777"</f>
        <v>7777</v>
      </c>
      <c r="K869" t="str">
        <f>"370000.00"</f>
        <v>370000.00</v>
      </c>
      <c r="L869" t="str">
        <f>"623950 ОБЛ СВЕРДЛОВСКАЯ   Г ТАВДА   УЛ ЛЕНИНА д. 83 корп. А"</f>
        <v>623950 ОБЛ СВЕРДЛОВСКАЯ   Г ТАВДА   УЛ ЛЕНИНА д. 83 корп. А</v>
      </c>
      <c r="M869" t="str">
        <f t="shared" si="135"/>
        <v>2019-08-24</v>
      </c>
      <c r="N869" t="str">
        <f>"ТАВДИНСКИЙ МВД"</f>
        <v>ТАВДИНСКИЙ МВД</v>
      </c>
      <c r="O869" t="str">
        <f>"620000"</f>
        <v>620000</v>
      </c>
      <c r="P869" t="str">
        <f>"ОБЛ СВЕРДЛОВСКАЯ"</f>
        <v>ОБЛ СВЕРДЛОВСКАЯ</v>
      </c>
      <c r="Q869" t="str">
        <f>""</f>
        <v/>
      </c>
      <c r="R869" t="str">
        <f>"Г ТАВДА"</f>
        <v>Г ТАВДА</v>
      </c>
      <c r="S869" t="str">
        <f>""</f>
        <v/>
      </c>
      <c r="T869" t="str">
        <f>"УЛ 9 ЯНВАРЯ"</f>
        <v>УЛ 9 ЯНВАРЯ</v>
      </c>
      <c r="U869" s="1" t="str">
        <f>"89"</f>
        <v>89</v>
      </c>
      <c r="V869" s="1" t="str">
        <f>""</f>
        <v/>
      </c>
      <c r="W869" s="1" t="str">
        <f>""</f>
        <v/>
      </c>
      <c r="X869" s="1" t="str">
        <f>""</f>
        <v/>
      </c>
      <c r="Y869" s="1" t="str">
        <f>"29"</f>
        <v>29</v>
      </c>
      <c r="Z869" t="str">
        <f>"3436022950"</f>
        <v>3436022950</v>
      </c>
      <c r="AA869" t="str">
        <f>"9090235778"</f>
        <v>9090235778</v>
      </c>
      <c r="AB869" t="str">
        <f>"9090235778"</f>
        <v>9090235778</v>
      </c>
      <c r="AC869" t="str">
        <f>"9090235778"</f>
        <v>9090235778</v>
      </c>
      <c r="AD869" t="str">
        <f>"9090235778"</f>
        <v>9090235778</v>
      </c>
      <c r="AE869" t="str">
        <f>"3436022950"</f>
        <v>3436022950</v>
      </c>
    </row>
    <row r="870" spans="1:31" x14ac:dyDescent="0.45">
      <c r="A870" t="str">
        <f>"ФОМИНОВ ВЛАДИМИР СЕРГЕЕВИЧ"</f>
        <v>ФОМИНОВ ВЛАДИМИР СЕРГЕЕВИЧ</v>
      </c>
      <c r="B870" t="str">
        <f>"1989-04-19"</f>
        <v>1989-04-19</v>
      </c>
      <c r="C870" t="str">
        <f>"65 15 040347"</f>
        <v>65 15 040347</v>
      </c>
      <c r="D870" t="str">
        <f>"4279011672217117"</f>
        <v>4279011672217117</v>
      </c>
      <c r="E870" t="str">
        <f t="shared" si="139"/>
        <v>2021-05-31</v>
      </c>
      <c r="F870" t="str">
        <f t="shared" si="142"/>
        <v>+</v>
      </c>
      <c r="G870" t="str">
        <f t="shared" si="141"/>
        <v>+</v>
      </c>
      <c r="H870" t="str">
        <f>"40817810416991424873"</f>
        <v>40817810416991424873</v>
      </c>
      <c r="I870" t="str">
        <f>"7003"</f>
        <v>7003</v>
      </c>
      <c r="J870" t="str">
        <f>"0886"</f>
        <v>0886</v>
      </c>
      <c r="K870" t="str">
        <f>"400000.00"</f>
        <v>400000.00</v>
      </c>
      <c r="L870" t="str">
        <f>"620000 ОБЛ СВЕРДЛОВСКАЯ   Г ПЕРВОУРАЛЬСК   УЛ ТОРГОВАЯ д. 1"</f>
        <v>620000 ОБЛ СВЕРДЛОВСКАЯ   Г ПЕРВОУРАЛЬСК   УЛ ТОРГОВАЯ д. 1</v>
      </c>
      <c r="M870" t="str">
        <f t="shared" si="135"/>
        <v>2019-08-24</v>
      </c>
      <c r="N870" t="str">
        <f>"АО ЭСК ЧТПЗ"</f>
        <v>АО ЭСК ЧТПЗ</v>
      </c>
      <c r="O870" t="str">
        <f>"620000"</f>
        <v>620000</v>
      </c>
      <c r="P870" t="str">
        <f>"ОБЛ СВЕРДЛОВСКАЯ"</f>
        <v>ОБЛ СВЕРДЛОВСКАЯ</v>
      </c>
      <c r="Q870" t="str">
        <f>""</f>
        <v/>
      </c>
      <c r="R870" t="str">
        <f>"Г ПЕРВОУРАЛЬСК"</f>
        <v>Г ПЕРВОУРАЛЬСК</v>
      </c>
      <c r="S870" t="str">
        <f>""</f>
        <v/>
      </c>
      <c r="T870" t="str">
        <f>"УЛ ТРУБНИКОВ"</f>
        <v>УЛ ТРУБНИКОВ</v>
      </c>
      <c r="U870" s="1" t="str">
        <f>"60"</f>
        <v>60</v>
      </c>
      <c r="V870" s="1" t="str">
        <f>""</f>
        <v/>
      </c>
      <c r="W870" s="1" t="str">
        <f>""</f>
        <v/>
      </c>
      <c r="X870" s="1" t="str">
        <f>""</f>
        <v/>
      </c>
      <c r="Y870" s="1" t="str">
        <f>"21"</f>
        <v>21</v>
      </c>
      <c r="Z870" t="str">
        <f>""</f>
        <v/>
      </c>
      <c r="AA870" t="str">
        <f>"9024109866"</f>
        <v>9024109866</v>
      </c>
      <c r="AB870" t="str">
        <f>"9644876906"</f>
        <v>9644876906</v>
      </c>
      <c r="AC870" t="str">
        <f>"9024109866"</f>
        <v>9024109866</v>
      </c>
      <c r="AD870" t="str">
        <f>"9644876906"</f>
        <v>9644876906</v>
      </c>
      <c r="AE870" t="str">
        <f>""</f>
        <v/>
      </c>
    </row>
    <row r="871" spans="1:31" x14ac:dyDescent="0.45">
      <c r="A871" t="str">
        <f>"ВАСЬКОВ СЕРГЕЙ АНАТОЛЬЕВИЧ"</f>
        <v>ВАСЬКОВ СЕРГЕЙ АНАТОЛЬЕВИЧ</v>
      </c>
      <c r="B871" t="str">
        <f>"1972-07-19"</f>
        <v>1972-07-19</v>
      </c>
      <c r="C871" t="str">
        <f>"65 17 483552"</f>
        <v>65 17 483552</v>
      </c>
      <c r="D871" t="str">
        <f>"4279011690839801"</f>
        <v>4279011690839801</v>
      </c>
      <c r="E871" t="str">
        <f t="shared" si="139"/>
        <v>2021-05-31</v>
      </c>
      <c r="F871" t="str">
        <f t="shared" si="142"/>
        <v>+</v>
      </c>
      <c r="G871" t="str">
        <f t="shared" si="141"/>
        <v>+</v>
      </c>
      <c r="H871" t="str">
        <f>"40817810616991424880"</f>
        <v>40817810616991424880</v>
      </c>
      <c r="I871" t="str">
        <f>"7003"</f>
        <v>7003</v>
      </c>
      <c r="J871" t="str">
        <f>"7777"</f>
        <v>7777</v>
      </c>
      <c r="K871" t="str">
        <f>"95000.00"</f>
        <v>95000.00</v>
      </c>
      <c r="L871" t="str">
        <f>"620000 ОБЛ СВЕРДЛОВСКАЯ   Г ТАВДА   УЛ ЛЕНИНА д. 83 корп. А"</f>
        <v>620000 ОБЛ СВЕРДЛОВСКАЯ   Г ТАВДА   УЛ ЛЕНИНА д. 83 корп. А</v>
      </c>
      <c r="M871" t="str">
        <f t="shared" si="135"/>
        <v>2019-08-24</v>
      </c>
      <c r="N871" t="str">
        <f>"ТАВДИНСКИЙ МВД"</f>
        <v>ТАВДИНСКИЙ МВД</v>
      </c>
      <c r="O871" t="str">
        <f>"620000"</f>
        <v>620000</v>
      </c>
      <c r="P871" t="str">
        <f>"ОБЛ СВЕРДЛОВСКАЯ"</f>
        <v>ОБЛ СВЕРДЛОВСКАЯ</v>
      </c>
      <c r="Q871" t="str">
        <f>""</f>
        <v/>
      </c>
      <c r="R871" t="str">
        <f>"Г ТАВДА"</f>
        <v>Г ТАВДА</v>
      </c>
      <c r="S871" t="str">
        <f>""</f>
        <v/>
      </c>
      <c r="T871" t="str">
        <f>"УЛ ТЕЛЬМАНА"</f>
        <v>УЛ ТЕЛЬМАНА</v>
      </c>
      <c r="U871" s="1" t="str">
        <f>"101"</f>
        <v>101</v>
      </c>
      <c r="V871" s="1" t="str">
        <f>""</f>
        <v/>
      </c>
      <c r="W871" s="1" t="str">
        <f>""</f>
        <v/>
      </c>
      <c r="X871" s="1" t="str">
        <f>""</f>
        <v/>
      </c>
      <c r="Y871" s="1" t="str">
        <f>""</f>
        <v/>
      </c>
      <c r="Z871" t="str">
        <f>"3436050141"</f>
        <v>3436050141</v>
      </c>
      <c r="AA871" t="str">
        <f>"9086387817"</f>
        <v>9086387817</v>
      </c>
      <c r="AB871" t="str">
        <f>"9086387817"</f>
        <v>9086387817</v>
      </c>
      <c r="AC871" t="str">
        <f>"9086387817"</f>
        <v>9086387817</v>
      </c>
      <c r="AD871" t="str">
        <f>"9086387817"</f>
        <v>9086387817</v>
      </c>
      <c r="AE871" t="str">
        <f>"3436050141"</f>
        <v>3436050141</v>
      </c>
    </row>
    <row r="872" spans="1:31" x14ac:dyDescent="0.45">
      <c r="A872" t="str">
        <f>"АТАНАСОВ ИВАН НИКОЛАЕВИЧ"</f>
        <v>АТАНАСОВ ИВАН НИКОЛАЕВИЧ</v>
      </c>
      <c r="B872" t="str">
        <f>"1954-02-01"</f>
        <v>1954-02-01</v>
      </c>
      <c r="C872" t="str">
        <f>"65 03 809225"</f>
        <v>65 03 809225</v>
      </c>
      <c r="D872" t="str">
        <f>"4279011624312594"</f>
        <v>4279011624312594</v>
      </c>
      <c r="E872" t="str">
        <f t="shared" si="139"/>
        <v>2021-05-31</v>
      </c>
      <c r="F872" t="str">
        <f t="shared" si="142"/>
        <v>+</v>
      </c>
      <c r="G872" t="str">
        <f t="shared" si="141"/>
        <v>+</v>
      </c>
      <c r="H872" t="str">
        <f>"40817810916991424881"</f>
        <v>40817810916991424881</v>
      </c>
      <c r="I872" t="str">
        <f>"7003"</f>
        <v>7003</v>
      </c>
      <c r="J872" t="str">
        <f>"0735"</f>
        <v>0735</v>
      </c>
      <c r="K872" t="str">
        <f>"110000.00"</f>
        <v>110000.00</v>
      </c>
      <c r="L872" t="str">
        <f>"620000 ОБЛ СВЕРДЛОВСКАЯ   Г НИЖНИЙ ТАГИЛ   УЛ ОРДЖОНИКИДЗЕ д. 11 кв. 16"</f>
        <v>620000 ОБЛ СВЕРДЛОВСКАЯ   Г НИЖНИЙ ТАГИЛ   УЛ ОРДЖОНИКИДЗЕ д. 11 кв. 16</v>
      </c>
      <c r="M872" t="str">
        <f t="shared" si="135"/>
        <v>2019-08-24</v>
      </c>
      <c r="N872" t="str">
        <f>"ПЕНСИОННЫЙ ФОНД РОССИИ"</f>
        <v>ПЕНСИОННЫЙ ФОНД РОССИИ</v>
      </c>
      <c r="O872" t="str">
        <f>"622052"</f>
        <v>622052</v>
      </c>
      <c r="P872" t="str">
        <f>"ОБЛ СВЕРДЛОВСКАЯ"</f>
        <v>ОБЛ СВЕРДЛОВСКАЯ</v>
      </c>
      <c r="Q872" t="str">
        <f>""</f>
        <v/>
      </c>
      <c r="R872" t="str">
        <f>"Г НИЖНИЙ ТАГИЛ"</f>
        <v>Г НИЖНИЙ ТАГИЛ</v>
      </c>
      <c r="S872" t="str">
        <f>""</f>
        <v/>
      </c>
      <c r="T872" t="str">
        <f>"УЛ ОРДЖОНИКИДЗЕ"</f>
        <v>УЛ ОРДЖОНИКИДЗЕ</v>
      </c>
      <c r="U872" s="1" t="str">
        <f>"11"</f>
        <v>11</v>
      </c>
      <c r="V872" s="1" t="str">
        <f>""</f>
        <v/>
      </c>
      <c r="W872" s="1" t="str">
        <f>""</f>
        <v/>
      </c>
      <c r="X872" s="1" t="str">
        <f>""</f>
        <v/>
      </c>
      <c r="Y872" s="1" t="str">
        <f>"16"</f>
        <v>16</v>
      </c>
      <c r="Z872" t="str">
        <f>""</f>
        <v/>
      </c>
      <c r="AA872" t="str">
        <f>"+7 (3435) 331070"</f>
        <v>+7 (3435) 331070</v>
      </c>
      <c r="AB872" t="str">
        <f>"+7 (912) 6379821"</f>
        <v>+7 (912) 6379821</v>
      </c>
      <c r="AC872" t="str">
        <f>"3435000000"</f>
        <v>3435000000</v>
      </c>
      <c r="AD872" t="str">
        <f>"9126379821"</f>
        <v>9126379821</v>
      </c>
      <c r="AE872" t="str">
        <f>""</f>
        <v/>
      </c>
    </row>
    <row r="873" spans="1:31" x14ac:dyDescent="0.45">
      <c r="A873" t="str">
        <f>"КАРАНАЕВ АЗАМАТ АСКАТОВИЧ"</f>
        <v>КАРАНАЕВ АЗАМАТ АСКАТОВИЧ</v>
      </c>
      <c r="B873" t="str">
        <f>"1981-02-21"</f>
        <v>1981-02-21</v>
      </c>
      <c r="C873" t="str">
        <f>"80 05 663663"</f>
        <v>80 05 663663</v>
      </c>
      <c r="D873" t="str">
        <f>"4279011676479580"</f>
        <v>4279011676479580</v>
      </c>
      <c r="E873" t="str">
        <f t="shared" si="139"/>
        <v>2021-05-31</v>
      </c>
      <c r="F873" t="str">
        <f t="shared" si="142"/>
        <v>+</v>
      </c>
      <c r="G873" t="str">
        <f t="shared" si="141"/>
        <v>+</v>
      </c>
      <c r="H873" t="str">
        <f>"40817810216991424882"</f>
        <v>40817810216991424882</v>
      </c>
      <c r="I873" t="str">
        <f>"8598"</f>
        <v>8598</v>
      </c>
      <c r="J873" t="str">
        <f>"0384"</f>
        <v>0384</v>
      </c>
      <c r="K873" t="str">
        <f>"105000.00"</f>
        <v>105000.00</v>
      </c>
      <c r="L873" t="str">
        <f>"410000 ОБЛ САРАТОВСКАЯ   Г САРАТОВ   УЛ ТЕХНИЧЕСКАЯ д. 14"</f>
        <v>410000 ОБЛ САРАТОВСКАЯ   Г САРАТОВ   УЛ ТЕХНИЧЕСКАЯ д. 14</v>
      </c>
      <c r="M873" t="str">
        <f t="shared" si="135"/>
        <v>2019-08-24</v>
      </c>
      <c r="N873" t="str">
        <f>"ООО СГК 5"</f>
        <v>ООО СГК 5</v>
      </c>
      <c r="O873" t="str">
        <f>"450000"</f>
        <v>450000</v>
      </c>
      <c r="P873" t="str">
        <f>"РЕСП БАШКОРТОСТАН"</f>
        <v>РЕСП БАШКОРТОСТАН</v>
      </c>
      <c r="Q873" t="str">
        <f>""</f>
        <v/>
      </c>
      <c r="R873" t="str">
        <f>"Г СТЕРЛИТАМАК"</f>
        <v>Г СТЕРЛИТАМАК</v>
      </c>
      <c r="S873" t="str">
        <f>""</f>
        <v/>
      </c>
      <c r="T873" t="str">
        <f>"ПР-КТ ОКТЯБРЯ"</f>
        <v>ПР-КТ ОКТЯБРЯ</v>
      </c>
      <c r="U873" s="1" t="str">
        <f>"20"</f>
        <v>20</v>
      </c>
      <c r="V873" s="1" t="str">
        <f>""</f>
        <v/>
      </c>
      <c r="W873" s="1" t="str">
        <f>""</f>
        <v/>
      </c>
      <c r="X873" s="1" t="str">
        <f>""</f>
        <v/>
      </c>
      <c r="Y873" s="1" t="str">
        <f>"93"</f>
        <v>93</v>
      </c>
      <c r="Z873" t="str">
        <f>"85595 24200"</f>
        <v>85595 24200</v>
      </c>
      <c r="AA873" t="str">
        <f>"9174225385"</f>
        <v>9174225385</v>
      </c>
      <c r="AB873" t="str">
        <f>"9174225385"</f>
        <v>9174225385</v>
      </c>
      <c r="AC873" t="str">
        <f>"9174225385"</f>
        <v>9174225385</v>
      </c>
      <c r="AD873" t="str">
        <f>"9174225385"</f>
        <v>9174225385</v>
      </c>
      <c r="AE873" t="str">
        <f>""</f>
        <v/>
      </c>
    </row>
    <row r="874" spans="1:31" x14ac:dyDescent="0.45">
      <c r="A874" t="str">
        <f>"КУРОЧКИН АНДРЕЙ СЕРГЕЕВИЧ"</f>
        <v>КУРОЧКИН АНДРЕЙ СЕРГЕЕВИЧ</v>
      </c>
      <c r="B874" t="str">
        <f>"1997-03-29"</f>
        <v>1997-03-29</v>
      </c>
      <c r="C874" t="str">
        <f>"65 17 395121"</f>
        <v>65 17 395121</v>
      </c>
      <c r="D874" t="str">
        <f>"4279011634869377"</f>
        <v>4279011634869377</v>
      </c>
      <c r="E874" t="str">
        <f t="shared" si="139"/>
        <v>2021-05-31</v>
      </c>
      <c r="F874" t="str">
        <f t="shared" si="142"/>
        <v>+</v>
      </c>
      <c r="G874" t="str">
        <f t="shared" si="141"/>
        <v>+</v>
      </c>
      <c r="H874" t="str">
        <f>"40817810816991424884"</f>
        <v>40817810816991424884</v>
      </c>
      <c r="I874" t="str">
        <f>"7003"</f>
        <v>7003</v>
      </c>
      <c r="J874" t="str">
        <f>"7777"</f>
        <v>7777</v>
      </c>
      <c r="K874" t="str">
        <f>"25000.00"</f>
        <v>25000.00</v>
      </c>
      <c r="L874" t="str">
        <f>"620000 ОБЛ СВЕРДЛОВСКАЯ   Г ТАВДА   УЛ ЛЕНИНА д. 83 стр. А"</f>
        <v>620000 ОБЛ СВЕРДЛОВСКАЯ   Г ТАВДА   УЛ ЛЕНИНА д. 83 стр. А</v>
      </c>
      <c r="M874" t="str">
        <f t="shared" si="135"/>
        <v>2019-08-24</v>
      </c>
      <c r="N874" t="str">
        <f>"МВД ТАВДА"</f>
        <v>МВД ТАВДА</v>
      </c>
      <c r="O874" t="str">
        <f>"620000"</f>
        <v>620000</v>
      </c>
      <c r="P874" t="str">
        <f>"ОБЛ СВЕРДЛОВСКАЯ"</f>
        <v>ОБЛ СВЕРДЛОВСКАЯ</v>
      </c>
      <c r="Q874" t="str">
        <f>""</f>
        <v/>
      </c>
      <c r="R874" t="str">
        <f>"Г ТАВДА"</f>
        <v>Г ТАВДА</v>
      </c>
      <c r="S874" t="str">
        <f>""</f>
        <v/>
      </c>
      <c r="T874" t="str">
        <f>"УЛ ЧЕКИСТОВ"</f>
        <v>УЛ ЧЕКИСТОВ</v>
      </c>
      <c r="U874" s="1" t="str">
        <f>"22"</f>
        <v>22</v>
      </c>
      <c r="V874" s="1" t="str">
        <f>""</f>
        <v/>
      </c>
      <c r="W874" s="1" t="str">
        <f>""</f>
        <v/>
      </c>
      <c r="X874" s="1" t="str">
        <f>""</f>
        <v/>
      </c>
      <c r="Y874" s="1" t="str">
        <f>""</f>
        <v/>
      </c>
      <c r="Z874" t="str">
        <f>"3436050144"</f>
        <v>3436050144</v>
      </c>
      <c r="AA874" t="str">
        <f>"9089222129"</f>
        <v>9089222129</v>
      </c>
      <c r="AB874" t="str">
        <f>"9089222129"</f>
        <v>9089222129</v>
      </c>
      <c r="AC874" t="str">
        <f>"9089222129"</f>
        <v>9089222129</v>
      </c>
      <c r="AD874" t="str">
        <f>"9089222129"</f>
        <v>9089222129</v>
      </c>
      <c r="AE874" t="str">
        <f>"3436050144"</f>
        <v>3436050144</v>
      </c>
    </row>
    <row r="875" spans="1:31" x14ac:dyDescent="0.45">
      <c r="A875" t="str">
        <f>"БАРАНОВ АЛЕКСАНДР ВИКТОРОВИЧ"</f>
        <v>БАРАНОВ АЛЕКСАНДР ВИКТОРОВИЧ</v>
      </c>
      <c r="B875" t="str">
        <f>"1985-09-08"</f>
        <v>1985-09-08</v>
      </c>
      <c r="C875" t="str">
        <f>"65 09 737685"</f>
        <v>65 09 737685</v>
      </c>
      <c r="D875" t="str">
        <f>"4279011671129685"</f>
        <v>4279011671129685</v>
      </c>
      <c r="E875" t="str">
        <f t="shared" si="139"/>
        <v>2021-05-31</v>
      </c>
      <c r="F875" t="str">
        <f t="shared" si="142"/>
        <v>+</v>
      </c>
      <c r="G875" t="str">
        <f t="shared" si="141"/>
        <v>+</v>
      </c>
      <c r="H875" t="str">
        <f>"40817810416991424886"</f>
        <v>40817810416991424886</v>
      </c>
      <c r="I875" t="str">
        <f>"7003"</f>
        <v>7003</v>
      </c>
      <c r="J875" t="str">
        <f>"0799"</f>
        <v>0799</v>
      </c>
      <c r="K875" t="str">
        <f>"285000.00"</f>
        <v>285000.00</v>
      </c>
      <c r="L875" t="str">
        <f>"620000 ОБЛ СВЕРДЛОВСКАЯ   Г БЕРЕЗОВСКИЙ   ТРАКТ БЕРЕЗОВСКИЙ д. 15 КМ"</f>
        <v>620000 ОБЛ СВЕРДЛОВСКАЯ   Г БЕРЕЗОВСКИЙ   ТРАКТ БЕРЕЗОВСКИЙ д. 15 КМ</v>
      </c>
      <c r="M875" t="str">
        <f t="shared" si="135"/>
        <v>2019-08-24</v>
      </c>
      <c r="N875" t="str">
        <f>"ООО АЙДИГО"</f>
        <v>ООО АЙДИГО</v>
      </c>
      <c r="O875" t="str">
        <f>"620000"</f>
        <v>620000</v>
      </c>
      <c r="P875" t="str">
        <f>"ОБЛ СВЕРДЛОВСКАЯ"</f>
        <v>ОБЛ СВЕРДЛОВСКАЯ</v>
      </c>
      <c r="Q875" t="str">
        <f>""</f>
        <v/>
      </c>
      <c r="R875" t="str">
        <f>"Г БЕРЕЗОВСКИЙ"</f>
        <v>Г БЕРЕЗОВСКИЙ</v>
      </c>
      <c r="S875" t="str">
        <f>""</f>
        <v/>
      </c>
      <c r="T875" t="str">
        <f>"УЛ ГАГАРИНА"</f>
        <v>УЛ ГАГАРИНА</v>
      </c>
      <c r="U875" s="1" t="str">
        <f>"15"</f>
        <v>15</v>
      </c>
      <c r="V875" s="1" t="str">
        <f>""</f>
        <v/>
      </c>
      <c r="W875" s="1" t="str">
        <f>""</f>
        <v/>
      </c>
      <c r="X875" s="1" t="str">
        <f>""</f>
        <v/>
      </c>
      <c r="Y875" s="1" t="str">
        <f>"72"</f>
        <v>72</v>
      </c>
      <c r="Z875" t="str">
        <f>""</f>
        <v/>
      </c>
      <c r="AA875" t="str">
        <f>"9221474725"</f>
        <v>9221474725</v>
      </c>
      <c r="AB875" t="str">
        <f>"9221474725"</f>
        <v>9221474725</v>
      </c>
      <c r="AC875" t="str">
        <f>"9221474725"</f>
        <v>9221474725</v>
      </c>
      <c r="AD875" t="str">
        <f>"9221474725"</f>
        <v>9221474725</v>
      </c>
      <c r="AE875" t="str">
        <f>""</f>
        <v/>
      </c>
    </row>
    <row r="876" spans="1:31" x14ac:dyDescent="0.45">
      <c r="A876" t="str">
        <f>"ЯНГИРОВ НУРТДИН ЗАРТДИНОВИЧ"</f>
        <v>ЯНГИРОВ НУРТДИН ЗАРТДИНОВИЧ</v>
      </c>
      <c r="B876" t="str">
        <f>"1960-07-17"</f>
        <v>1960-07-17</v>
      </c>
      <c r="C876" t="str">
        <f>"80 05 507546"</f>
        <v>80 05 507546</v>
      </c>
      <c r="D876" t="str">
        <f>"4279011643353652"</f>
        <v>4279011643353652</v>
      </c>
      <c r="E876" t="str">
        <f t="shared" si="139"/>
        <v>2021-05-31</v>
      </c>
      <c r="F876" t="str">
        <f t="shared" si="142"/>
        <v>+</v>
      </c>
      <c r="G876" t="str">
        <f t="shared" si="141"/>
        <v>+</v>
      </c>
      <c r="H876" t="str">
        <f>"40817810016991424891"</f>
        <v>40817810016991424891</v>
      </c>
      <c r="I876" t="str">
        <f>"8598"</f>
        <v>8598</v>
      </c>
      <c r="J876" t="str">
        <f>"0155"</f>
        <v>0155</v>
      </c>
      <c r="K876" t="str">
        <f>"60000.00"</f>
        <v>60000.00</v>
      </c>
      <c r="L876" t="str">
        <f>"450000 РЕСП БАШКОРТОСТАН   Г УФА   УЛ ЛЕНИНА д. 15 офис 0"</f>
        <v>450000 РЕСП БАШКОРТОСТАН   Г УФА   УЛ ЛЕНИНА д. 15 офис 0</v>
      </c>
      <c r="M876" t="str">
        <f t="shared" si="135"/>
        <v>2019-08-24</v>
      </c>
      <c r="N876" t="str">
        <f>"ПФР ПО РБ"</f>
        <v>ПФР ПО РБ</v>
      </c>
      <c r="O876" t="str">
        <f>"450000"</f>
        <v>450000</v>
      </c>
      <c r="P876" t="str">
        <f>"РЕСП БАШКОРТОСТАН"</f>
        <v>РЕСП БАШКОРТОСТАН</v>
      </c>
      <c r="Q876" t="str">
        <f>""</f>
        <v/>
      </c>
      <c r="R876" t="str">
        <f>"Г УФА"</f>
        <v>Г УФА</v>
      </c>
      <c r="S876" t="str">
        <f>""</f>
        <v/>
      </c>
      <c r="T876" t="str">
        <f>"УЛ БАТЫРСКАЯ"</f>
        <v>УЛ БАТЫРСКАЯ</v>
      </c>
      <c r="U876" s="1" t="str">
        <f>"16"</f>
        <v>16</v>
      </c>
      <c r="V876" s="1" t="str">
        <f>""</f>
        <v/>
      </c>
      <c r="W876" s="1" t="str">
        <f>""</f>
        <v/>
      </c>
      <c r="X876" s="1" t="str">
        <f>""</f>
        <v/>
      </c>
      <c r="Y876" s="1" t="str">
        <f>"121"</f>
        <v>121</v>
      </c>
      <c r="Z876" t="str">
        <f>"3472713024"</f>
        <v>3472713024</v>
      </c>
      <c r="AA876" t="str">
        <f>"3472557607"</f>
        <v>3472557607</v>
      </c>
      <c r="AB876" t="str">
        <f>"9050077591"</f>
        <v>9050077591</v>
      </c>
      <c r="AC876" t="str">
        <f>"9050077591"</f>
        <v>9050077591</v>
      </c>
      <c r="AD876" t="str">
        <f>"9050077591"</f>
        <v>9050077591</v>
      </c>
      <c r="AE876" t="str">
        <f>"9050077591"</f>
        <v>9050077591</v>
      </c>
    </row>
    <row r="877" spans="1:31" x14ac:dyDescent="0.45">
      <c r="A877" t="str">
        <f>"ГЕРАСИМОВА ТАТЬЯНА ВЛАДИМИРОВНА"</f>
        <v>ГЕРАСИМОВА ТАТЬЯНА ВЛАДИМИРОВНА</v>
      </c>
      <c r="B877" t="str">
        <f>"1963-05-25"</f>
        <v>1963-05-25</v>
      </c>
      <c r="C877" t="str">
        <f>"80 11 349023"</f>
        <v>80 11 349023</v>
      </c>
      <c r="D877" t="str">
        <f>"4854630379535373"</f>
        <v>4854630379535373</v>
      </c>
      <c r="E877" t="str">
        <f>"2021-04-30"</f>
        <v>2021-04-30</v>
      </c>
      <c r="F877" t="str">
        <f t="shared" si="142"/>
        <v>+</v>
      </c>
      <c r="G877" t="str">
        <f t="shared" si="141"/>
        <v>+</v>
      </c>
      <c r="H877" t="str">
        <f>"40817810216991428260"</f>
        <v>40817810216991428260</v>
      </c>
      <c r="I877" t="str">
        <f>"8598"</f>
        <v>8598</v>
      </c>
      <c r="J877" t="str">
        <f>"0153"</f>
        <v>0153</v>
      </c>
      <c r="K877" t="str">
        <f>"210000.00"</f>
        <v>210000.00</v>
      </c>
      <c r="L877" t="str">
        <f>"450000 РЕСП БАШКОРТОСТАН   Г УФА   УЛ СОВЕТСКАЯ д. 15 корп. 13"</f>
        <v>450000 РЕСП БАШКОРТОСТАН   Г УФА   УЛ СОВЕТСКАЯ д. 15 корп. 13</v>
      </c>
      <c r="M877" t="str">
        <f t="shared" si="135"/>
        <v>2019-08-24</v>
      </c>
      <c r="N877" t="str">
        <f>"ПЕНСИОННЫЙ ФОНД"</f>
        <v>ПЕНСИОННЫЙ ФОНД</v>
      </c>
      <c r="O877" t="str">
        <f>"450000"</f>
        <v>450000</v>
      </c>
      <c r="P877" t="str">
        <f>"РЕСП БАШКОРТОСТАН"</f>
        <v>РЕСП БАШКОРТОСТАН</v>
      </c>
      <c r="Q877" t="str">
        <f>""</f>
        <v/>
      </c>
      <c r="R877" t="str">
        <f>"Г УФА"</f>
        <v>Г УФА</v>
      </c>
      <c r="S877" t="str">
        <f>""</f>
        <v/>
      </c>
      <c r="T877" t="str">
        <f>"УЛ ЦЮРУПЫ"</f>
        <v>УЛ ЦЮРУПЫ</v>
      </c>
      <c r="U877" s="1" t="str">
        <f>"83"</f>
        <v>83</v>
      </c>
      <c r="V877" s="1" t="str">
        <f>""</f>
        <v/>
      </c>
      <c r="W877" s="1" t="str">
        <f>""</f>
        <v/>
      </c>
      <c r="X877" s="1" t="str">
        <f>""</f>
        <v/>
      </c>
      <c r="Y877" s="1" t="str">
        <f>"75"</f>
        <v>75</v>
      </c>
      <c r="Z877" t="str">
        <f>""</f>
        <v/>
      </c>
      <c r="AA877" t="str">
        <f>"9874845555"</f>
        <v>9874845555</v>
      </c>
      <c r="AB877" t="str">
        <f>"9874845555"</f>
        <v>9874845555</v>
      </c>
      <c r="AC877" t="str">
        <f>"9874845555"</f>
        <v>9874845555</v>
      </c>
      <c r="AD877" t="str">
        <f>"9874845555"</f>
        <v>9874845555</v>
      </c>
      <c r="AE877" t="str">
        <f>""</f>
        <v/>
      </c>
    </row>
    <row r="878" spans="1:31" x14ac:dyDescent="0.45">
      <c r="A878" t="str">
        <f>"КОЗЫРА ИВАН ПЕТРОВИЧ"</f>
        <v>КОЗЫРА ИВАН ПЕТРОВИЧ</v>
      </c>
      <c r="B878" t="str">
        <f>"1980-02-06"</f>
        <v>1980-02-06</v>
      </c>
      <c r="C878" t="str">
        <f>"71 13 020882"</f>
        <v>71 13 020882</v>
      </c>
      <c r="D878" t="str">
        <f>"4854630377451953"</f>
        <v>4854630377451953</v>
      </c>
      <c r="E878" t="str">
        <f>"2021-04-30"</f>
        <v>2021-04-30</v>
      </c>
      <c r="F878" t="str">
        <f t="shared" si="142"/>
        <v>+</v>
      </c>
      <c r="G878" t="str">
        <f t="shared" si="141"/>
        <v>+</v>
      </c>
      <c r="H878" t="str">
        <f>"40817810216992244825"</f>
        <v>40817810216992244825</v>
      </c>
      <c r="I878" t="str">
        <f>"8647"</f>
        <v>8647</v>
      </c>
      <c r="J878" t="str">
        <f>"0112"</f>
        <v>0112</v>
      </c>
      <c r="K878" t="str">
        <f>"200000.00"</f>
        <v>200000.00</v>
      </c>
      <c r="L878" t="str">
        <f>"625000 ОБЛ ТЮМЕНСКАЯ   Г ТЮМЕНЬ   ПРОЕЗД СОЛНЕЧНЫЙ д. 27 кв. 55"</f>
        <v>625000 ОБЛ ТЮМЕНСКАЯ   Г ТЮМЕНЬ   ПРОЕЗД СОЛНЕЧНЫЙ д. 27 кв. 55</v>
      </c>
      <c r="M878" t="str">
        <f t="shared" si="135"/>
        <v>2019-08-24</v>
      </c>
      <c r="N878" t="str">
        <f>"-"</f>
        <v>-</v>
      </c>
      <c r="O878" t="str">
        <f>"625000"</f>
        <v>625000</v>
      </c>
      <c r="P878" t="str">
        <f>"ОБЛ ТЮМЕНСКАЯ"</f>
        <v>ОБЛ ТЮМЕНСКАЯ</v>
      </c>
      <c r="Q878" t="str">
        <f>""</f>
        <v/>
      </c>
      <c r="R878" t="str">
        <f>"Г ТЮМЕНЬ"</f>
        <v>Г ТЮМЕНЬ</v>
      </c>
      <c r="S878" t="str">
        <f>""</f>
        <v/>
      </c>
      <c r="T878" t="str">
        <f>"ПРОЕЗД СОЛНЕЧНЫЙ"</f>
        <v>ПРОЕЗД СОЛНЕЧНЫЙ</v>
      </c>
      <c r="U878" s="1" t="str">
        <f>"27"</f>
        <v>27</v>
      </c>
      <c r="V878" s="1" t="str">
        <f>""</f>
        <v/>
      </c>
      <c r="W878" s="1" t="str">
        <f>""</f>
        <v/>
      </c>
      <c r="X878" s="1" t="str">
        <f>""</f>
        <v/>
      </c>
      <c r="Y878" s="1" t="str">
        <f>"55"</f>
        <v>55</v>
      </c>
      <c r="Z878" t="str">
        <f>""</f>
        <v/>
      </c>
      <c r="AA878" t="str">
        <f>"9220409887"</f>
        <v>9220409887</v>
      </c>
      <c r="AB878" t="str">
        <f>"9058253777"</f>
        <v>9058253777</v>
      </c>
      <c r="AC878" t="str">
        <f>"9220409887"</f>
        <v>9220409887</v>
      </c>
      <c r="AD878" t="str">
        <f>"9058253777"</f>
        <v>9058253777</v>
      </c>
      <c r="AE878" t="str">
        <f>""</f>
        <v/>
      </c>
    </row>
    <row r="879" spans="1:31" x14ac:dyDescent="0.45">
      <c r="A879" t="str">
        <f>"МИКАИЛОВА ЭЛЬВИРА НАЗИРОВНА"</f>
        <v>МИКАИЛОВА ЭЛЬВИРА НАЗИРОВНА</v>
      </c>
      <c r="B879" t="str">
        <f>"1970-06-13"</f>
        <v>1970-06-13</v>
      </c>
      <c r="C879" t="str">
        <f>"67 15 479195"</f>
        <v>67 15 479195</v>
      </c>
      <c r="D879" t="str">
        <f>"4854630385983302"</f>
        <v>4854630385983302</v>
      </c>
      <c r="E879" t="str">
        <f>"2020-11-30"</f>
        <v>2020-11-30</v>
      </c>
      <c r="F879" t="str">
        <f t="shared" si="142"/>
        <v>+</v>
      </c>
      <c r="G879" t="str">
        <f t="shared" si="141"/>
        <v>+</v>
      </c>
      <c r="H879" t="str">
        <f>"40817810516992400149"</f>
        <v>40817810516992400149</v>
      </c>
      <c r="I879" t="str">
        <f>"5940"</f>
        <v>5940</v>
      </c>
      <c r="J879" t="str">
        <f>"0029"</f>
        <v>0029</v>
      </c>
      <c r="K879" t="str">
        <f>"39000.00"</f>
        <v>39000.00</v>
      </c>
      <c r="L879" t="str">
        <f>"628400 ОБЛ ТЮМЕНСКАЯ   Г СУРГУТ   УЛ БЕРЕГОВАЯ д. 70"</f>
        <v>628400 ОБЛ ТЮМЕНСКАЯ   Г СУРГУТ   УЛ БЕРЕГОВАЯ д. 70</v>
      </c>
      <c r="M879" t="str">
        <f t="shared" si="135"/>
        <v>2019-08-24</v>
      </c>
      <c r="N879" t="str">
        <f>"БУ ХМАО-ЮГРЫ СКВД"</f>
        <v>БУ ХМАО-ЮГРЫ СКВД</v>
      </c>
      <c r="O879" t="str">
        <f>"628400"</f>
        <v>628400</v>
      </c>
      <c r="P879" t="str">
        <f>"ОБЛ ТЮМЕНСКАЯ"</f>
        <v>ОБЛ ТЮМЕНСКАЯ</v>
      </c>
      <c r="Q879" t="str">
        <f>""</f>
        <v/>
      </c>
      <c r="R879" t="str">
        <f>"Г СУРГУТ"</f>
        <v>Г СУРГУТ</v>
      </c>
      <c r="S879" t="str">
        <f>""</f>
        <v/>
      </c>
      <c r="T879" t="str">
        <f>"ПР-КТ КОМСОМОЛЬСКИЙ"</f>
        <v>ПР-КТ КОМСОМОЛЬСКИЙ</v>
      </c>
      <c r="U879" s="1" t="str">
        <f>"11"</f>
        <v>11</v>
      </c>
      <c r="V879" s="1" t="str">
        <f>""</f>
        <v/>
      </c>
      <c r="W879" s="1" t="str">
        <f>""</f>
        <v/>
      </c>
      <c r="X879" s="1" t="str">
        <f>""</f>
        <v/>
      </c>
      <c r="Y879" s="1" t="str">
        <f>"77"</f>
        <v>77</v>
      </c>
      <c r="Z879" t="str">
        <f>""</f>
        <v/>
      </c>
      <c r="AA879" t="str">
        <f>"9227772593"</f>
        <v>9227772593</v>
      </c>
      <c r="AB879" t="str">
        <f>"9128157322"</f>
        <v>9128157322</v>
      </c>
      <c r="AC879" t="str">
        <f>"9227772593"</f>
        <v>9227772593</v>
      </c>
      <c r="AD879" t="str">
        <f>"9128157322"</f>
        <v>9128157322</v>
      </c>
      <c r="AE879" t="str">
        <f>""</f>
        <v/>
      </c>
    </row>
    <row r="880" spans="1:31" x14ac:dyDescent="0.45">
      <c r="A880" t="str">
        <f>"ПИЧУГИН СЕРГЕЙ АЛЕКСАНДРОВИЧ"</f>
        <v>ПИЧУГИН СЕРГЕЙ АЛЕКСАНДРОВИЧ</v>
      </c>
      <c r="B880" t="str">
        <f>"1986-07-23"</f>
        <v>1986-07-23</v>
      </c>
      <c r="C880" t="str">
        <f>"65 07 284815"</f>
        <v>65 07 284815</v>
      </c>
      <c r="D880" t="str">
        <f>"4854630214546676"</f>
        <v>4854630214546676</v>
      </c>
      <c r="E880" t="str">
        <f>"2021-04-30"</f>
        <v>2021-04-30</v>
      </c>
      <c r="F880" t="str">
        <f t="shared" si="142"/>
        <v>+</v>
      </c>
      <c r="G880" t="str">
        <f t="shared" si="141"/>
        <v>+</v>
      </c>
      <c r="H880" t="str">
        <f>"40817810416991428303"</f>
        <v>40817810416991428303</v>
      </c>
      <c r="I880" t="str">
        <f>"7003"</f>
        <v>7003</v>
      </c>
      <c r="J880" t="str">
        <f>"0320"</f>
        <v>0320</v>
      </c>
      <c r="K880" t="str">
        <f>"30000.00"</f>
        <v>30000.00</v>
      </c>
      <c r="L880" t="str">
        <f>"620000 ОБЛ СВЕРДЛОВСКАЯ   Г ЕКАТЕРИНБУРГ   УЛ ЦИАЛКОВСКОГО д. 66"</f>
        <v>620000 ОБЛ СВЕРДЛОВСКАЯ   Г ЕКАТЕРИНБУРГ   УЛ ЦИАЛКОВСКОГО д. 66</v>
      </c>
      <c r="M880" t="str">
        <f t="shared" si="135"/>
        <v>2019-08-24</v>
      </c>
      <c r="N880" t="str">
        <f>"УВД ЧКАЛОВСКОГО Р-НА"</f>
        <v>УВД ЧКАЛОВСКОГО Р-НА</v>
      </c>
      <c r="O880" t="str">
        <f>"620000"</f>
        <v>620000</v>
      </c>
      <c r="P880" t="str">
        <f>"ОБЛ СВЕРДЛОВСКАЯ"</f>
        <v>ОБЛ СВЕРДЛОВСКАЯ</v>
      </c>
      <c r="Q880" t="str">
        <f>""</f>
        <v/>
      </c>
      <c r="R880" t="str">
        <f>"Г ЕКАТЕРИНБУРГ"</f>
        <v>Г ЕКАТЕРИНБУРГ</v>
      </c>
      <c r="S880" t="str">
        <f>""</f>
        <v/>
      </c>
      <c r="T880" t="str">
        <f>"УЛ ПОСАДСКАЯ"</f>
        <v>УЛ ПОСАДСКАЯ</v>
      </c>
      <c r="U880" s="1" t="str">
        <f>"81"</f>
        <v>81</v>
      </c>
      <c r="V880" s="1" t="str">
        <f>""</f>
        <v/>
      </c>
      <c r="W880" s="1" t="str">
        <f>""</f>
        <v/>
      </c>
      <c r="X880" s="1" t="str">
        <f>""</f>
        <v/>
      </c>
      <c r="Y880" s="1" t="str">
        <f>"6"</f>
        <v>6</v>
      </c>
      <c r="Z880" t="str">
        <f>"9527437559"</f>
        <v>9527437559</v>
      </c>
      <c r="AA880" t="str">
        <f>"3432125494"</f>
        <v>3432125494</v>
      </c>
      <c r="AB880" t="str">
        <f>"9221523569"</f>
        <v>9221523569</v>
      </c>
      <c r="AC880" t="str">
        <f>"3432125494"</f>
        <v>3432125494</v>
      </c>
      <c r="AD880" t="str">
        <f>"9527437559"</f>
        <v>9527437559</v>
      </c>
      <c r="AE880" t="str">
        <f>"9527437559"</f>
        <v>9527437559</v>
      </c>
    </row>
    <row r="881" spans="1:31" x14ac:dyDescent="0.45">
      <c r="A881" t="str">
        <f>"НОВОТОРЖИНОВ ГЕОРГИЙ ВЛАДИМИРОВИЧ"</f>
        <v>НОВОТОРЖИНОВ ГЕОРГИЙ ВЛАДИМИРОВИЧ</v>
      </c>
      <c r="B881" t="str">
        <f>"1966-06-06"</f>
        <v>1966-06-06</v>
      </c>
      <c r="C881" t="str">
        <f>"65 11 142492"</f>
        <v>65 11 142492</v>
      </c>
      <c r="D881" t="str">
        <f>"4854630258717407"</f>
        <v>4854630258717407</v>
      </c>
      <c r="E881" t="str">
        <f>"2020-04-30"</f>
        <v>2020-04-30</v>
      </c>
      <c r="F881" t="str">
        <f t="shared" si="142"/>
        <v>+</v>
      </c>
      <c r="G881" t="str">
        <f t="shared" si="141"/>
        <v>+</v>
      </c>
      <c r="H881" t="str">
        <f>"40817810516991428326"</f>
        <v>40817810516991428326</v>
      </c>
      <c r="I881" t="str">
        <f>"7003"</f>
        <v>7003</v>
      </c>
      <c r="J881" t="str">
        <f>"0637"</f>
        <v>0637</v>
      </c>
      <c r="K881" t="str">
        <f>"10000.00"</f>
        <v>10000.00</v>
      </c>
      <c r="L881" t="str">
        <f>"624282 ОБЛ СВЕРДЛОВСКАЯ   Г АСБЕСТ П БЕЛОКАМЕННЫЙ УЛ ОКТЯБРЬСКАЯ д. 1"</f>
        <v>624282 ОБЛ СВЕРДЛОВСКАЯ   Г АСБЕСТ П БЕЛОКАМЕННЫЙ УЛ ОКТЯБРЬСКАЯ д. 1</v>
      </c>
      <c r="M881" t="str">
        <f t="shared" si="135"/>
        <v>2019-08-24</v>
      </c>
      <c r="N881" t="str">
        <f>"ОАО ПТИЦЕФАБРИКА СВЕРДЛОВСКАЯ"</f>
        <v>ОАО ПТИЦЕФАБРИКА СВЕРДЛОВСКАЯ</v>
      </c>
      <c r="O881" t="str">
        <f>"624282"</f>
        <v>624282</v>
      </c>
      <c r="P881" t="str">
        <f>"ОБЛ СВЕРДЛОВСКАЯ"</f>
        <v>ОБЛ СВЕРДЛОВСКАЯ</v>
      </c>
      <c r="Q881" t="str">
        <f>""</f>
        <v/>
      </c>
      <c r="R881" t="str">
        <f>"Г АСБЕСТ"</f>
        <v>Г АСБЕСТ</v>
      </c>
      <c r="S881" t="str">
        <f>"П БЕЛОКАМЕННЫЙ"</f>
        <v>П БЕЛОКАМЕННЫЙ</v>
      </c>
      <c r="T881" t="str">
        <f>"УЛ МОЛОДЕЖНАЯ"</f>
        <v>УЛ МОЛОДЕЖНАЯ</v>
      </c>
      <c r="U881" s="1" t="str">
        <f>"34"</f>
        <v>34</v>
      </c>
      <c r="V881" s="1" t="str">
        <f>""</f>
        <v/>
      </c>
      <c r="W881" s="1" t="str">
        <f>""</f>
        <v/>
      </c>
      <c r="X881" s="1" t="str">
        <f>""</f>
        <v/>
      </c>
      <c r="Y881" s="1" t="str">
        <f>""</f>
        <v/>
      </c>
      <c r="Z881" t="str">
        <f>""</f>
        <v/>
      </c>
      <c r="AA881" t="str">
        <f>"9028734769"</f>
        <v>9028734769</v>
      </c>
      <c r="AB881" t="str">
        <f>"9028734769"</f>
        <v>9028734769</v>
      </c>
      <c r="AC881" t="str">
        <f>"9028734769"</f>
        <v>9028734769</v>
      </c>
      <c r="AD881" t="str">
        <f>"9028734769"</f>
        <v>9028734769</v>
      </c>
      <c r="AE881" t="str">
        <f>""</f>
        <v/>
      </c>
    </row>
    <row r="882" spans="1:31" x14ac:dyDescent="0.45">
      <c r="A882" t="str">
        <f>"ИВАНОВА НАТАЛЬЯ АЛЕКСАНДРОВНА"</f>
        <v>ИВАНОВА НАТАЛЬЯ АЛЕКСАНДРОВНА</v>
      </c>
      <c r="B882" t="str">
        <f>"1960-04-09"</f>
        <v>1960-04-09</v>
      </c>
      <c r="C882" t="str">
        <f>"80 05 088897"</f>
        <v>80 05 088897</v>
      </c>
      <c r="D882" t="str">
        <f>"4854630355861512"</f>
        <v>4854630355861512</v>
      </c>
      <c r="E882" t="str">
        <f>"2021-04-30"</f>
        <v>2021-04-30</v>
      </c>
      <c r="F882" t="str">
        <f t="shared" si="142"/>
        <v>+</v>
      </c>
      <c r="G882" t="str">
        <f t="shared" si="141"/>
        <v>+</v>
      </c>
      <c r="H882" t="str">
        <f>"40817810716991424719"</f>
        <v>40817810716991424719</v>
      </c>
      <c r="I882" t="str">
        <f>"8598"</f>
        <v>8598</v>
      </c>
      <c r="J882" t="str">
        <f>"0190"</f>
        <v>0190</v>
      </c>
      <c r="K882" t="str">
        <f>"15000.00"</f>
        <v>15000.00</v>
      </c>
      <c r="L882" t="str">
        <f>"450000 РЕСП БАШКОРТОСТАН   Г УФА   УЛ 50 ЛЕТ ОКТЯБРЯ д. 39"</f>
        <v>450000 РЕСП БАШКОРТОСТАН   Г УФА   УЛ 50 ЛЕТ ОКТЯБРЯ д. 39</v>
      </c>
      <c r="M882" t="str">
        <f t="shared" si="135"/>
        <v>2019-08-24</v>
      </c>
      <c r="N882" t="s">
        <v>63</v>
      </c>
      <c r="O882" t="str">
        <f>"450000"</f>
        <v>450000</v>
      </c>
      <c r="P882" t="str">
        <f>"РЕСП БАШКОРТОСТАН"</f>
        <v>РЕСП БАШКОРТОСТАН</v>
      </c>
      <c r="Q882" t="str">
        <f>""</f>
        <v/>
      </c>
      <c r="R882" t="str">
        <f>"Г УФА"</f>
        <v>Г УФА</v>
      </c>
      <c r="S882" t="str">
        <f>""</f>
        <v/>
      </c>
      <c r="T882" t="str">
        <f>"УЛ УЛЬЯНОВЫХ"</f>
        <v>УЛ УЛЬЯНОВЫХ</v>
      </c>
      <c r="U882" s="1" t="str">
        <f>"11"</f>
        <v>11</v>
      </c>
      <c r="V882" s="1" t="str">
        <f>""</f>
        <v/>
      </c>
      <c r="W882" s="1" t="str">
        <f>"1"</f>
        <v>1</v>
      </c>
      <c r="X882" s="1" t="str">
        <f>""</f>
        <v/>
      </c>
      <c r="Y882" s="1" t="str">
        <f>"12"</f>
        <v>12</v>
      </c>
      <c r="Z882" t="str">
        <f>""</f>
        <v/>
      </c>
      <c r="AA882" t="str">
        <f>""</f>
        <v/>
      </c>
      <c r="AB882" t="str">
        <f>""</f>
        <v/>
      </c>
      <c r="AC882" t="str">
        <f>"3472430782"</f>
        <v>3472430782</v>
      </c>
      <c r="AD882" t="str">
        <f>"9177858106"</f>
        <v>9177858106</v>
      </c>
      <c r="AE882" t="str">
        <f>""</f>
        <v/>
      </c>
    </row>
    <row r="883" spans="1:31" x14ac:dyDescent="0.45">
      <c r="A883" t="str">
        <f>"МОРОЗОВ ВЛАДИМИР АЛЕКСАНДРОВИЧ"</f>
        <v>МОРОЗОВ ВЛАДИМИР АЛЕКСАНДРОВИЧ</v>
      </c>
      <c r="B883" t="str">
        <f>"1963-02-19"</f>
        <v>1963-02-19</v>
      </c>
      <c r="C883" t="str">
        <f>"65 08 343972"</f>
        <v>65 08 343972</v>
      </c>
      <c r="D883" t="str">
        <f>"4279011638641962"</f>
        <v>4279011638641962</v>
      </c>
      <c r="E883" t="str">
        <f t="shared" ref="E883:E904" si="143">"2021-05-31"</f>
        <v>2021-05-31</v>
      </c>
      <c r="F883" t="str">
        <f>"K"</f>
        <v>K</v>
      </c>
      <c r="G883" t="str">
        <f t="shared" si="141"/>
        <v>+</v>
      </c>
      <c r="H883" t="str">
        <f>"40817810216991424895"</f>
        <v>40817810216991424895</v>
      </c>
      <c r="I883" t="str">
        <f>"7003"</f>
        <v>7003</v>
      </c>
      <c r="J883" t="str">
        <f>"7770"</f>
        <v>7770</v>
      </c>
      <c r="K883" t="str">
        <f>"10000.00"</f>
        <v>10000.00</v>
      </c>
      <c r="L883" t="str">
        <f>"620000 ОБЛ СВЕРДЛОВСКАЯ   Г ЕКАТЕРИНБУРГ   ПР-КТ КОСМОНАВТОВ д. 18"</f>
        <v>620000 ОБЛ СВЕРДЛОВСКАЯ   Г ЕКАТЕРИНБУРГ   ПР-КТ КОСМОНАВТОВ д. 18</v>
      </c>
      <c r="M883" t="str">
        <f t="shared" si="135"/>
        <v>2019-08-24</v>
      </c>
      <c r="N883" t="str">
        <f>"АО ОКБ НОВАТОР"</f>
        <v>АО ОКБ НОВАТОР</v>
      </c>
      <c r="O883" t="str">
        <f>"620000"</f>
        <v>620000</v>
      </c>
      <c r="P883" t="str">
        <f>"ОБЛ СВЕРДЛОВСКАЯ"</f>
        <v>ОБЛ СВЕРДЛОВСКАЯ</v>
      </c>
      <c r="Q883" t="str">
        <f>""</f>
        <v/>
      </c>
      <c r="R883" t="str">
        <f>"Г ЕКАТЕРИНБУРГ"</f>
        <v>Г ЕКАТЕРИНБУРГ</v>
      </c>
      <c r="S883" t="str">
        <f>""</f>
        <v/>
      </c>
      <c r="T883" t="str">
        <f>"УЛ КИРОВГРАДСКАЯ"</f>
        <v>УЛ КИРОВГРАДСКАЯ</v>
      </c>
      <c r="U883" s="1" t="str">
        <f>"51"</f>
        <v>51</v>
      </c>
      <c r="V883" s="1" t="str">
        <f>""</f>
        <v/>
      </c>
      <c r="W883" s="1" t="str">
        <f>"Б"</f>
        <v>Б</v>
      </c>
      <c r="X883" s="1" t="str">
        <f>""</f>
        <v/>
      </c>
      <c r="Y883" s="1" t="str">
        <f>"7"</f>
        <v>7</v>
      </c>
      <c r="Z883" t="str">
        <f>"3433821211"</f>
        <v>3433821211</v>
      </c>
      <c r="AA883" t="str">
        <f>"9122762711"</f>
        <v>9122762711</v>
      </c>
      <c r="AB883" t="str">
        <f>"9122762711"</f>
        <v>9122762711</v>
      </c>
      <c r="AC883" t="str">
        <f>"9122762711"</f>
        <v>9122762711</v>
      </c>
      <c r="AD883" t="str">
        <f>"9122762711"</f>
        <v>9122762711</v>
      </c>
      <c r="AE883" t="str">
        <f>"3433821211"</f>
        <v>3433821211</v>
      </c>
    </row>
    <row r="884" spans="1:31" x14ac:dyDescent="0.45">
      <c r="A884" t="str">
        <f>"ОГОРОДНИКОВ КОНСТАНТИН ЛЕОНИДОВИЧ"</f>
        <v>ОГОРОДНИКОВ КОНСТАНТИН ЛЕОНИДОВИЧ</v>
      </c>
      <c r="B884" t="str">
        <f>"1992-05-01"</f>
        <v>1992-05-01</v>
      </c>
      <c r="C884" t="str">
        <f>"65 15 045577"</f>
        <v>65 15 045577</v>
      </c>
      <c r="D884" t="str">
        <f>"5484011607211472"</f>
        <v>5484011607211472</v>
      </c>
      <c r="E884" t="str">
        <f t="shared" si="143"/>
        <v>2021-05-31</v>
      </c>
      <c r="F884" t="str">
        <f>"+"</f>
        <v>+</v>
      </c>
      <c r="G884" t="str">
        <f t="shared" si="141"/>
        <v>+</v>
      </c>
      <c r="H884" t="str">
        <f>"40817810816991424897"</f>
        <v>40817810816991424897</v>
      </c>
      <c r="I884" t="str">
        <f>"7003"</f>
        <v>7003</v>
      </c>
      <c r="J884" t="str">
        <f>"7770"</f>
        <v>7770</v>
      </c>
      <c r="K884" t="str">
        <f>"50000.00"</f>
        <v>50000.00</v>
      </c>
      <c r="L884" t="str">
        <f>"620000 ОБЛ СВЕРДЛОВСКАЯ   Г ЕКАТЕРИНБУРГ   УЛ МОСКОВСКАЯ д. 11"</f>
        <v>620000 ОБЛ СВЕРДЛОВСКАЯ   Г ЕКАТЕРИНБУРГ   УЛ МОСКОВСКАЯ д. 11</v>
      </c>
      <c r="M884" t="str">
        <f t="shared" si="135"/>
        <v>2019-08-24</v>
      </c>
      <c r="N884" t="str">
        <f>"ПАО СБЕРБАНК"</f>
        <v>ПАО СБЕРБАНК</v>
      </c>
      <c r="O884" t="str">
        <f>"623851"</f>
        <v>623851</v>
      </c>
      <c r="P884" t="str">
        <f>"ОБЛ СВЕРДЛОВСКАЯ"</f>
        <v>ОБЛ СВЕРДЛОВСКАЯ</v>
      </c>
      <c r="Q884" t="str">
        <f>""</f>
        <v/>
      </c>
      <c r="R884" t="str">
        <f>"Г ИРБИТ"</f>
        <v>Г ИРБИТ</v>
      </c>
      <c r="S884" t="str">
        <f>""</f>
        <v/>
      </c>
      <c r="T884" t="str">
        <f>"УЛ СВЕРДЛОВА"</f>
        <v>УЛ СВЕРДЛОВА</v>
      </c>
      <c r="U884" s="1" t="str">
        <f>"12"</f>
        <v>12</v>
      </c>
      <c r="V884" s="1" t="str">
        <f>""</f>
        <v/>
      </c>
      <c r="W884" s="1" t="str">
        <f>""</f>
        <v/>
      </c>
      <c r="X884" s="1" t="str">
        <f>""</f>
        <v/>
      </c>
      <c r="Y884" s="1" t="str">
        <f>"100"</f>
        <v>100</v>
      </c>
      <c r="Z884" t="str">
        <f>"3433475078"</f>
        <v>3433475078</v>
      </c>
      <c r="AA884" t="str">
        <f>"9826741129"</f>
        <v>9826741129</v>
      </c>
      <c r="AB884" t="str">
        <f>"9826741129"</f>
        <v>9826741129</v>
      </c>
      <c r="AC884" t="str">
        <f>"9826741129"</f>
        <v>9826741129</v>
      </c>
      <c r="AD884" t="str">
        <f>"9826741129"</f>
        <v>9826741129</v>
      </c>
      <c r="AE884" t="str">
        <f>"3433475078"</f>
        <v>3433475078</v>
      </c>
    </row>
    <row r="885" spans="1:31" x14ac:dyDescent="0.45">
      <c r="A885" t="str">
        <f>"ХАЙДАРОВА НИНА ИВАНОВНА"</f>
        <v>ХАЙДАРОВА НИНА ИВАНОВНА</v>
      </c>
      <c r="B885" t="str">
        <f>"1955-06-19"</f>
        <v>1955-06-19</v>
      </c>
      <c r="C885" t="str">
        <f>"80 01 301802"</f>
        <v>80 01 301802</v>
      </c>
      <c r="D885" t="str">
        <f>"4279011639846867"</f>
        <v>4279011639846867</v>
      </c>
      <c r="E885" t="str">
        <f t="shared" si="143"/>
        <v>2021-05-31</v>
      </c>
      <c r="F885" t="str">
        <f>"+"</f>
        <v>+</v>
      </c>
      <c r="G885" t="str">
        <f t="shared" si="141"/>
        <v>+</v>
      </c>
      <c r="H885" t="str">
        <f>"40817810016991424901"</f>
        <v>40817810016991424901</v>
      </c>
      <c r="I885" t="str">
        <f>"8598"</f>
        <v>8598</v>
      </c>
      <c r="J885" t="str">
        <f>"0647"</f>
        <v>0647</v>
      </c>
      <c r="K885" t="str">
        <f>"27000.00"</f>
        <v>27000.00</v>
      </c>
      <c r="L885" t="str">
        <f>"452750 РЕСП БАШКОРТОСТАН Р-Н ТУЙМАЗИНСКИЙ Г ТУЙМАЗЫ   УЛ ЧАПАЕВА д. 2/1"</f>
        <v>452750 РЕСП БАШКОРТОСТАН Р-Н ТУЙМАЗИНСКИЙ Г ТУЙМАЗЫ   УЛ ЧАПАЕВА д. 2/1</v>
      </c>
      <c r="M885" t="str">
        <f t="shared" si="135"/>
        <v>2019-08-24</v>
      </c>
      <c r="N885" t="str">
        <f>"ПФР"</f>
        <v>ПФР</v>
      </c>
      <c r="O885" t="str">
        <f>"452784"</f>
        <v>452784</v>
      </c>
      <c r="P885" t="str">
        <f>"РЕСП БАШКОРТОСТАН"</f>
        <v>РЕСП БАШКОРТОСТАН</v>
      </c>
      <c r="Q885" t="str">
        <f>"Р-Н ТУЙМАЗИНСКИЙ"</f>
        <v>Р-Н ТУЙМАЗИНСКИЙ</v>
      </c>
      <c r="R885" t="str">
        <f>""</f>
        <v/>
      </c>
      <c r="S885" t="str">
        <f>"С СЕРАФИМОВСКИЙ"</f>
        <v>С СЕРАФИМОВСКИЙ</v>
      </c>
      <c r="T885" t="str">
        <f>"УЛ ОКТЯБРЬСКАЯ"</f>
        <v>УЛ ОКТЯБРЬСКАЯ</v>
      </c>
      <c r="U885" s="1" t="str">
        <f>"36"</f>
        <v>36</v>
      </c>
      <c r="V885" s="1" t="str">
        <f>""</f>
        <v/>
      </c>
      <c r="W885" s="1" t="str">
        <f>""</f>
        <v/>
      </c>
      <c r="X885" s="1" t="str">
        <f>""</f>
        <v/>
      </c>
      <c r="Y885" s="1" t="str">
        <f>"18"</f>
        <v>18</v>
      </c>
      <c r="Z885" t="str">
        <f>""</f>
        <v/>
      </c>
      <c r="AA885" t="str">
        <f>"3478245847"</f>
        <v>3478245847</v>
      </c>
      <c r="AB885" t="str">
        <f>"9378384255"</f>
        <v>9378384255</v>
      </c>
      <c r="AC885" t="str">
        <f>"3478245847"</f>
        <v>3478245847</v>
      </c>
      <c r="AD885" t="str">
        <f>"9378384255"</f>
        <v>9378384255</v>
      </c>
      <c r="AE885" t="str">
        <f>""</f>
        <v/>
      </c>
    </row>
    <row r="886" spans="1:31" x14ac:dyDescent="0.45">
      <c r="A886" t="str">
        <f>"КИРЕЕВ КОНСТАНТИН ЭДУАРДОВИЧ"</f>
        <v>КИРЕЕВ КОНСТАНТИН ЭДУАРДОВИЧ</v>
      </c>
      <c r="B886" t="str">
        <f>"1986-11-09"</f>
        <v>1986-11-09</v>
      </c>
      <c r="C886" t="str">
        <f>"75 05 791140"</f>
        <v>75 05 791140</v>
      </c>
      <c r="D886" t="str">
        <f>"4279011632766039"</f>
        <v>4279011632766039</v>
      </c>
      <c r="E886" t="str">
        <f t="shared" si="143"/>
        <v>2021-05-31</v>
      </c>
      <c r="F886" t="str">
        <f>"+"</f>
        <v>+</v>
      </c>
      <c r="G886" t="str">
        <f t="shared" si="141"/>
        <v>+</v>
      </c>
      <c r="H886" t="str">
        <f>"40817810116991424908"</f>
        <v>40817810116991424908</v>
      </c>
      <c r="I886" t="str">
        <f>"8597"</f>
        <v>8597</v>
      </c>
      <c r="J886" t="str">
        <f>"7770"</f>
        <v>7770</v>
      </c>
      <c r="K886" t="str">
        <f>"185000.00"</f>
        <v>185000.00</v>
      </c>
      <c r="L886" t="str">
        <f>"454000 ОБЛ ЧЕЛЯБИНСКАЯ   Г ЧЕЛЯБИНСК   УЛ ПЕРВОЙ ПЯТИЛЕТКИ д. 57"</f>
        <v>454000 ОБЛ ЧЕЛЯБИНСКАЯ   Г ЧЕЛЯБИНСК   УЛ ПЕРВОЙ ПЯТИЛЕТКИ д. 57</v>
      </c>
      <c r="M886" t="str">
        <f t="shared" si="135"/>
        <v>2019-08-24</v>
      </c>
      <c r="N886" t="str">
        <f>"МКУ КРУ"</f>
        <v>МКУ КРУ</v>
      </c>
      <c r="O886" t="str">
        <f>"454000"</f>
        <v>454000</v>
      </c>
      <c r="P886" t="str">
        <f>"ОБЛ ЧЕЛЯБИНСКАЯ"</f>
        <v>ОБЛ ЧЕЛЯБИНСКАЯ</v>
      </c>
      <c r="Q886" t="str">
        <f>""</f>
        <v/>
      </c>
      <c r="R886" t="str">
        <f>"Г ЧЕЛЯБИНСК"</f>
        <v>Г ЧЕЛЯБИНСК</v>
      </c>
      <c r="S886" t="str">
        <f>""</f>
        <v/>
      </c>
      <c r="T886" t="str">
        <f>"УЛ КУЛЬТУРЫ"</f>
        <v>УЛ КУЛЬТУРЫ</v>
      </c>
      <c r="U886" s="1" t="str">
        <f>"59"</f>
        <v>59</v>
      </c>
      <c r="V886" s="1" t="str">
        <f>""</f>
        <v/>
      </c>
      <c r="W886" s="1" t="str">
        <f>""</f>
        <v/>
      </c>
      <c r="X886" s="1" t="str">
        <f>""</f>
        <v/>
      </c>
      <c r="Y886" s="1" t="str">
        <f>"29"</f>
        <v>29</v>
      </c>
      <c r="Z886" t="str">
        <f>"3512452632"</f>
        <v>3512452632</v>
      </c>
      <c r="AA886" t="str">
        <f>"9823634889"</f>
        <v>9823634889</v>
      </c>
      <c r="AB886" t="str">
        <f>"9823634889"</f>
        <v>9823634889</v>
      </c>
      <c r="AC886" t="str">
        <f>"0000000000"</f>
        <v>0000000000</v>
      </c>
      <c r="AD886" t="str">
        <f>"9517968199"</f>
        <v>9517968199</v>
      </c>
      <c r="AE886" t="str">
        <f>"3512452632"</f>
        <v>3512452632</v>
      </c>
    </row>
    <row r="887" spans="1:31" x14ac:dyDescent="0.45">
      <c r="A887" t="str">
        <f>"ДОЛИНКО НАДЕЖДА ВАДИМОВНА"</f>
        <v>ДОЛИНКО НАДЕЖДА ВАДИМОВНА</v>
      </c>
      <c r="B887" t="str">
        <f>"1991-11-02"</f>
        <v>1991-11-02</v>
      </c>
      <c r="C887" t="str">
        <f>"65 14 808327"</f>
        <v>65 14 808327</v>
      </c>
      <c r="D887" t="str">
        <f>"4279011617844413"</f>
        <v>4279011617844413</v>
      </c>
      <c r="E887" t="str">
        <f t="shared" si="143"/>
        <v>2021-05-31</v>
      </c>
      <c r="F887" t="str">
        <f>"+"</f>
        <v>+</v>
      </c>
      <c r="G887" t="str">
        <f t="shared" si="141"/>
        <v>+</v>
      </c>
      <c r="H887" t="str">
        <f>"40817810416991424925"</f>
        <v>40817810416991424925</v>
      </c>
      <c r="I887" t="str">
        <f>"7003"</f>
        <v>7003</v>
      </c>
      <c r="J887" t="str">
        <f>"7777"</f>
        <v>7777</v>
      </c>
      <c r="K887" t="str">
        <f>"400000.00"</f>
        <v>400000.00</v>
      </c>
      <c r="L887" t="str">
        <f>"620000 ОБЛ СВЕРДЛОВСКАЯ   Г ТАВДА   УЛ ЛЕНИНА д. 83 стр. А"</f>
        <v>620000 ОБЛ СВЕРДЛОВСКАЯ   Г ТАВДА   УЛ ЛЕНИНА д. 83 стр. А</v>
      </c>
      <c r="M887" t="str">
        <f t="shared" si="135"/>
        <v>2019-08-24</v>
      </c>
      <c r="N887" t="str">
        <f>"МВД ТАВДИНСКИЙ"</f>
        <v>МВД ТАВДИНСКИЙ</v>
      </c>
      <c r="O887" t="str">
        <f>"620000"</f>
        <v>620000</v>
      </c>
      <c r="P887" t="str">
        <f>"ОБЛ СВЕРДЛОВСКАЯ"</f>
        <v>ОБЛ СВЕРДЛОВСКАЯ</v>
      </c>
      <c r="Q887" t="str">
        <f>""</f>
        <v/>
      </c>
      <c r="R887" t="str">
        <f>"Г ТАВДА"</f>
        <v>Г ТАВДА</v>
      </c>
      <c r="S887" t="str">
        <f>""</f>
        <v/>
      </c>
      <c r="T887" t="str">
        <f>"УЛ ФАНЕРЩИКОВ"</f>
        <v>УЛ ФАНЕРЩИКОВ</v>
      </c>
      <c r="U887" s="1" t="str">
        <f>"7"</f>
        <v>7</v>
      </c>
      <c r="V887" s="1" t="str">
        <f>""</f>
        <v/>
      </c>
      <c r="W887" s="1" t="str">
        <f>""</f>
        <v/>
      </c>
      <c r="X887" s="1" t="str">
        <f>""</f>
        <v/>
      </c>
      <c r="Y887" s="1" t="str">
        <f>"88"</f>
        <v>88</v>
      </c>
      <c r="Z887" t="str">
        <f>"3436052961"</f>
        <v>3436052961</v>
      </c>
      <c r="AA887" t="str">
        <f>"3436030625"</f>
        <v>3436030625</v>
      </c>
      <c r="AB887" t="str">
        <f>"9089264909"</f>
        <v>9089264909</v>
      </c>
      <c r="AC887" t="str">
        <f>"9089264909"</f>
        <v>9089264909</v>
      </c>
      <c r="AD887" t="str">
        <f>"9089264909"</f>
        <v>9089264909</v>
      </c>
      <c r="AE887" t="str">
        <f>"3436022950"</f>
        <v>3436022950</v>
      </c>
    </row>
    <row r="888" spans="1:31" x14ac:dyDescent="0.45">
      <c r="A888" t="str">
        <f>"МАКСИМОВ КОНСТАНТИН ИВАНОВИЧ"</f>
        <v>МАКСИМОВ КОНСТАНТИН ИВАНОВИЧ</v>
      </c>
      <c r="B888" t="str">
        <f>"1973-06-25"</f>
        <v>1973-06-25</v>
      </c>
      <c r="C888" t="str">
        <f>"75 18 254108"</f>
        <v>75 18 254108</v>
      </c>
      <c r="D888" t="str">
        <f>"4279011655161308"</f>
        <v>4279011655161308</v>
      </c>
      <c r="E888" t="str">
        <f t="shared" si="143"/>
        <v>2021-05-31</v>
      </c>
      <c r="F888" t="str">
        <f>"Y"</f>
        <v>Y</v>
      </c>
      <c r="G888" t="str">
        <f>"Q"</f>
        <v>Q</v>
      </c>
      <c r="H888" t="str">
        <f>"40817810516991424935"</f>
        <v>40817810516991424935</v>
      </c>
      <c r="I888" t="str">
        <f>"8597"</f>
        <v>8597</v>
      </c>
      <c r="J888" t="str">
        <f>"0561"</f>
        <v>0561</v>
      </c>
      <c r="K888" t="str">
        <f>"0.00"</f>
        <v>0.00</v>
      </c>
      <c r="L888" t="str">
        <f>"999999 Г НЕ УКАЗАН         д. 1"</f>
        <v>999999 Г НЕ УКАЗАН         д. 1</v>
      </c>
      <c r="M888" t="str">
        <f t="shared" si="135"/>
        <v>2019-08-24</v>
      </c>
      <c r="N888" t="str">
        <f>"НЕ УКАЗАНО"</f>
        <v>НЕ УКАЗАНО</v>
      </c>
      <c r="O888" t="str">
        <f>"454021"</f>
        <v>454021</v>
      </c>
      <c r="P888" t="str">
        <f>"ОБЛ ЧЕЛЯБИНСКАЯ"</f>
        <v>ОБЛ ЧЕЛЯБИНСКАЯ</v>
      </c>
      <c r="Q888" t="str">
        <f>""</f>
        <v/>
      </c>
      <c r="R888" t="str">
        <f>"Г ЧЕЛЯБИНСК"</f>
        <v>Г ЧЕЛЯБИНСК</v>
      </c>
      <c r="S888" t="str">
        <f>""</f>
        <v/>
      </c>
      <c r="T888" t="str">
        <f>"УЛ СОЛНЕЧНАЯ"</f>
        <v>УЛ СОЛНЕЧНАЯ</v>
      </c>
      <c r="U888" s="1" t="str">
        <f>"42"</f>
        <v>42</v>
      </c>
      <c r="V888" s="1" t="str">
        <f>""</f>
        <v/>
      </c>
      <c r="W888" s="1" t="str">
        <f>""</f>
        <v/>
      </c>
      <c r="X888" s="1" t="str">
        <f>""</f>
        <v/>
      </c>
      <c r="Y888" s="1" t="str">
        <f>"21"</f>
        <v>21</v>
      </c>
      <c r="Z888" t="str">
        <f>""</f>
        <v/>
      </c>
      <c r="AA888" t="str">
        <f>"9822851030"</f>
        <v>9822851030</v>
      </c>
      <c r="AB888" t="str">
        <f>"9058378874"</f>
        <v>9058378874</v>
      </c>
      <c r="AC888" t="str">
        <f>""</f>
        <v/>
      </c>
      <c r="AD888" t="str">
        <f>"9058378874"</f>
        <v>9058378874</v>
      </c>
      <c r="AE888" t="str">
        <f>""</f>
        <v/>
      </c>
    </row>
    <row r="889" spans="1:31" x14ac:dyDescent="0.45">
      <c r="A889" t="str">
        <f>"ВОЛКОВ АЛЕКСАНДР ВЛАДИМИРОВИЧ"</f>
        <v>ВОЛКОВ АЛЕКСАНДР ВЛАДИМИРОВИЧ</v>
      </c>
      <c r="B889" t="str">
        <f>"1975-10-15"</f>
        <v>1975-10-15</v>
      </c>
      <c r="C889" t="str">
        <f>"65 00 724105"</f>
        <v>65 00 724105</v>
      </c>
      <c r="D889" t="str">
        <f>"4279011685994892"</f>
        <v>4279011685994892</v>
      </c>
      <c r="E889" t="str">
        <f t="shared" si="143"/>
        <v>2021-05-31</v>
      </c>
      <c r="F889" t="str">
        <f t="shared" ref="F889:G891" si="144">"+"</f>
        <v>+</v>
      </c>
      <c r="G889" t="str">
        <f t="shared" si="144"/>
        <v>+</v>
      </c>
      <c r="H889" t="str">
        <f>"40817810816991424936"</f>
        <v>40817810816991424936</v>
      </c>
      <c r="I889" t="str">
        <f>"7003"</f>
        <v>7003</v>
      </c>
      <c r="J889" t="str">
        <f>"7777"</f>
        <v>7777</v>
      </c>
      <c r="K889" t="str">
        <f>"87000.00"</f>
        <v>87000.00</v>
      </c>
      <c r="L889" t="str">
        <f>"620000 ОБЛ СВЕРДЛОВСКАЯ   Г ТАВДА   УЛ ЛЕНИНА д. 83 А"</f>
        <v>620000 ОБЛ СВЕРДЛОВСКАЯ   Г ТАВДА   УЛ ЛЕНИНА д. 83 А</v>
      </c>
      <c r="M889" t="str">
        <f t="shared" si="135"/>
        <v>2019-08-24</v>
      </c>
      <c r="N889" t="str">
        <f>"ТАВДИНСКИЙ МВД"</f>
        <v>ТАВДИНСКИЙ МВД</v>
      </c>
      <c r="O889" t="str">
        <f>"620000"</f>
        <v>620000</v>
      </c>
      <c r="P889" t="str">
        <f>"ОБЛ СВЕРДЛОВСКАЯ"</f>
        <v>ОБЛ СВЕРДЛОВСКАЯ</v>
      </c>
      <c r="Q889" t="str">
        <f>""</f>
        <v/>
      </c>
      <c r="R889" t="str">
        <f>"Г ТАВДА"</f>
        <v>Г ТАВДА</v>
      </c>
      <c r="S889" t="str">
        <f>""</f>
        <v/>
      </c>
      <c r="T889" t="str">
        <f>"УЛ 9 ЯНВАРЯ"</f>
        <v>УЛ 9 ЯНВАРЯ</v>
      </c>
      <c r="U889" s="1" t="str">
        <f>"89"</f>
        <v>89</v>
      </c>
      <c r="V889" s="1" t="str">
        <f>""</f>
        <v/>
      </c>
      <c r="W889" s="1" t="str">
        <f>""</f>
        <v/>
      </c>
      <c r="X889" s="1" t="str">
        <f>""</f>
        <v/>
      </c>
      <c r="Y889" s="1" t="str">
        <f>"58"</f>
        <v>58</v>
      </c>
      <c r="Z889" t="str">
        <f>"3436022950"</f>
        <v>3436022950</v>
      </c>
      <c r="AA889" t="str">
        <f>"9043890432"</f>
        <v>9043890432</v>
      </c>
      <c r="AB889" t="str">
        <f>"9043890432"</f>
        <v>9043890432</v>
      </c>
      <c r="AC889" t="str">
        <f>"9043890432"</f>
        <v>9043890432</v>
      </c>
      <c r="AD889" t="str">
        <f>"9043890432"</f>
        <v>9043890432</v>
      </c>
      <c r="AE889" t="str">
        <f>"3436022950"</f>
        <v>3436022950</v>
      </c>
    </row>
    <row r="890" spans="1:31" x14ac:dyDescent="0.45">
      <c r="A890" t="str">
        <f>"МАКАРОВ ИЛЬЯ НИКОЛАЕВИЧ"</f>
        <v>МАКАРОВ ИЛЬЯ НИКОЛАЕВИЧ</v>
      </c>
      <c r="B890" t="str">
        <f>"1989-03-08"</f>
        <v>1989-03-08</v>
      </c>
      <c r="C890" t="str">
        <f>"65 08 632479"</f>
        <v>65 08 632479</v>
      </c>
      <c r="D890" t="str">
        <f>"4279011663007378"</f>
        <v>4279011663007378</v>
      </c>
      <c r="E890" t="str">
        <f t="shared" si="143"/>
        <v>2021-05-31</v>
      </c>
      <c r="F890" t="str">
        <f t="shared" si="144"/>
        <v>+</v>
      </c>
      <c r="G890" t="str">
        <f t="shared" si="144"/>
        <v>+</v>
      </c>
      <c r="H890" t="str">
        <f>"40817810616991424945"</f>
        <v>40817810616991424945</v>
      </c>
      <c r="I890" t="str">
        <f>"7003"</f>
        <v>7003</v>
      </c>
      <c r="J890" t="str">
        <f>"7777"</f>
        <v>7777</v>
      </c>
      <c r="K890" t="str">
        <f>"105000.00"</f>
        <v>105000.00</v>
      </c>
      <c r="L890" t="str">
        <f>"620000 ОБЛ СВЕРДЛОВСКАЯ   Г ТАВДА   УЛ СТРОИТЕЛЕЙ д. 1"</f>
        <v>620000 ОБЛ СВЕРДЛОВСКАЯ   Г ТАВДА   УЛ СТРОИТЕЛЕЙ д. 1</v>
      </c>
      <c r="M890" t="str">
        <f t="shared" si="135"/>
        <v>2019-08-24</v>
      </c>
      <c r="N890" t="str">
        <f>"МВД ТАВДА"</f>
        <v>МВД ТАВДА</v>
      </c>
      <c r="O890" t="str">
        <f>"620000"</f>
        <v>620000</v>
      </c>
      <c r="P890" t="str">
        <f>"ОБЛ СВЕРДЛОВСКАЯ"</f>
        <v>ОБЛ СВЕРДЛОВСКАЯ</v>
      </c>
      <c r="Q890" t="str">
        <f>""</f>
        <v/>
      </c>
      <c r="R890" t="str">
        <f>"Г ТАВДА"</f>
        <v>Г ТАВДА</v>
      </c>
      <c r="S890" t="str">
        <f>""</f>
        <v/>
      </c>
      <c r="T890" t="str">
        <f>"УЛ МАКСИМА ГОРЬКОГО"</f>
        <v>УЛ МАКСИМА ГОРЬКОГО</v>
      </c>
      <c r="U890" s="1" t="str">
        <f>"45"</f>
        <v>45</v>
      </c>
      <c r="V890" s="1" t="str">
        <f>""</f>
        <v/>
      </c>
      <c r="W890" s="1" t="str">
        <f>""</f>
        <v/>
      </c>
      <c r="X890" s="1" t="str">
        <f>""</f>
        <v/>
      </c>
      <c r="Y890" s="1" t="str">
        <f>"7"</f>
        <v>7</v>
      </c>
      <c r="Z890" t="str">
        <f>"3436050141"</f>
        <v>3436050141</v>
      </c>
      <c r="AA890" t="str">
        <f>"9041738675"</f>
        <v>9041738675</v>
      </c>
      <c r="AB890" t="str">
        <f>"9041738675"</f>
        <v>9041738675</v>
      </c>
      <c r="AC890" t="str">
        <f>"9041738675"</f>
        <v>9041738675</v>
      </c>
      <c r="AD890" t="str">
        <f>"9041738675"</f>
        <v>9041738675</v>
      </c>
      <c r="AE890" t="str">
        <f>"3436050141"</f>
        <v>3436050141</v>
      </c>
    </row>
    <row r="891" spans="1:31" x14ac:dyDescent="0.45">
      <c r="A891" t="str">
        <f>"ГИЛЕВ СЕРГЕЙ АНАТОЛЬЕВИЧ"</f>
        <v>ГИЛЕВ СЕРГЕЙ АНАТОЛЬЕВИЧ</v>
      </c>
      <c r="B891" t="str">
        <f>"1961-10-26"</f>
        <v>1961-10-26</v>
      </c>
      <c r="C891" t="str">
        <f>"65 06 906770"</f>
        <v>65 06 906770</v>
      </c>
      <c r="D891" t="str">
        <f>"4279011631086348"</f>
        <v>4279011631086348</v>
      </c>
      <c r="E891" t="str">
        <f t="shared" si="143"/>
        <v>2021-05-31</v>
      </c>
      <c r="F891" t="str">
        <f t="shared" si="144"/>
        <v>+</v>
      </c>
      <c r="G891" t="str">
        <f t="shared" si="144"/>
        <v>+</v>
      </c>
      <c r="H891" t="str">
        <f>"40817810216991424963"</f>
        <v>40817810216991424963</v>
      </c>
      <c r="I891" t="str">
        <f>"7003"</f>
        <v>7003</v>
      </c>
      <c r="J891" t="str">
        <f>"7770"</f>
        <v>7770</v>
      </c>
      <c r="K891" t="str">
        <f>"10000.00"</f>
        <v>10000.00</v>
      </c>
      <c r="L891" t="str">
        <f>"620000 ОБЛ СВЕРДЛОВСКАЯ   Г ЕКАТЕРИНБУРГ   ПР-КТ КОСМОНАВТОВ д. 18"</f>
        <v>620000 ОБЛ СВЕРДЛОВСКАЯ   Г ЕКАТЕРИНБУРГ   ПР-КТ КОСМОНАВТОВ д. 18</v>
      </c>
      <c r="M891" t="str">
        <f t="shared" si="135"/>
        <v>2019-08-24</v>
      </c>
      <c r="N891" t="str">
        <f>"АО ОКБ НОВАТОР"</f>
        <v>АО ОКБ НОВАТОР</v>
      </c>
      <c r="O891" t="str">
        <f>"623718"</f>
        <v>623718</v>
      </c>
      <c r="P891" t="str">
        <f>"ОБЛ СВЕРДЛОВСКАЯ"</f>
        <v>ОБЛ СВЕРДЛОВСКАЯ</v>
      </c>
      <c r="Q891" t="str">
        <f>""</f>
        <v/>
      </c>
      <c r="R891" t="str">
        <f>"Г БЕРЕЗОВСКИЙ"</f>
        <v>Г БЕРЕЗОВСКИЙ</v>
      </c>
      <c r="S891" t="str">
        <f>"П СТАРОПЫШМИНСК"</f>
        <v>П СТАРОПЫШМИНСК</v>
      </c>
      <c r="T891" t="str">
        <f>"УЛ ЕЛОВАЯ"</f>
        <v>УЛ ЕЛОВАЯ</v>
      </c>
      <c r="U891" s="1" t="str">
        <f>"2"</f>
        <v>2</v>
      </c>
      <c r="V891" s="1" t="str">
        <f>""</f>
        <v/>
      </c>
      <c r="W891" s="1" t="str">
        <f>""</f>
        <v/>
      </c>
      <c r="X891" s="1" t="str">
        <f>""</f>
        <v/>
      </c>
      <c r="Y891" s="1" t="str">
        <f>"4"</f>
        <v>4</v>
      </c>
      <c r="Z891" t="str">
        <f>"3432641025"</f>
        <v>3432641025</v>
      </c>
      <c r="AA891" t="str">
        <f>"9090180024"</f>
        <v>9090180024</v>
      </c>
      <c r="AB891" t="str">
        <f>"9090180024"</f>
        <v>9090180024</v>
      </c>
      <c r="AC891" t="str">
        <f>"9090180024"</f>
        <v>9090180024</v>
      </c>
      <c r="AD891" t="str">
        <f>"9090180024"</f>
        <v>9090180024</v>
      </c>
      <c r="AE891" t="str">
        <f>"3432641025"</f>
        <v>3432641025</v>
      </c>
    </row>
    <row r="892" spans="1:31" x14ac:dyDescent="0.45">
      <c r="A892" t="str">
        <f>"ИВАНОВА СВЕТЛАНА НИКОЛАЕВНА"</f>
        <v>ИВАНОВА СВЕТЛАНА НИКОЛАЕВНА</v>
      </c>
      <c r="B892" t="str">
        <f>"1973-10-29"</f>
        <v>1973-10-29</v>
      </c>
      <c r="C892" t="str">
        <f>"75 18 206027"</f>
        <v>75 18 206027</v>
      </c>
      <c r="D892" t="str">
        <f>"4279011688041840"</f>
        <v>4279011688041840</v>
      </c>
      <c r="E892" t="str">
        <f t="shared" si="143"/>
        <v>2021-05-31</v>
      </c>
      <c r="F892" t="str">
        <f>"Q"</f>
        <v>Q</v>
      </c>
      <c r="G892" t="str">
        <f>"Q"</f>
        <v>Q</v>
      </c>
      <c r="H892" t="str">
        <f>"40817810416991424970"</f>
        <v>40817810416991424970</v>
      </c>
      <c r="I892" t="str">
        <f>"8597"</f>
        <v>8597</v>
      </c>
      <c r="J892" t="str">
        <f>"7770"</f>
        <v>7770</v>
      </c>
      <c r="K892" t="str">
        <f>"0.00"</f>
        <v>0.00</v>
      </c>
      <c r="L892" t="str">
        <f>"454000 ОБЛ ЧЕЛЯБИНСКАЯ   Г ЧЕЛЯБИНСК   УЛ ПЕРВОЙ ПЯТИЛЕТКИ д. 57"</f>
        <v>454000 ОБЛ ЧЕЛЯБИНСКАЯ   Г ЧЕЛЯБИНСК   УЛ ПЕРВОЙ ПЯТИЛЕТКИ д. 57</v>
      </c>
      <c r="M892" t="str">
        <f t="shared" si="135"/>
        <v>2019-08-24</v>
      </c>
      <c r="N892" t="str">
        <f>"МКУ КРУ"</f>
        <v>МКУ КРУ</v>
      </c>
      <c r="O892" t="str">
        <f>"454000"</f>
        <v>454000</v>
      </c>
      <c r="P892" t="str">
        <f>"ОБЛ ЧЕЛЯБИНСКАЯ"</f>
        <v>ОБЛ ЧЕЛЯБИНСКАЯ</v>
      </c>
      <c r="Q892" t="str">
        <f>""</f>
        <v/>
      </c>
      <c r="R892" t="str">
        <f>"Г ЧЕЛЯБИНСК"</f>
        <v>Г ЧЕЛЯБИНСК</v>
      </c>
      <c r="S892" t="str">
        <f>""</f>
        <v/>
      </c>
      <c r="T892" t="str">
        <f>"УЛ КОМСОМОЛЬСКИЙ ПР."</f>
        <v>УЛ КОМСОМОЛЬСКИЙ ПР.</v>
      </c>
      <c r="U892" s="1" t="str">
        <f>"62Б"</f>
        <v>62Б</v>
      </c>
      <c r="V892" s="1" t="str">
        <f>""</f>
        <v/>
      </c>
      <c r="W892" s="1" t="str">
        <f>""</f>
        <v/>
      </c>
      <c r="X892" s="1" t="str">
        <f>""</f>
        <v/>
      </c>
      <c r="Y892" s="1" t="str">
        <f>"19"</f>
        <v>19</v>
      </c>
      <c r="Z892" t="str">
        <f>"3512452632"</f>
        <v>3512452632</v>
      </c>
      <c r="AA892" t="str">
        <f>"9127927511"</f>
        <v>9127927511</v>
      </c>
      <c r="AB892" t="str">
        <f>"9127927511"</f>
        <v>9127927511</v>
      </c>
      <c r="AC892" t="str">
        <f>"0000000000"</f>
        <v>0000000000</v>
      </c>
      <c r="AD892" t="str">
        <f>"9127927511"</f>
        <v>9127927511</v>
      </c>
      <c r="AE892" t="str">
        <f>"3512452632"</f>
        <v>3512452632</v>
      </c>
    </row>
    <row r="893" spans="1:31" x14ac:dyDescent="0.45">
      <c r="A893" t="str">
        <f>"ФРАЙФЕЛЬД ВЛАДИМИР МИХАЙЛОВИЧ"</f>
        <v>ФРАЙФЕЛЬД ВЛАДИМИР МИХАЙЛОВИЧ</v>
      </c>
      <c r="B893" t="str">
        <f>"1959-04-05"</f>
        <v>1959-04-05</v>
      </c>
      <c r="C893" t="str">
        <f>"65 05 136745"</f>
        <v>65 05 136745</v>
      </c>
      <c r="D893" t="str">
        <f>"4279011675264249"</f>
        <v>4279011675264249</v>
      </c>
      <c r="E893" t="str">
        <f t="shared" si="143"/>
        <v>2021-05-31</v>
      </c>
      <c r="F893" t="str">
        <f>"+"</f>
        <v>+</v>
      </c>
      <c r="G893" t="str">
        <f>"+"</f>
        <v>+</v>
      </c>
      <c r="H893" t="str">
        <f>"40817810716991424971"</f>
        <v>40817810716991424971</v>
      </c>
      <c r="I893" t="str">
        <f>"7003"</f>
        <v>7003</v>
      </c>
      <c r="J893" t="str">
        <f>"0501"</f>
        <v>0501</v>
      </c>
      <c r="K893" t="str">
        <f>"600000.00"</f>
        <v>600000.00</v>
      </c>
      <c r="L893" t="str">
        <f>"620000 ОБЛ СВЕРДЛОВСКАЯ   Г ЕКАТЕРИНБУРГ   УЛ БЕЛИНСКОГО д. 86 офис 608"</f>
        <v>620000 ОБЛ СВЕРДЛОВСКАЯ   Г ЕКАТЕРИНБУРГ   УЛ БЕЛИНСКОГО д. 86 офис 608</v>
      </c>
      <c r="M893" t="str">
        <f t="shared" si="135"/>
        <v>2019-08-24</v>
      </c>
      <c r="N893" t="s">
        <v>64</v>
      </c>
      <c r="O893" t="str">
        <f>"620000"</f>
        <v>620000</v>
      </c>
      <c r="P893" t="str">
        <f>"ОБЛ СВЕРДЛОВСКАЯ"</f>
        <v>ОБЛ СВЕРДЛОВСКАЯ</v>
      </c>
      <c r="Q893" t="str">
        <f>""</f>
        <v/>
      </c>
      <c r="R893" t="str">
        <f>"Г ЕКАТЕРИНБУРГ"</f>
        <v>Г ЕКАТЕРИНБУРГ</v>
      </c>
      <c r="S893" t="str">
        <f>""</f>
        <v/>
      </c>
      <c r="T893" t="str">
        <f>"УЛ МИРА"</f>
        <v>УЛ МИРА</v>
      </c>
      <c r="U893" s="1" t="str">
        <f>"33"</f>
        <v>33</v>
      </c>
      <c r="V893" s="1" t="str">
        <f>""</f>
        <v/>
      </c>
      <c r="W893" s="1" t="str">
        <f>""</f>
        <v/>
      </c>
      <c r="X893" s="1" t="str">
        <f>""</f>
        <v/>
      </c>
      <c r="Y893" s="1" t="str">
        <f>"49"</f>
        <v>49</v>
      </c>
      <c r="Z893" t="str">
        <f>"3432199931"</f>
        <v>3432199931</v>
      </c>
      <c r="AA893" t="str">
        <f>"9126255050"</f>
        <v>9126255050</v>
      </c>
      <c r="AB893" t="str">
        <f>"9126255050"</f>
        <v>9126255050</v>
      </c>
      <c r="AC893" t="str">
        <f>"9126255050"</f>
        <v>9126255050</v>
      </c>
      <c r="AD893" t="str">
        <f>"9126255050"</f>
        <v>9126255050</v>
      </c>
      <c r="AE893" t="str">
        <f>""</f>
        <v/>
      </c>
    </row>
    <row r="894" spans="1:31" x14ac:dyDescent="0.45">
      <c r="A894" t="str">
        <f>"КОВТУНОВИЧ ТАТЬЯНА ВЯЧЕСЛАВОВНА"</f>
        <v>КОВТУНОВИЧ ТАТЬЯНА ВЯЧЕСЛАВОВНА</v>
      </c>
      <c r="B894" t="str">
        <f>"1971-06-22"</f>
        <v>1971-06-22</v>
      </c>
      <c r="C894" t="str">
        <f>"37 16 673200"</f>
        <v>37 16 673200</v>
      </c>
      <c r="D894" t="str">
        <f>"4279011655554122"</f>
        <v>4279011655554122</v>
      </c>
      <c r="E894" t="str">
        <f t="shared" si="143"/>
        <v>2021-05-31</v>
      </c>
      <c r="F894" t="str">
        <f>"Q"</f>
        <v>Q</v>
      </c>
      <c r="G894" t="str">
        <f>"Q"</f>
        <v>Q</v>
      </c>
      <c r="H894" t="str">
        <f>"40817810516991424980"</f>
        <v>40817810516991424980</v>
      </c>
      <c r="I894" t="str">
        <f>"8599"</f>
        <v>8599</v>
      </c>
      <c r="J894" t="str">
        <f>"7770"</f>
        <v>7770</v>
      </c>
      <c r="K894" t="str">
        <f t="shared" ref="K894:K895" si="145">"0.00"</f>
        <v>0.00</v>
      </c>
      <c r="L894" t="str">
        <f>"641000 ОБЛ КУРГАНСКАЯ   Г КУРГАН   УЛ К.МЯГОТИНА д. 10"</f>
        <v>641000 ОБЛ КУРГАНСКАЯ   Г КУРГАН   УЛ К.МЯГОТИНА д. 10</v>
      </c>
      <c r="M894" t="str">
        <f t="shared" si="135"/>
        <v>2019-08-24</v>
      </c>
      <c r="N894" t="str">
        <f>"УК ПРЕСТИЖ"</f>
        <v>УК ПРЕСТИЖ</v>
      </c>
      <c r="O894" t="str">
        <f>"641000"</f>
        <v>641000</v>
      </c>
      <c r="P894" t="str">
        <f>"ОБЛ КУРГАНСКАЯ"</f>
        <v>ОБЛ КУРГАНСКАЯ</v>
      </c>
      <c r="Q894" t="str">
        <f>""</f>
        <v/>
      </c>
      <c r="R894" t="str">
        <f>"Г КУРГАН"</f>
        <v>Г КУРГАН</v>
      </c>
      <c r="S894" t="str">
        <f>""</f>
        <v/>
      </c>
      <c r="T894" t="str">
        <f>"МКР 3"</f>
        <v>МКР 3</v>
      </c>
      <c r="U894" s="1" t="str">
        <f>"13"</f>
        <v>13</v>
      </c>
      <c r="V894" s="1" t="str">
        <f>""</f>
        <v/>
      </c>
      <c r="W894" s="1" t="str">
        <f>""</f>
        <v/>
      </c>
      <c r="X894" s="1" t="str">
        <f>""</f>
        <v/>
      </c>
      <c r="Y894" s="1" t="str">
        <f>"118"</f>
        <v>118</v>
      </c>
      <c r="Z894" t="str">
        <f>"+7 (3522) 411935"</f>
        <v>+7 (3522) 411935</v>
      </c>
      <c r="AA894" t="str">
        <f>"+7 (982) 8017108"</f>
        <v>+7 (982) 8017108</v>
      </c>
      <c r="AB894" t="str">
        <f>"+7 (982) 8017108"</f>
        <v>+7 (982) 8017108</v>
      </c>
      <c r="AC894" t="str">
        <f>"9195748022"</f>
        <v>9195748022</v>
      </c>
      <c r="AD894" t="str">
        <f>"9195748022"</f>
        <v>9195748022</v>
      </c>
      <c r="AE894" t="str">
        <f>"3522411935"</f>
        <v>3522411935</v>
      </c>
    </row>
    <row r="895" spans="1:31" x14ac:dyDescent="0.45">
      <c r="A895" t="str">
        <f>"ГОЛЬЦЕВ ПАВЕЛ ВЯЧЕСЛАВОВИЧ"</f>
        <v>ГОЛЬЦЕВ ПАВЕЛ ВЯЧЕСЛАВОВИЧ</v>
      </c>
      <c r="B895" t="str">
        <f>"1976-05-09"</f>
        <v>1976-05-09</v>
      </c>
      <c r="C895" t="str">
        <f>"65 01 842470"</f>
        <v>65 01 842470</v>
      </c>
      <c r="D895" t="str">
        <f>"4279011658760015"</f>
        <v>4279011658760015</v>
      </c>
      <c r="E895" t="str">
        <f t="shared" si="143"/>
        <v>2021-05-31</v>
      </c>
      <c r="F895" t="str">
        <f>"Y"</f>
        <v>Y</v>
      </c>
      <c r="G895" t="str">
        <f>"Q"</f>
        <v>Q</v>
      </c>
      <c r="H895" t="str">
        <f>"40817810316991424986"</f>
        <v>40817810316991424986</v>
      </c>
      <c r="I895" t="str">
        <f>"7003"</f>
        <v>7003</v>
      </c>
      <c r="J895" t="str">
        <f>"7777"</f>
        <v>7777</v>
      </c>
      <c r="K895" t="str">
        <f t="shared" si="145"/>
        <v>0.00</v>
      </c>
      <c r="L895" t="str">
        <f>"623950 ОБЛ СВЕРДЛОВСКАЯ   Г ТАВДА   УЛ ЛЕНИНА д. 83 корп. А"</f>
        <v>623950 ОБЛ СВЕРДЛОВСКАЯ   Г ТАВДА   УЛ ЛЕНИНА д. 83 корп. А</v>
      </c>
      <c r="M895" t="str">
        <f t="shared" si="135"/>
        <v>2019-08-24</v>
      </c>
      <c r="N895" t="str">
        <f>"ТАВДИНСКИЙ МВД"</f>
        <v>ТАВДИНСКИЙ МВД</v>
      </c>
      <c r="O895" t="str">
        <f>"623950"</f>
        <v>623950</v>
      </c>
      <c r="P895" t="str">
        <f>"ОБЛ СВЕРДЛОВСКАЯ"</f>
        <v>ОБЛ СВЕРДЛОВСКАЯ</v>
      </c>
      <c r="Q895" t="str">
        <f>""</f>
        <v/>
      </c>
      <c r="R895" t="str">
        <f>"Г ТАВДА"</f>
        <v>Г ТАВДА</v>
      </c>
      <c r="S895" t="str">
        <f>""</f>
        <v/>
      </c>
      <c r="T895" t="str">
        <f>"УЛ ДЗЕРЖИНСКОГО"</f>
        <v>УЛ ДЗЕРЖИНСКОГО</v>
      </c>
      <c r="U895" s="1" t="str">
        <f>"56"</f>
        <v>56</v>
      </c>
      <c r="V895" s="1" t="str">
        <f>""</f>
        <v/>
      </c>
      <c r="W895" s="1" t="str">
        <f>""</f>
        <v/>
      </c>
      <c r="X895" s="1" t="str">
        <f>""</f>
        <v/>
      </c>
      <c r="Y895" s="1" t="str">
        <f>""</f>
        <v/>
      </c>
      <c r="Z895" t="str">
        <f>"3436022950"</f>
        <v>3436022950</v>
      </c>
      <c r="AA895" t="str">
        <f>"9086318294"</f>
        <v>9086318294</v>
      </c>
      <c r="AB895" t="str">
        <f>"9086318294"</f>
        <v>9086318294</v>
      </c>
      <c r="AC895" t="str">
        <f>"9086318294"</f>
        <v>9086318294</v>
      </c>
      <c r="AD895" t="str">
        <f>"9086318294"</f>
        <v>9086318294</v>
      </c>
      <c r="AE895" t="str">
        <f>"3436022950"</f>
        <v>3436022950</v>
      </c>
    </row>
    <row r="896" spans="1:31" x14ac:dyDescent="0.45">
      <c r="A896" t="str">
        <f>"МАКАРОВА ЕЛЕНА АНАТОЛЬЕВНА"</f>
        <v>МАКАРОВА ЕЛЕНА АНАТОЛЬЕВНА</v>
      </c>
      <c r="B896" t="str">
        <f>"1980-05-24"</f>
        <v>1980-05-24</v>
      </c>
      <c r="C896" t="str">
        <f>"65 00 348387"</f>
        <v>65 00 348387</v>
      </c>
      <c r="D896" t="str">
        <f>"4279011636410691"</f>
        <v>4279011636410691</v>
      </c>
      <c r="E896" t="str">
        <f t="shared" si="143"/>
        <v>2021-05-31</v>
      </c>
      <c r="F896" t="str">
        <f t="shared" ref="F896:G898" si="146">"+"</f>
        <v>+</v>
      </c>
      <c r="G896" t="str">
        <f t="shared" si="146"/>
        <v>+</v>
      </c>
      <c r="H896" t="str">
        <f>"40817810816991424994"</f>
        <v>40817810816991424994</v>
      </c>
      <c r="I896" t="str">
        <f>"7003"</f>
        <v>7003</v>
      </c>
      <c r="J896" t="str">
        <f>"7777"</f>
        <v>7777</v>
      </c>
      <c r="K896" t="str">
        <f>"150000.00"</f>
        <v>150000.00</v>
      </c>
      <c r="L896" t="str">
        <f>"623950 ОБЛ СВЕРДЛОВСКАЯ   Г ТАВДА   УЛ ЛЕНИНА д. 78 корп. А"</f>
        <v>623950 ОБЛ СВЕРДЛОВСКАЯ   Г ТАВДА   УЛ ЛЕНИНА д. 78 корп. А</v>
      </c>
      <c r="M896" t="str">
        <f t="shared" si="135"/>
        <v>2019-08-24</v>
      </c>
      <c r="N896" t="str">
        <f>"ММО МВД РОССИИ ТАВДИНСКИЙ"</f>
        <v>ММО МВД РОССИИ ТАВДИНСКИЙ</v>
      </c>
      <c r="O896" t="str">
        <f>"623950"</f>
        <v>623950</v>
      </c>
      <c r="P896" t="str">
        <f>"ОБЛ СВЕРДЛОВСКАЯ"</f>
        <v>ОБЛ СВЕРДЛОВСКАЯ</v>
      </c>
      <c r="Q896" t="str">
        <f>""</f>
        <v/>
      </c>
      <c r="R896" t="str">
        <f>"Г ТАВДА"</f>
        <v>Г ТАВДА</v>
      </c>
      <c r="S896" t="str">
        <f>""</f>
        <v/>
      </c>
      <c r="T896" t="str">
        <f>"УЛ СОВЕТСКАЯ"</f>
        <v>УЛ СОВЕТСКАЯ</v>
      </c>
      <c r="U896" s="1" t="str">
        <f>"87"</f>
        <v>87</v>
      </c>
      <c r="V896" s="1" t="str">
        <f>""</f>
        <v/>
      </c>
      <c r="W896" s="1" t="str">
        <f>""</f>
        <v/>
      </c>
      <c r="X896" s="1" t="str">
        <f>""</f>
        <v/>
      </c>
      <c r="Y896" s="1" t="str">
        <f>"12"</f>
        <v>12</v>
      </c>
      <c r="Z896" t="str">
        <f>"+7 (34360) 50141"</f>
        <v>+7 (34360) 50141</v>
      </c>
      <c r="AA896" t="str">
        <f>"+7 (34360) 32143"</f>
        <v>+7 (34360) 32143</v>
      </c>
      <c r="AB896" t="str">
        <f>"+7 (904) 1628771"</f>
        <v>+7 (904) 1628771</v>
      </c>
      <c r="AC896" t="str">
        <f>"9041628771"</f>
        <v>9041628771</v>
      </c>
      <c r="AD896" t="str">
        <f>"9041628771"</f>
        <v>9041628771</v>
      </c>
      <c r="AE896" t="str">
        <f>"3436050141"</f>
        <v>3436050141</v>
      </c>
    </row>
    <row r="897" spans="1:31" x14ac:dyDescent="0.45">
      <c r="A897" t="str">
        <f>"УСАНОВ АНАТОЛИЙ ПЕТРОВИЧ"</f>
        <v>УСАНОВ АНАТОЛИЙ ПЕТРОВИЧ</v>
      </c>
      <c r="B897" t="str">
        <f>"1966-12-06"</f>
        <v>1966-12-06</v>
      </c>
      <c r="C897" t="str">
        <f>"65 11 247151"</f>
        <v>65 11 247151</v>
      </c>
      <c r="D897" t="str">
        <f>"4279011682661098"</f>
        <v>4279011682661098</v>
      </c>
      <c r="E897" t="str">
        <f t="shared" si="143"/>
        <v>2021-05-31</v>
      </c>
      <c r="F897" t="str">
        <f t="shared" si="146"/>
        <v>+</v>
      </c>
      <c r="G897" t="str">
        <f t="shared" si="146"/>
        <v>+</v>
      </c>
      <c r="H897" t="str">
        <f>"40817810116991424995"</f>
        <v>40817810116991424995</v>
      </c>
      <c r="I897" t="str">
        <f>"7003"</f>
        <v>7003</v>
      </c>
      <c r="J897" t="str">
        <f>"7777"</f>
        <v>7777</v>
      </c>
      <c r="K897" t="str">
        <f>"260000.00"</f>
        <v>260000.00</v>
      </c>
      <c r="L897" t="str">
        <f>"623950 ОБЛ СВЕРДЛОВСКАЯ   Г ТАВДА   УЛ ЛЕНИНА д. 83 корп. А"</f>
        <v>623950 ОБЛ СВЕРДЛОВСКАЯ   Г ТАВДА   УЛ ЛЕНИНА д. 83 корп. А</v>
      </c>
      <c r="M897" t="str">
        <f t="shared" si="135"/>
        <v>2019-08-24</v>
      </c>
      <c r="N897" t="str">
        <f>"ТАВДИНСКИЙ МВД"</f>
        <v>ТАВДИНСКИЙ МВД</v>
      </c>
      <c r="O897" t="str">
        <f>"623950"</f>
        <v>623950</v>
      </c>
      <c r="P897" t="str">
        <f>"ОБЛ СВЕРДЛОВСКАЯ"</f>
        <v>ОБЛ СВЕРДЛОВСКАЯ</v>
      </c>
      <c r="Q897" t="str">
        <f>""</f>
        <v/>
      </c>
      <c r="R897" t="str">
        <f>"Г ТАВДА"</f>
        <v>Г ТАВДА</v>
      </c>
      <c r="S897" t="str">
        <f>""</f>
        <v/>
      </c>
      <c r="T897" t="str">
        <f>"УЛ ИНТЕРНАЦИОНАЛЬНАЯ"</f>
        <v>УЛ ИНТЕРНАЦИОНАЛЬНАЯ</v>
      </c>
      <c r="U897" s="1" t="str">
        <f>"20"</f>
        <v>20</v>
      </c>
      <c r="V897" s="1" t="str">
        <f>""</f>
        <v/>
      </c>
      <c r="W897" s="1" t="str">
        <f>""</f>
        <v/>
      </c>
      <c r="X897" s="1" t="str">
        <f>""</f>
        <v/>
      </c>
      <c r="Y897" s="1" t="str">
        <f>""</f>
        <v/>
      </c>
      <c r="Z897" t="str">
        <f>"3436050141"</f>
        <v>3436050141</v>
      </c>
      <c r="AA897" t="str">
        <f>"9090039886"</f>
        <v>9090039886</v>
      </c>
      <c r="AB897" t="str">
        <f>"9655319537"</f>
        <v>9655319537</v>
      </c>
      <c r="AC897" t="str">
        <f>"9090039886"</f>
        <v>9090039886</v>
      </c>
      <c r="AD897" t="str">
        <f>"9090039886"</f>
        <v>9090039886</v>
      </c>
      <c r="AE897" t="str">
        <f>"3436050141"</f>
        <v>3436050141</v>
      </c>
    </row>
    <row r="898" spans="1:31" x14ac:dyDescent="0.45">
      <c r="A898" t="str">
        <f>"КАМИНСКИЙ СЕРГЕЙ АНАТОЛЬЕВИЧ"</f>
        <v>КАМИНСКИЙ СЕРГЕЙ АНАТОЛЬЕВИЧ</v>
      </c>
      <c r="B898" t="str">
        <f>"1992-12-21"</f>
        <v>1992-12-21</v>
      </c>
      <c r="C898" t="str">
        <f>"65 12 433348"</f>
        <v>65 12 433348</v>
      </c>
      <c r="D898" t="str">
        <f>"4279011642255783"</f>
        <v>4279011642255783</v>
      </c>
      <c r="E898" t="str">
        <f t="shared" si="143"/>
        <v>2021-05-31</v>
      </c>
      <c r="F898" t="str">
        <f t="shared" si="146"/>
        <v>+</v>
      </c>
      <c r="G898" t="str">
        <f t="shared" si="146"/>
        <v>+</v>
      </c>
      <c r="H898" t="str">
        <f>"40817810816991425003"</f>
        <v>40817810816991425003</v>
      </c>
      <c r="I898" t="str">
        <f>"7003"</f>
        <v>7003</v>
      </c>
      <c r="J898" t="str">
        <f>"7777"</f>
        <v>7777</v>
      </c>
      <c r="K898" t="str">
        <f>"350000.00"</f>
        <v>350000.00</v>
      </c>
      <c r="L898" t="str">
        <f>"620000 ОБЛ СВЕРДЛОВСКАЯ   Г ТАВДА   УЛ ЛЕНИНА д. 83 стр. А"</f>
        <v>620000 ОБЛ СВЕРДЛОВСКАЯ   Г ТАВДА   УЛ ЛЕНИНА д. 83 стр. А</v>
      </c>
      <c r="M898" t="str">
        <f t="shared" ref="M898:M961" si="147">"2019-08-24"</f>
        <v>2019-08-24</v>
      </c>
      <c r="N898" t="str">
        <f>"МВД ТАВДИНСКИЙ"</f>
        <v>МВД ТАВДИНСКИЙ</v>
      </c>
      <c r="O898" t="str">
        <f>"620000"</f>
        <v>620000</v>
      </c>
      <c r="P898" t="str">
        <f>"ОБЛ СВЕРДЛОВСКАЯ"</f>
        <v>ОБЛ СВЕРДЛОВСКАЯ</v>
      </c>
      <c r="Q898" t="str">
        <f>"Р-Н ТАБОРИНСКИЙ"</f>
        <v>Р-Н ТАБОРИНСКИЙ</v>
      </c>
      <c r="R898" t="str">
        <f>""</f>
        <v/>
      </c>
      <c r="S898" t="str">
        <f>"С ТАБОРЫ"</f>
        <v>С ТАБОРЫ</v>
      </c>
      <c r="T898" t="str">
        <f>"УЛ КРАСНОАРМЕЙСКАЯ"</f>
        <v>УЛ КРАСНОАРМЕЙСКАЯ</v>
      </c>
      <c r="U898" s="1" t="str">
        <f>"26А"</f>
        <v>26А</v>
      </c>
      <c r="V898" s="1" t="str">
        <f>""</f>
        <v/>
      </c>
      <c r="W898" s="1" t="str">
        <f>""</f>
        <v/>
      </c>
      <c r="X898" s="1" t="str">
        <f>""</f>
        <v/>
      </c>
      <c r="Y898" s="1" t="str">
        <f>""</f>
        <v/>
      </c>
      <c r="Z898" t="str">
        <f>"3436050141"</f>
        <v>3436050141</v>
      </c>
      <c r="AA898" t="str">
        <f>"9827462699"</f>
        <v>9827462699</v>
      </c>
      <c r="AB898" t="str">
        <f>"9002014928"</f>
        <v>9002014928</v>
      </c>
      <c r="AC898" t="str">
        <f>"9827462699"</f>
        <v>9827462699</v>
      </c>
      <c r="AD898" t="str">
        <f>"9827462699"</f>
        <v>9827462699</v>
      </c>
      <c r="AE898" t="str">
        <f>"3436050141"</f>
        <v>3436050141</v>
      </c>
    </row>
    <row r="899" spans="1:31" x14ac:dyDescent="0.45">
      <c r="A899" t="str">
        <f>"МАХМУТОВ РИНАТ АХМАТЯНОВИЧ"</f>
        <v>МАХМУТОВ РИНАТ АХМАТЯНОВИЧ</v>
      </c>
      <c r="B899" t="str">
        <f>"1956-02-10"</f>
        <v>1956-02-10</v>
      </c>
      <c r="C899" t="str">
        <f>"80 12 667912"</f>
        <v>80 12 667912</v>
      </c>
      <c r="D899" t="str">
        <f>"4279011673089382"</f>
        <v>4279011673089382</v>
      </c>
      <c r="E899" t="str">
        <f t="shared" si="143"/>
        <v>2021-05-31</v>
      </c>
      <c r="F899" t="str">
        <f>"Q"</f>
        <v>Q</v>
      </c>
      <c r="G899" t="str">
        <f>"Q"</f>
        <v>Q</v>
      </c>
      <c r="H899" t="str">
        <f>"40817810116991425004"</f>
        <v>40817810116991425004</v>
      </c>
      <c r="I899" t="str">
        <f>"8598"</f>
        <v>8598</v>
      </c>
      <c r="J899" t="str">
        <f>"0497"</f>
        <v>0497</v>
      </c>
      <c r="K899" t="str">
        <f>"0.00"</f>
        <v>0.00</v>
      </c>
      <c r="L899" t="str">
        <f>"450000 РЕСП БАШКОРТОСТАН   Г ДЮРТЮЛИ   УЛ ЧЕВЕРЕВА д. 15"</f>
        <v>450000 РЕСП БАШКОРТОСТАН   Г ДЮРТЮЛИ   УЛ ЧЕВЕРЕВА д. 15</v>
      </c>
      <c r="M899" t="str">
        <f t="shared" si="147"/>
        <v>2019-08-24</v>
      </c>
      <c r="N899" t="str">
        <f>"ПФР"</f>
        <v>ПФР</v>
      </c>
      <c r="O899" t="str">
        <f>"452308"</f>
        <v>452308</v>
      </c>
      <c r="P899" t="str">
        <f>"РЕСП БАШКОРТОСТАН"</f>
        <v>РЕСП БАШКОРТОСТАН</v>
      </c>
      <c r="Q899" t="str">
        <f>"Р-Н ДЮРТЮЛИНСКИЙ"</f>
        <v>Р-Н ДЮРТЮЛИНСКИЙ</v>
      </c>
      <c r="R899" t="str">
        <f>""</f>
        <v/>
      </c>
      <c r="S899" t="str">
        <f>"С СТАРОСУЛТАНБЕКОВО"</f>
        <v>С СТАРОСУЛТАНБЕКОВО</v>
      </c>
      <c r="T899" t="str">
        <f>"УЛ ГОРШКОВА"</f>
        <v>УЛ ГОРШКОВА</v>
      </c>
      <c r="U899" s="1" t="str">
        <f>"50"</f>
        <v>50</v>
      </c>
      <c r="V899" s="1" t="str">
        <f>""</f>
        <v/>
      </c>
      <c r="W899" s="1" t="str">
        <f>""</f>
        <v/>
      </c>
      <c r="X899" s="1" t="str">
        <f>""</f>
        <v/>
      </c>
      <c r="Y899" s="1" t="str">
        <f>""</f>
        <v/>
      </c>
      <c r="Z899" t="str">
        <f>""</f>
        <v/>
      </c>
      <c r="AA899" t="str">
        <f>"9174672139"</f>
        <v>9174672139</v>
      </c>
      <c r="AB899" t="str">
        <f>"9174672139"</f>
        <v>9174672139</v>
      </c>
      <c r="AC899" t="str">
        <f>"9174672139"</f>
        <v>9174672139</v>
      </c>
      <c r="AD899" t="str">
        <f>"9174672139"</f>
        <v>9174672139</v>
      </c>
      <c r="AE899" t="str">
        <f>""</f>
        <v/>
      </c>
    </row>
    <row r="900" spans="1:31" x14ac:dyDescent="0.45">
      <c r="A900" t="str">
        <f>"ЦЫБУЛЬСКИЙ ОЛЕГ ВИКТОРОВИЧ"</f>
        <v>ЦЫБУЛЬСКИЙ ОЛЕГ ВИКТОРОВИЧ</v>
      </c>
      <c r="B900" t="str">
        <f>"1974-08-04"</f>
        <v>1974-08-04</v>
      </c>
      <c r="C900" t="str">
        <f>"65 01 840946"</f>
        <v>65 01 840946</v>
      </c>
      <c r="D900" t="str">
        <f>"4279011656656660"</f>
        <v>4279011656656660</v>
      </c>
      <c r="E900" t="str">
        <f t="shared" si="143"/>
        <v>2021-05-31</v>
      </c>
      <c r="F900" t="str">
        <f>"J"</f>
        <v>J</v>
      </c>
      <c r="G900" t="str">
        <f>"+"</f>
        <v>+</v>
      </c>
      <c r="H900" t="str">
        <f>"40817810616991425012"</f>
        <v>40817810616991425012</v>
      </c>
      <c r="I900" t="str">
        <f>"7003"</f>
        <v>7003</v>
      </c>
      <c r="J900" t="str">
        <f>"7777"</f>
        <v>7777</v>
      </c>
      <c r="K900" t="str">
        <f>"46000.00"</f>
        <v>46000.00</v>
      </c>
      <c r="L900" t="str">
        <f>"620000 ОБЛ СВЕРДЛОВСКАЯ   Г ТАВДА   УЛ ЛЕНИНА д. 83 корп. А"</f>
        <v>620000 ОБЛ СВЕРДЛОВСКАЯ   Г ТАВДА   УЛ ЛЕНИНА д. 83 корп. А</v>
      </c>
      <c r="M900" t="str">
        <f t="shared" si="147"/>
        <v>2019-08-24</v>
      </c>
      <c r="N900" t="str">
        <f>"ТАВДИНСКИЙ МВД"</f>
        <v>ТАВДИНСКИЙ МВД</v>
      </c>
      <c r="O900" t="str">
        <f>"620000"</f>
        <v>620000</v>
      </c>
      <c r="P900" t="str">
        <f>"ОБЛ СВЕРДЛОВСКАЯ"</f>
        <v>ОБЛ СВЕРДЛОВСКАЯ</v>
      </c>
      <c r="Q900" t="str">
        <f>""</f>
        <v/>
      </c>
      <c r="R900" t="str">
        <f>"Г ТАВДА"</f>
        <v>Г ТАВДА</v>
      </c>
      <c r="S900" t="str">
        <f>""</f>
        <v/>
      </c>
      <c r="T900" t="str">
        <f>"УЛ ТИПОГРАФСКАЯ"</f>
        <v>УЛ ТИПОГРАФСКАЯ</v>
      </c>
      <c r="U900" s="1" t="str">
        <f>"3"</f>
        <v>3</v>
      </c>
      <c r="V900" s="1" t="str">
        <f>""</f>
        <v/>
      </c>
      <c r="W900" s="1" t="str">
        <f>""</f>
        <v/>
      </c>
      <c r="X900" s="1" t="str">
        <f>""</f>
        <v/>
      </c>
      <c r="Y900" s="1" t="str">
        <f>"2"</f>
        <v>2</v>
      </c>
      <c r="Z900" t="str">
        <f>"3436052278"</f>
        <v>3436052278</v>
      </c>
      <c r="AA900" t="str">
        <f>"9089007954"</f>
        <v>9089007954</v>
      </c>
      <c r="AB900" t="str">
        <f>"9089007954"</f>
        <v>9089007954</v>
      </c>
      <c r="AC900" t="str">
        <f>"9089007954"</f>
        <v>9089007954</v>
      </c>
      <c r="AD900" t="str">
        <f>"9089007954"</f>
        <v>9089007954</v>
      </c>
      <c r="AE900" t="str">
        <f>"3436052278"</f>
        <v>3436052278</v>
      </c>
    </row>
    <row r="901" spans="1:31" x14ac:dyDescent="0.45">
      <c r="A901" t="str">
        <f>"АФЛЕТУНОВ РАМИЛЬ МИНВАГИЗОВИЧ"</f>
        <v>АФЛЕТУНОВ РАМИЛЬ МИНВАГИЗОВИЧ</v>
      </c>
      <c r="B901" t="str">
        <f>"1978-09-05"</f>
        <v>1978-09-05</v>
      </c>
      <c r="C901" t="str">
        <f>"80 03 975225"</f>
        <v>80 03 975225</v>
      </c>
      <c r="D901" t="str">
        <f>"4279011676861969"</f>
        <v>4279011676861969</v>
      </c>
      <c r="E901" t="str">
        <f t="shared" si="143"/>
        <v>2021-05-31</v>
      </c>
      <c r="F901" t="str">
        <f>"+"</f>
        <v>+</v>
      </c>
      <c r="G901" t="str">
        <f>"+"</f>
        <v>+</v>
      </c>
      <c r="H901" t="str">
        <f>"40817810816991425016"</f>
        <v>40817810816991425016</v>
      </c>
      <c r="I901" t="str">
        <f>"8598"</f>
        <v>8598</v>
      </c>
      <c r="J901" t="str">
        <f>"0161"</f>
        <v>0161</v>
      </c>
      <c r="K901" t="str">
        <f>"30000.00"</f>
        <v>30000.00</v>
      </c>
      <c r="L901" t="str">
        <f>"450000 РЕСП БАШКОРТОСТАН   Г УФА   ПРОЕЗД САФРОНОВСКИЙ д. 53 стр. 2"</f>
        <v>450000 РЕСП БАШКОРТОСТАН   Г УФА   ПРОЕЗД САФРОНОВСКИЙ д. 53 стр. 2</v>
      </c>
      <c r="M901" t="str">
        <f t="shared" si="147"/>
        <v>2019-08-24</v>
      </c>
      <c r="N901" t="str">
        <f>"ОАО МНГИ"</f>
        <v>ОАО МНГИ</v>
      </c>
      <c r="O901" t="str">
        <f>"450000"</f>
        <v>450000</v>
      </c>
      <c r="P901" t="str">
        <f>"РЕСП БАШКОРТОСТАН"</f>
        <v>РЕСП БАШКОРТОСТАН</v>
      </c>
      <c r="Q901" t="str">
        <f>""</f>
        <v/>
      </c>
      <c r="R901" t="str">
        <f>"Г УФА"</f>
        <v>Г УФА</v>
      </c>
      <c r="S901" t="str">
        <f>""</f>
        <v/>
      </c>
      <c r="T901" t="str">
        <f>"УЛ 50 ЛЕТ СССР"</f>
        <v>УЛ 50 ЛЕТ СССР</v>
      </c>
      <c r="U901" s="1" t="str">
        <f>"43"</f>
        <v>43</v>
      </c>
      <c r="V901" s="1" t="str">
        <f>""</f>
        <v/>
      </c>
      <c r="W901" s="1" t="str">
        <f>""</f>
        <v/>
      </c>
      <c r="X901" s="1" t="str">
        <f>""</f>
        <v/>
      </c>
      <c r="Y901" s="1" t="str">
        <f>"1"</f>
        <v>1</v>
      </c>
      <c r="Z901" t="str">
        <f>"9871023629"</f>
        <v>9871023629</v>
      </c>
      <c r="AA901" t="str">
        <f>"9273313885"</f>
        <v>9273313885</v>
      </c>
      <c r="AB901" t="str">
        <f>"9273313885"</f>
        <v>9273313885</v>
      </c>
      <c r="AC901" t="str">
        <f>"9273313885"</f>
        <v>9273313885</v>
      </c>
      <c r="AD901" t="str">
        <f>"9273313885"</f>
        <v>9273313885</v>
      </c>
      <c r="AE901" t="str">
        <f>"9871023629"</f>
        <v>9871023629</v>
      </c>
    </row>
    <row r="902" spans="1:31" x14ac:dyDescent="0.45">
      <c r="A902" t="str">
        <f>"ПОПОВА ОЛЬГА СЕРГЕЕВНА"</f>
        <v>ПОПОВА ОЛЬГА СЕРГЕЕВНА</v>
      </c>
      <c r="B902" t="str">
        <f>"1992-01-31"</f>
        <v>1992-01-31</v>
      </c>
      <c r="C902" t="str">
        <f>"53 11 132282"</f>
        <v>53 11 132282</v>
      </c>
      <c r="D902" t="str">
        <f>"4279011687985443"</f>
        <v>4279011687985443</v>
      </c>
      <c r="E902" t="str">
        <f t="shared" si="143"/>
        <v>2021-05-31</v>
      </c>
      <c r="F902" t="str">
        <f>"+"</f>
        <v>+</v>
      </c>
      <c r="G902" t="str">
        <f>"+"</f>
        <v>+</v>
      </c>
      <c r="H902" t="str">
        <f>"40817810216991425027"</f>
        <v>40817810216991425027</v>
      </c>
      <c r="I902" t="str">
        <f>"8597"</f>
        <v>8597</v>
      </c>
      <c r="J902" t="str">
        <f>"7770"</f>
        <v>7770</v>
      </c>
      <c r="K902" t="str">
        <f>"35000.00"</f>
        <v>35000.00</v>
      </c>
      <c r="L902" t="str">
        <f>"454000 ОБЛ ЧЕЛЯБИНСКАЯ   Г ЧЕЛЯБИНСК   УЛ ПЕРВОЙ ПЯТИЛЕТКИ д. 57"</f>
        <v>454000 ОБЛ ЧЕЛЯБИНСКАЯ   Г ЧЕЛЯБИНСК   УЛ ПЕРВОЙ ПЯТИЛЕТКИ д. 57</v>
      </c>
      <c r="M902" t="str">
        <f t="shared" si="147"/>
        <v>2019-08-24</v>
      </c>
      <c r="N902" t="str">
        <f>"МКУ КРУ"</f>
        <v>МКУ КРУ</v>
      </c>
      <c r="O902" t="str">
        <f>"454000"</f>
        <v>454000</v>
      </c>
      <c r="P902" t="str">
        <f>"ОБЛ ЧЕЛЯБИНСКАЯ"</f>
        <v>ОБЛ ЧЕЛЯБИНСКАЯ</v>
      </c>
      <c r="Q902" t="str">
        <f>""</f>
        <v/>
      </c>
      <c r="R902" t="str">
        <f>"Г ЧЕЛЯБИНСК"</f>
        <v>Г ЧЕЛЯБИНСК</v>
      </c>
      <c r="S902" t="str">
        <f>""</f>
        <v/>
      </c>
      <c r="T902" t="str">
        <f>"УЛ ЭНГЕЛЬСА"</f>
        <v>УЛ ЭНГЕЛЬСА</v>
      </c>
      <c r="U902" s="1" t="str">
        <f>"58"</f>
        <v>58</v>
      </c>
      <c r="V902" s="1" t="str">
        <f>""</f>
        <v/>
      </c>
      <c r="W902" s="1" t="str">
        <f>""</f>
        <v/>
      </c>
      <c r="X902" s="1" t="str">
        <f>""</f>
        <v/>
      </c>
      <c r="Y902" s="1" t="str">
        <f>"64"</f>
        <v>64</v>
      </c>
      <c r="Z902" t="str">
        <f>"3512452632"</f>
        <v>3512452632</v>
      </c>
      <c r="AA902" t="str">
        <f>"0000000000"</f>
        <v>0000000000</v>
      </c>
      <c r="AB902" t="str">
        <f>"9658573234"</f>
        <v>9658573234</v>
      </c>
      <c r="AC902" t="str">
        <f>"0000000000"</f>
        <v>0000000000</v>
      </c>
      <c r="AD902" t="str">
        <f>"9658573234"</f>
        <v>9658573234</v>
      </c>
      <c r="AE902" t="str">
        <f>"3512452632"</f>
        <v>3512452632</v>
      </c>
    </row>
    <row r="903" spans="1:31" x14ac:dyDescent="0.45">
      <c r="A903" t="str">
        <f>"ЯЛОВА ЕЛЕНА СЕРГЕЕВНА"</f>
        <v>ЯЛОВА ЕЛЕНА СЕРГЕЕВНА</v>
      </c>
      <c r="B903" t="str">
        <f>"1972-07-25"</f>
        <v>1972-07-25</v>
      </c>
      <c r="C903" t="str">
        <f>"65 17 483755"</f>
        <v>65 17 483755</v>
      </c>
      <c r="D903" t="str">
        <f>"4279011635440731"</f>
        <v>4279011635440731</v>
      </c>
      <c r="E903" t="str">
        <f t="shared" si="143"/>
        <v>2021-05-31</v>
      </c>
      <c r="F903" t="str">
        <f>"Q"</f>
        <v>Q</v>
      </c>
      <c r="G903" t="str">
        <f>"Q"</f>
        <v>Q</v>
      </c>
      <c r="H903" t="str">
        <f>"40817810016991425036"</f>
        <v>40817810016991425036</v>
      </c>
      <c r="I903" t="str">
        <f>"7003"</f>
        <v>7003</v>
      </c>
      <c r="J903" t="str">
        <f>"7777"</f>
        <v>7777</v>
      </c>
      <c r="K903" t="str">
        <f>"0.00"</f>
        <v>0.00</v>
      </c>
      <c r="L903" t="str">
        <f>"623950 ОБЛ СВЕРДЛОВСКАЯ   Г ТАВДА   УЛ ЛЕНИНА д. 83 корп. А кв. 0"</f>
        <v>623950 ОБЛ СВЕРДЛОВСКАЯ   Г ТАВДА   УЛ ЛЕНИНА д. 83 корп. А кв. 0</v>
      </c>
      <c r="M903" t="str">
        <f t="shared" si="147"/>
        <v>2019-08-24</v>
      </c>
      <c r="N903" t="str">
        <f>"МВД Г. ТАВДА"</f>
        <v>МВД Г. ТАВДА</v>
      </c>
      <c r="O903" t="str">
        <f>"623950"</f>
        <v>623950</v>
      </c>
      <c r="P903" t="str">
        <f>"ОБЛ СВЕРДЛОВСКАЯ"</f>
        <v>ОБЛ СВЕРДЛОВСКАЯ</v>
      </c>
      <c r="Q903" t="str">
        <f>""</f>
        <v/>
      </c>
      <c r="R903" t="str">
        <f>"Г ТАВДА"</f>
        <v>Г ТАВДА</v>
      </c>
      <c r="S903" t="str">
        <f>""</f>
        <v/>
      </c>
      <c r="T903" t="str">
        <f>"УЛ 9 ЯНВАРЯ"</f>
        <v>УЛ 9 ЯНВАРЯ</v>
      </c>
      <c r="U903" s="1" t="str">
        <f>"103"</f>
        <v>103</v>
      </c>
      <c r="V903" s="1" t="str">
        <f>""</f>
        <v/>
      </c>
      <c r="W903" s="1" t="str">
        <f>""</f>
        <v/>
      </c>
      <c r="X903" s="1" t="str">
        <f>""</f>
        <v/>
      </c>
      <c r="Y903" s="1" t="str">
        <f>""</f>
        <v/>
      </c>
      <c r="Z903" t="str">
        <f>"3436052278"</f>
        <v>3436052278</v>
      </c>
      <c r="AA903" t="str">
        <f>"9043804202"</f>
        <v>9043804202</v>
      </c>
      <c r="AB903" t="str">
        <f>"9043804202"</f>
        <v>9043804202</v>
      </c>
      <c r="AC903" t="str">
        <f>"9043804202"</f>
        <v>9043804202</v>
      </c>
      <c r="AD903" t="str">
        <f>"9043804202"</f>
        <v>9043804202</v>
      </c>
      <c r="AE903" t="str">
        <f>"3436052278"</f>
        <v>3436052278</v>
      </c>
    </row>
    <row r="904" spans="1:31" x14ac:dyDescent="0.45">
      <c r="A904" t="str">
        <f>"ГУМЕРОВ ТАГИР ФАЙЗУЛЛОВИЧ"</f>
        <v>ГУМЕРОВ ТАГИР ФАЙЗУЛЛОВИЧ</v>
      </c>
      <c r="B904" t="str">
        <f>"1979-01-15"</f>
        <v>1979-01-15</v>
      </c>
      <c r="C904" t="str">
        <f>"80 13 754759"</f>
        <v>80 13 754759</v>
      </c>
      <c r="D904" t="str">
        <f>"4279011683692126"</f>
        <v>4279011683692126</v>
      </c>
      <c r="E904" t="str">
        <f t="shared" si="143"/>
        <v>2021-05-31</v>
      </c>
      <c r="F904" t="str">
        <f>"+"</f>
        <v>+</v>
      </c>
      <c r="G904" t="str">
        <f>"+"</f>
        <v>+</v>
      </c>
      <c r="H904" t="str">
        <f>"40817810916991425039"</f>
        <v>40817810916991425039</v>
      </c>
      <c r="I904" t="str">
        <f>"8598"</f>
        <v>8598</v>
      </c>
      <c r="J904" t="str">
        <f>"0317"</f>
        <v>0317</v>
      </c>
      <c r="K904" t="str">
        <f>"38000.00"</f>
        <v>38000.00</v>
      </c>
      <c r="L904" t="str">
        <f>"453571 РЕСП БАШКОРТОСТАН   Г МЕЖГОРЬЕ Г МЕЖГОРЬЕ УЧ-К СОВЕТСКАЯ д. 21"</f>
        <v>453571 РЕСП БАШКОРТОСТАН   Г МЕЖГОРЬЕ Г МЕЖГОРЬЕ УЧ-К СОВЕТСКАЯ д. 21</v>
      </c>
      <c r="M904" t="str">
        <f t="shared" si="147"/>
        <v>2019-08-24</v>
      </c>
      <c r="N904" t="str">
        <f>"ФКУ 4 ОФПС ГПС ПО ЯНАО"</f>
        <v>ФКУ 4 ОФПС ГПС ПО ЯНАО</v>
      </c>
      <c r="O904" t="str">
        <f>"450000"</f>
        <v>450000</v>
      </c>
      <c r="P904" t="str">
        <f>"РЕСП БАШКОРТОСТАН"</f>
        <v>РЕСП БАШКОРТОСТАН</v>
      </c>
      <c r="Q904" t="str">
        <f>"Р-Н БЕЛОРЕЦКИЙ"</f>
        <v>Р-Н БЕЛОРЕЦКИЙ</v>
      </c>
      <c r="R904" t="str">
        <f>"Г МЕЖГОРЬЕ"</f>
        <v>Г МЕЖГОРЬЕ</v>
      </c>
      <c r="S904" t="str">
        <f>"Г МЕЖГОРЬЕ"</f>
        <v>Г МЕЖГОРЬЕ</v>
      </c>
      <c r="T904" t="str">
        <f>"УЛ КАРБЫШЕВА"</f>
        <v>УЛ КАРБЫШЕВА</v>
      </c>
      <c r="U904" s="1" t="str">
        <f>"3"</f>
        <v>3</v>
      </c>
      <c r="V904" s="1" t="str">
        <f>""</f>
        <v/>
      </c>
      <c r="W904" s="1" t="str">
        <f>""</f>
        <v/>
      </c>
      <c r="X904" s="1" t="str">
        <f>""</f>
        <v/>
      </c>
      <c r="Y904" s="1" t="str">
        <f>"38"</f>
        <v>38</v>
      </c>
      <c r="Z904" t="str">
        <f>"3478121085"</f>
        <v>3478121085</v>
      </c>
      <c r="AA904" t="str">
        <f>"9659471020"</f>
        <v>9659471020</v>
      </c>
      <c r="AB904" t="str">
        <f>"9659471020"</f>
        <v>9659471020</v>
      </c>
      <c r="AC904" t="str">
        <f>"9659471020"</f>
        <v>9659471020</v>
      </c>
      <c r="AD904" t="str">
        <f>"9659471020"</f>
        <v>9659471020</v>
      </c>
      <c r="AE904" t="str">
        <f>"9659461332"</f>
        <v>9659461332</v>
      </c>
    </row>
    <row r="905" spans="1:31" x14ac:dyDescent="0.45">
      <c r="A905" t="str">
        <f>"СЕЛЯНИН АНАТОЛИЙ АНАТОЛЬЕВИЧ"</f>
        <v>СЕЛЯНИН АНАТОЛИЙ АНАТОЛЬЕВИЧ</v>
      </c>
      <c r="B905" t="str">
        <f>"1982-10-18"</f>
        <v>1982-10-18</v>
      </c>
      <c r="C905" t="str">
        <f>"07 03 326966"</f>
        <v>07 03 326966</v>
      </c>
      <c r="D905" t="str">
        <f>"5313100403470270"</f>
        <v>5313100403470270</v>
      </c>
      <c r="E905" t="str">
        <f>"2021-03-31"</f>
        <v>2021-03-31</v>
      </c>
      <c r="F905" t="str">
        <f>"+"</f>
        <v>+</v>
      </c>
      <c r="G905" t="str">
        <f>"+"</f>
        <v>+</v>
      </c>
      <c r="H905" t="str">
        <f>"40817810516991428261"</f>
        <v>40817810516991428261</v>
      </c>
      <c r="I905" t="str">
        <f>"8597"</f>
        <v>8597</v>
      </c>
      <c r="J905" t="str">
        <f>"0280"</f>
        <v>0280</v>
      </c>
      <c r="K905" t="str">
        <f>"60000.00"</f>
        <v>60000.00</v>
      </c>
      <c r="L905" t="str">
        <f>"454000 ОБЛ ЧЕЛЯБИНСКАЯ   Г ЧЕЛЯБИНСК   УЛ МАШИНОСТРОИТЕЛЕЙ д. 21 офис 1"</f>
        <v>454000 ОБЛ ЧЕЛЯБИНСКАЯ   Г ЧЕЛЯБИНСК   УЛ МАШИНОСТРОИТЕЛЕЙ д. 21 офис 1</v>
      </c>
      <c r="M905" t="str">
        <f t="shared" si="147"/>
        <v>2019-08-24</v>
      </c>
      <c r="N905" t="str">
        <f>"ОАО ЧТПЗ"</f>
        <v>ОАО ЧТПЗ</v>
      </c>
      <c r="O905" t="str">
        <f>"454000"</f>
        <v>454000</v>
      </c>
      <c r="P905" t="str">
        <f>"ОБЛ ЧЕЛЯБИНСКАЯ"</f>
        <v>ОБЛ ЧЕЛЯБИНСКАЯ</v>
      </c>
      <c r="Q905" t="str">
        <f>""</f>
        <v/>
      </c>
      <c r="R905" t="str">
        <f>"Г ЧЕЛЯБИНСК"</f>
        <v>Г ЧЕЛЯБИНСК</v>
      </c>
      <c r="S905" t="str">
        <f>""</f>
        <v/>
      </c>
      <c r="T905" t="str">
        <f>"УЛ ЭНЕРГЕТИКОВ"</f>
        <v>УЛ ЭНЕРГЕТИКОВ</v>
      </c>
      <c r="U905" s="1" t="str">
        <f>"52"</f>
        <v>52</v>
      </c>
      <c r="V905" s="1" t="str">
        <f>""</f>
        <v/>
      </c>
      <c r="W905" s="1" t="str">
        <f>""</f>
        <v/>
      </c>
      <c r="X905" s="1" t="str">
        <f>""</f>
        <v/>
      </c>
      <c r="Y905" s="1" t="str">
        <f>"49"</f>
        <v>49</v>
      </c>
      <c r="Z905" t="str">
        <f>""</f>
        <v/>
      </c>
      <c r="AA905" t="str">
        <f>"9068632951"</f>
        <v>9068632951</v>
      </c>
      <c r="AB905" t="str">
        <f>"9090836584"</f>
        <v>9090836584</v>
      </c>
      <c r="AC905" t="str">
        <f>"9068632951"</f>
        <v>9068632951</v>
      </c>
      <c r="AD905" t="str">
        <f>"9090836584"</f>
        <v>9090836584</v>
      </c>
      <c r="AE905" t="str">
        <f>""</f>
        <v/>
      </c>
    </row>
    <row r="906" spans="1:31" x14ac:dyDescent="0.45">
      <c r="A906" t="str">
        <f>"КАДОЧНИКОВ АЛЕКСАНДР ВЕНИАМИНОВИЧ"</f>
        <v>КАДОЧНИКОВ АЛЕКСАНДР ВЕНИАМИНОВИЧ</v>
      </c>
      <c r="B906" t="str">
        <f>"1960-04-28"</f>
        <v>1960-04-28</v>
      </c>
      <c r="C906" t="str">
        <f>"75 04 605362"</f>
        <v>75 04 605362</v>
      </c>
      <c r="D906" t="str">
        <f>"4854630222539663"</f>
        <v>4854630222539663</v>
      </c>
      <c r="E906" t="str">
        <f>"2021-04-30"</f>
        <v>2021-04-30</v>
      </c>
      <c r="F906" t="str">
        <f>"Q"</f>
        <v>Q</v>
      </c>
      <c r="G906" t="str">
        <f>"Q"</f>
        <v>Q</v>
      </c>
      <c r="H906" t="str">
        <f>"40817810816991428262"</f>
        <v>40817810816991428262</v>
      </c>
      <c r="I906" t="str">
        <f>"8597"</f>
        <v>8597</v>
      </c>
      <c r="J906" t="str">
        <f>"0533"</f>
        <v>0533</v>
      </c>
      <c r="K906" t="str">
        <f>"0.00"</f>
        <v>0.00</v>
      </c>
      <c r="L906" t="str">
        <f>"456320 ОБЛ ЧЕЛЯБИНСКАЯ   Г МИАСС   ДОР ОБЪЕЗДНАЯ д. 6/3"</f>
        <v>456320 ОБЛ ЧЕЛЯБИНСКАЯ   Г МИАСС   ДОР ОБЪЕЗДНАЯ д. 6/3</v>
      </c>
      <c r="M906" t="str">
        <f t="shared" si="147"/>
        <v>2019-08-24</v>
      </c>
      <c r="N906" t="s">
        <v>65</v>
      </c>
      <c r="O906" t="str">
        <f>"456320"</f>
        <v>456320</v>
      </c>
      <c r="P906" t="str">
        <f>"ОБЛ ЧЕЛЯБИНСКАЯ"</f>
        <v>ОБЛ ЧЕЛЯБИНСКАЯ</v>
      </c>
      <c r="Q906" t="str">
        <f>""</f>
        <v/>
      </c>
      <c r="R906" t="str">
        <f>"Г МИАСС"</f>
        <v>Г МИАСС</v>
      </c>
      <c r="S906" t="str">
        <f>""</f>
        <v/>
      </c>
      <c r="T906" t="str">
        <f>"УЛ ОЛИМПИЙСКАЯ"</f>
        <v>УЛ ОЛИМПИЙСКАЯ</v>
      </c>
      <c r="U906" s="1" t="str">
        <f>"14"</f>
        <v>14</v>
      </c>
      <c r="V906" s="1" t="str">
        <f>""</f>
        <v/>
      </c>
      <c r="W906" s="1" t="str">
        <f>""</f>
        <v/>
      </c>
      <c r="X906" s="1" t="str">
        <f>""</f>
        <v/>
      </c>
      <c r="Y906" s="1" t="str">
        <f>"35"</f>
        <v>35</v>
      </c>
      <c r="Z906" t="str">
        <f>""</f>
        <v/>
      </c>
      <c r="AA906" t="str">
        <f>"9088270849"</f>
        <v>9088270849</v>
      </c>
      <c r="AB906" t="str">
        <f>"9088270849"</f>
        <v>9088270849</v>
      </c>
      <c r="AC906" t="str">
        <f>"9088270849"</f>
        <v>9088270849</v>
      </c>
      <c r="AD906" t="str">
        <f>"9088270849"</f>
        <v>9088270849</v>
      </c>
      <c r="AE906" t="str">
        <f>""</f>
        <v/>
      </c>
    </row>
    <row r="907" spans="1:31" x14ac:dyDescent="0.45">
      <c r="A907" t="str">
        <f>"ФАХРЕТДИНОВ РАВИЛЬ ГИЗДЕТДИНОВИЧ"</f>
        <v>ФАХРЕТДИНОВ РАВИЛЬ ГИЗДЕТДИНОВИЧ</v>
      </c>
      <c r="B907" t="str">
        <f>"1955-03-18"</f>
        <v>1955-03-18</v>
      </c>
      <c r="C907" t="str">
        <f>"80 01 095576"</f>
        <v>80 01 095576</v>
      </c>
      <c r="D907" t="str">
        <f>"4854630394711066"</f>
        <v>4854630394711066</v>
      </c>
      <c r="E907" t="str">
        <f>"2021-04-30"</f>
        <v>2021-04-30</v>
      </c>
      <c r="F907" t="str">
        <f>"K"</f>
        <v>K</v>
      </c>
      <c r="G907" t="str">
        <f>"+"</f>
        <v>+</v>
      </c>
      <c r="H907" t="str">
        <f>"40817810716991428304"</f>
        <v>40817810716991428304</v>
      </c>
      <c r="I907" t="str">
        <f>"8598"</f>
        <v>8598</v>
      </c>
      <c r="J907" t="str">
        <f>"0365"</f>
        <v>0365</v>
      </c>
      <c r="K907" t="str">
        <f>"185000.00"</f>
        <v>185000.00</v>
      </c>
      <c r="L907" t="str">
        <f>"450000 РЕСП БАШКОРТОСТАН   Г СТЕРЛИТАМАК   УЛ ГОГОЛЯ д. 18"</f>
        <v>450000 РЕСП БАШКОРТОСТАН   Г СТЕРЛИТАМАК   УЛ ГОГОЛЯ д. 18</v>
      </c>
      <c r="M907" t="str">
        <f t="shared" si="147"/>
        <v>2019-08-24</v>
      </c>
      <c r="N907" t="str">
        <f>"ПФР"</f>
        <v>ПФР</v>
      </c>
      <c r="O907" t="str">
        <f>"450000"</f>
        <v>450000</v>
      </c>
      <c r="P907" t="str">
        <f>"РЕСП БАШКОРТОСТАН"</f>
        <v>РЕСП БАШКОРТОСТАН</v>
      </c>
      <c r="Q907" t="str">
        <f>""</f>
        <v/>
      </c>
      <c r="R907" t="str">
        <f>"Г СТЕРЛИТАМАК"</f>
        <v>Г СТЕРЛИТАМАК</v>
      </c>
      <c r="S907" t="str">
        <f>""</f>
        <v/>
      </c>
      <c r="T907" t="str">
        <f>"ПР-КТ ОКТЯБРЯ"</f>
        <v>ПР-КТ ОКТЯБРЯ</v>
      </c>
      <c r="U907" s="1" t="str">
        <f>"59"</f>
        <v>59</v>
      </c>
      <c r="V907" s="1" t="str">
        <f>""</f>
        <v/>
      </c>
      <c r="W907" s="1" t="str">
        <f>""</f>
        <v/>
      </c>
      <c r="X907" s="1" t="str">
        <f>""</f>
        <v/>
      </c>
      <c r="Y907" s="1" t="str">
        <f>"227"</f>
        <v>227</v>
      </c>
      <c r="Z907" t="str">
        <f>""</f>
        <v/>
      </c>
      <c r="AA907" t="str">
        <f>"+7 (989) 9547944"</f>
        <v>+7 (989) 9547944</v>
      </c>
      <c r="AB907" t="str">
        <f>"+7 (937) 4815183"</f>
        <v>+7 (937) 4815183</v>
      </c>
      <c r="AC907" t="str">
        <f>"9374815183"</f>
        <v>9374815183</v>
      </c>
      <c r="AD907" t="str">
        <f>"9374815183"</f>
        <v>9374815183</v>
      </c>
      <c r="AE907" t="str">
        <f>""</f>
        <v/>
      </c>
    </row>
    <row r="908" spans="1:31" x14ac:dyDescent="0.45">
      <c r="A908" t="str">
        <f>"КОВАЛЬЧУК СЕРГЕЙ НИКОЛАЕВИЧ"</f>
        <v>КОВАЛЬЧУК СЕРГЕЙ НИКОЛАЕВИЧ</v>
      </c>
      <c r="B908" t="str">
        <f>"1969-04-06"</f>
        <v>1969-04-06</v>
      </c>
      <c r="C908" t="str">
        <f>"75 13 421367"</f>
        <v>75 13 421367</v>
      </c>
      <c r="D908" t="str">
        <f>"4854630401179885"</f>
        <v>4854630401179885</v>
      </c>
      <c r="E908" t="str">
        <f>"2021-04-30"</f>
        <v>2021-04-30</v>
      </c>
      <c r="F908" t="str">
        <f>"+"</f>
        <v>+</v>
      </c>
      <c r="G908" t="str">
        <f>"+"</f>
        <v>+</v>
      </c>
      <c r="H908" t="str">
        <f>"40817810016991428305"</f>
        <v>40817810016991428305</v>
      </c>
      <c r="I908" t="str">
        <f>"8597"</f>
        <v>8597</v>
      </c>
      <c r="J908" t="str">
        <f>"0231"</f>
        <v>0231</v>
      </c>
      <c r="K908" t="str">
        <f>"20000.00"</f>
        <v>20000.00</v>
      </c>
      <c r="L908" t="str">
        <f>"454000 ОБЛ ЧЕЛЯБИНСКАЯ   Г ЧЕЛЯБИНСК   ПР-КТ СВЕРДЛОВСКИЙ"</f>
        <v>454000 ОБЛ ЧЕЛЯБИНСКАЯ   Г ЧЕЛЯБИНСК   ПР-КТ СВЕРДЛОВСКИЙ</v>
      </c>
      <c r="M908" t="str">
        <f t="shared" si="147"/>
        <v>2019-08-24</v>
      </c>
      <c r="N908" t="str">
        <f>"ПАО ЧЕЯЛБИНСКИЙ ЦИНКОВЫЙ ЗАВОД"</f>
        <v>ПАО ЧЕЯЛБИНСКИЙ ЦИНКОВЫЙ ЗАВОД</v>
      </c>
      <c r="O908" t="str">
        <f>"454000"</f>
        <v>454000</v>
      </c>
      <c r="P908" t="str">
        <f>"ОБЛ ЧЕЛЯБИНСКАЯ"</f>
        <v>ОБЛ ЧЕЛЯБИНСКАЯ</v>
      </c>
      <c r="Q908" t="str">
        <f>""</f>
        <v/>
      </c>
      <c r="R908" t="str">
        <f>"Г ЧЕЛЯБИНСК"</f>
        <v>Г ЧЕЛЯБИНСК</v>
      </c>
      <c r="S908" t="str">
        <f>""</f>
        <v/>
      </c>
      <c r="T908" t="str">
        <f>"УЛ КИРОВА"</f>
        <v>УЛ КИРОВА</v>
      </c>
      <c r="U908" s="1" t="str">
        <f>"9/2"</f>
        <v>9/2</v>
      </c>
      <c r="V908" s="1" t="str">
        <f>""</f>
        <v/>
      </c>
      <c r="W908" s="1" t="str">
        <f>""</f>
        <v/>
      </c>
      <c r="X908" s="1" t="str">
        <f>""</f>
        <v/>
      </c>
      <c r="Y908" s="1" t="str">
        <f>"103"</f>
        <v>103</v>
      </c>
      <c r="Z908" t="str">
        <f>""</f>
        <v/>
      </c>
      <c r="AA908" t="str">
        <f>"3517966480"</f>
        <v>3517966480</v>
      </c>
      <c r="AB908" t="str">
        <f>"9514737241"</f>
        <v>9514737241</v>
      </c>
      <c r="AC908" t="str">
        <f>"3517966480"</f>
        <v>3517966480</v>
      </c>
      <c r="AD908" t="str">
        <f>"9514737241"</f>
        <v>9514737241</v>
      </c>
      <c r="AE908" t="str">
        <f>""</f>
        <v/>
      </c>
    </row>
    <row r="909" spans="1:31" x14ac:dyDescent="0.45">
      <c r="A909" t="str">
        <f>"ШИШКОВА ГАЛИНА КАЛИСТРАТОВНА"</f>
        <v>ШИШКОВА ГАЛИНА КАЛИСТРАТОВНА</v>
      </c>
      <c r="B909" t="str">
        <f>"1958-01-11"</f>
        <v>1958-01-11</v>
      </c>
      <c r="C909" t="str">
        <f>"37 02 641495"</f>
        <v>37 02 641495</v>
      </c>
      <c r="D909" t="str">
        <f>"4854630260720209"</f>
        <v>4854630260720209</v>
      </c>
      <c r="E909" t="str">
        <f>"2020-11-30"</f>
        <v>2020-11-30</v>
      </c>
      <c r="F909" t="str">
        <f>"Q"</f>
        <v>Q</v>
      </c>
      <c r="G909" t="str">
        <f>"Q"</f>
        <v>Q</v>
      </c>
      <c r="H909" t="str">
        <f>"40817810816991428327"</f>
        <v>40817810816991428327</v>
      </c>
      <c r="I909" t="str">
        <f>"7003"</f>
        <v>7003</v>
      </c>
      <c r="J909" t="str">
        <f>"0878"</f>
        <v>0878</v>
      </c>
      <c r="K909" t="str">
        <f>"0.00"</f>
        <v>0.00</v>
      </c>
      <c r="L909" t="str">
        <f>"620000 ОБЛ СВЕРДЛОВСКАЯ   Г ЕКАТЕРИНБУРГ   УЛ РЕПИНА д. 101 кв. 130"</f>
        <v>620000 ОБЛ СВЕРДЛОВСКАЯ   Г ЕКАТЕРИНБУРГ   УЛ РЕПИНА д. 101 кв. 130</v>
      </c>
      <c r="M909" t="str">
        <f t="shared" si="147"/>
        <v>2019-08-24</v>
      </c>
      <c r="N909" t="str">
        <f>"ПЕНСИОНЕР"</f>
        <v>ПЕНСИОНЕР</v>
      </c>
      <c r="O909" t="str">
        <f>"620000"</f>
        <v>620000</v>
      </c>
      <c r="P909" t="str">
        <f>"ОБЛ СВЕРДЛОВСКАЯ"</f>
        <v>ОБЛ СВЕРДЛОВСКАЯ</v>
      </c>
      <c r="Q909" t="str">
        <f>""</f>
        <v/>
      </c>
      <c r="R909" t="str">
        <f>"Г ЕКАТЕРИНБУРГ"</f>
        <v>Г ЕКАТЕРИНБУРГ</v>
      </c>
      <c r="S909" t="str">
        <f>""</f>
        <v/>
      </c>
      <c r="T909" t="str">
        <f>"УЛ РЕПИНА"</f>
        <v>УЛ РЕПИНА</v>
      </c>
      <c r="U909" s="1" t="str">
        <f>"101"</f>
        <v>101</v>
      </c>
      <c r="V909" s="1" t="str">
        <f>""</f>
        <v/>
      </c>
      <c r="W909" s="1" t="str">
        <f>""</f>
        <v/>
      </c>
      <c r="X909" s="1" t="str">
        <f>""</f>
        <v/>
      </c>
      <c r="Y909" s="1" t="str">
        <f>"130"</f>
        <v>130</v>
      </c>
      <c r="Z909" t="str">
        <f>""</f>
        <v/>
      </c>
      <c r="AA909" t="str">
        <f>"9678529558"</f>
        <v>9678529558</v>
      </c>
      <c r="AB909" t="str">
        <f>"9678529558"</f>
        <v>9678529558</v>
      </c>
      <c r="AC909" t="str">
        <f>"9678529558"</f>
        <v>9678529558</v>
      </c>
      <c r="AD909" t="str">
        <f>"9678529558"</f>
        <v>9678529558</v>
      </c>
      <c r="AE909" t="str">
        <f>""</f>
        <v/>
      </c>
    </row>
    <row r="910" spans="1:31" x14ac:dyDescent="0.45">
      <c r="A910" t="str">
        <f>"КИТИКОВА ГУЛЬФИРА РАУФОВНА"</f>
        <v>КИТИКОВА ГУЛЬФИРА РАУФОВНА</v>
      </c>
      <c r="B910" t="str">
        <f>"1992-04-10"</f>
        <v>1992-04-10</v>
      </c>
      <c r="C910" t="str">
        <f>"80 13 789752"</f>
        <v>80 13 789752</v>
      </c>
      <c r="D910" t="str">
        <f>"4854630085629643"</f>
        <v>4854630085629643</v>
      </c>
      <c r="E910" t="str">
        <f>"2020-11-30"</f>
        <v>2020-11-30</v>
      </c>
      <c r="F910" t="str">
        <f>"+"</f>
        <v>+</v>
      </c>
      <c r="G910" t="str">
        <f>"+"</f>
        <v>+</v>
      </c>
      <c r="H910" t="str">
        <f>"40817810116991424720"</f>
        <v>40817810116991424720</v>
      </c>
      <c r="I910" t="str">
        <f>"8598"</f>
        <v>8598</v>
      </c>
      <c r="J910" t="str">
        <f>"0233"</f>
        <v>0233</v>
      </c>
      <c r="K910" t="str">
        <f>"95000.00"</f>
        <v>95000.00</v>
      </c>
      <c r="L910" t="str">
        <f>"450000 РЕСП БАШКОРТОСТАН   Г САЛАВАТ   УЛ ЛЕНИНГРАДСКАЯ д. 45 кв. 109А"</f>
        <v>450000 РЕСП БАШКОРТОСТАН   Г САЛАВАТ   УЛ ЛЕНИНГРАДСКАЯ д. 45 кв. 109А</v>
      </c>
      <c r="M910" t="str">
        <f t="shared" si="147"/>
        <v>2019-08-24</v>
      </c>
      <c r="N910" t="str">
        <f>"38066268"</f>
        <v>38066268</v>
      </c>
      <c r="O910" t="str">
        <f>"450000"</f>
        <v>450000</v>
      </c>
      <c r="P910" t="str">
        <f>"РЕСП БАШКОРТОСТАН"</f>
        <v>РЕСП БАШКОРТОСТАН</v>
      </c>
      <c r="Q910" t="str">
        <f>""</f>
        <v/>
      </c>
      <c r="R910" t="str">
        <f>"Г САЛАВАТ"</f>
        <v>Г САЛАВАТ</v>
      </c>
      <c r="S910" t="str">
        <f>""</f>
        <v/>
      </c>
      <c r="T910" t="str">
        <f>"УЛ ЛЕНИНГРАДСКАЯ"</f>
        <v>УЛ ЛЕНИНГРАДСКАЯ</v>
      </c>
      <c r="U910" s="1" t="str">
        <f>"45"</f>
        <v>45</v>
      </c>
      <c r="V910" s="1" t="str">
        <f>""</f>
        <v/>
      </c>
      <c r="W910" s="1" t="str">
        <f>""</f>
        <v/>
      </c>
      <c r="X910" s="1" t="str">
        <f>""</f>
        <v/>
      </c>
      <c r="Y910" s="1" t="str">
        <f>"109А"</f>
        <v>109А</v>
      </c>
      <c r="Z910" t="str">
        <f>""</f>
        <v/>
      </c>
      <c r="AA910" t="str">
        <f>"9174787603"</f>
        <v>9174787603</v>
      </c>
      <c r="AB910" t="str">
        <f>"9174787603"</f>
        <v>9174787603</v>
      </c>
      <c r="AC910" t="str">
        <f>"9174787603"</f>
        <v>9174787603</v>
      </c>
      <c r="AD910" t="str">
        <f>"9174787603"</f>
        <v>9174787603</v>
      </c>
      <c r="AE910" t="str">
        <f>""</f>
        <v/>
      </c>
    </row>
    <row r="911" spans="1:31" x14ac:dyDescent="0.45">
      <c r="A911" t="str">
        <f>"КУЖАХМЕТОВ ИЛШАТ МУГАЛЛЯМОВИЧ"</f>
        <v>КУЖАХМЕТОВ ИЛШАТ МУГАЛЛЯМОВИЧ</v>
      </c>
      <c r="B911" t="str">
        <f>"1977-06-01"</f>
        <v>1977-06-01</v>
      </c>
      <c r="C911" t="str">
        <f>"80 01 172199"</f>
        <v>80 01 172199</v>
      </c>
      <c r="D911" t="str">
        <f>"5484011602277536"</f>
        <v>5484011602277536</v>
      </c>
      <c r="E911" t="str">
        <f t="shared" ref="E911:E932" si="148">"2021-05-31"</f>
        <v>2021-05-31</v>
      </c>
      <c r="F911" t="str">
        <f>"L"</f>
        <v>L</v>
      </c>
      <c r="G911" t="str">
        <f>"+"</f>
        <v>+</v>
      </c>
      <c r="H911" t="str">
        <f>"40817810816991425045"</f>
        <v>40817810816991425045</v>
      </c>
      <c r="I911" t="str">
        <f>"8598"</f>
        <v>8598</v>
      </c>
      <c r="J911" t="str">
        <f>"0724"</f>
        <v>0724</v>
      </c>
      <c r="K911" t="str">
        <f>"20000.00"</f>
        <v>20000.00</v>
      </c>
      <c r="L911" t="str">
        <f>"453613 РЕСП БАШКОРТОСТАН Р-Н АБЗЕЛИЛОВСКИЙ   С КУСИМОВСКОГО РУДНИКА УЛ ПОБЕДЫ д. 30"</f>
        <v>453613 РЕСП БАШКОРТОСТАН Р-Н АБЗЕЛИЛОВСКИЙ   С КУСИМОВСКОГО РУДНИКА УЛ ПОБЕДЫ д. 30</v>
      </c>
      <c r="M911" t="str">
        <f t="shared" si="147"/>
        <v>2019-08-24</v>
      </c>
      <c r="N911" t="str">
        <f>"ГБУ АВАРИЙНО-СПАСАТЕЛЬНАЯ СЛУЖБА РБ"</f>
        <v>ГБУ АВАРИЙНО-СПАСАТЕЛЬНАЯ СЛУЖБА РБ</v>
      </c>
      <c r="O911" t="str">
        <f>"453612"</f>
        <v>453612</v>
      </c>
      <c r="P911" t="str">
        <f>"РЕСП БАШКОРТОСТАН"</f>
        <v>РЕСП БАШКОРТОСТАН</v>
      </c>
      <c r="Q911" t="str">
        <f>"Р-Н АБЗЕЛИЛОВСКИЙ"</f>
        <v>Р-Н АБЗЕЛИЛОВСКИЙ</v>
      </c>
      <c r="R911" t="str">
        <f>""</f>
        <v/>
      </c>
      <c r="S911" t="str">
        <f>"С ТАШБУЛАТОВО"</f>
        <v>С ТАШБУЛАТОВО</v>
      </c>
      <c r="T911" t="str">
        <f>"УЛ МОЛОДЕЖНАЯ"</f>
        <v>УЛ МОЛОДЕЖНАЯ</v>
      </c>
      <c r="U911" s="1" t="str">
        <f>"96"</f>
        <v>96</v>
      </c>
      <c r="V911" s="1" t="str">
        <f>""</f>
        <v/>
      </c>
      <c r="W911" s="1" t="str">
        <f>""</f>
        <v/>
      </c>
      <c r="X911" s="1" t="str">
        <f>""</f>
        <v/>
      </c>
      <c r="Y911" s="1" t="str">
        <f>""</f>
        <v/>
      </c>
      <c r="Z911" t="str">
        <f>"3519482547"</f>
        <v>3519482547</v>
      </c>
      <c r="AA911" t="str">
        <f>"3477223326"</f>
        <v>3477223326</v>
      </c>
      <c r="AB911" t="str">
        <f>"9613697463"</f>
        <v>9613697463</v>
      </c>
      <c r="AC911" t="str">
        <f>"9613697463"</f>
        <v>9613697463</v>
      </c>
      <c r="AD911" t="str">
        <f>"9613697463"</f>
        <v>9613697463</v>
      </c>
      <c r="AE911" t="str">
        <f>"3477223619"</f>
        <v>3477223619</v>
      </c>
    </row>
    <row r="912" spans="1:31" x14ac:dyDescent="0.45">
      <c r="A912" t="str">
        <f>"БАТУХТИНА НАТАЛЬЯ МИХАЙЛОВНА"</f>
        <v>БАТУХТИНА НАТАЛЬЯ МИХАЙЛОВНА</v>
      </c>
      <c r="B912" t="str">
        <f>"1956-10-19"</f>
        <v>1956-10-19</v>
      </c>
      <c r="C912" t="str">
        <f>"37 02 367207"</f>
        <v>37 02 367207</v>
      </c>
      <c r="D912" t="str">
        <f>"4279011615092411"</f>
        <v>4279011615092411</v>
      </c>
      <c r="E912" t="str">
        <f t="shared" si="148"/>
        <v>2021-05-31</v>
      </c>
      <c r="F912" t="str">
        <f>"Q"</f>
        <v>Q</v>
      </c>
      <c r="G912" t="str">
        <f>"Q"</f>
        <v>Q</v>
      </c>
      <c r="H912" t="str">
        <f>"40817810716991425048"</f>
        <v>40817810716991425048</v>
      </c>
      <c r="I912" t="str">
        <f>"8599"</f>
        <v>8599</v>
      </c>
      <c r="J912" t="str">
        <f>"7770"</f>
        <v>7770</v>
      </c>
      <c r="K912" t="str">
        <f>"0.00"</f>
        <v>0.00</v>
      </c>
      <c r="L912" t="str">
        <f>"641000 ОБЛ КУРГАНСКАЯ   Г КУРГАН   УЛ ТОМИНА д. 61"</f>
        <v>641000 ОБЛ КУРГАНСКАЯ   Г КУРГАН   УЛ ТОМИНА д. 61</v>
      </c>
      <c r="M912" t="str">
        <f t="shared" si="147"/>
        <v>2019-08-24</v>
      </c>
      <c r="N912" t="str">
        <f>"ПЕНСИОНЕР"</f>
        <v>ПЕНСИОНЕР</v>
      </c>
      <c r="O912" t="str">
        <f>"641000"</f>
        <v>641000</v>
      </c>
      <c r="P912" t="str">
        <f>"ОБЛ КУРГАНСКАЯ"</f>
        <v>ОБЛ КУРГАНСКАЯ</v>
      </c>
      <c r="Q912" t="str">
        <f>""</f>
        <v/>
      </c>
      <c r="R912" t="str">
        <f>"Г КУРГАН"</f>
        <v>Г КУРГАН</v>
      </c>
      <c r="S912" t="str">
        <f>""</f>
        <v/>
      </c>
      <c r="T912" t="str">
        <f>"УЛ САВЕЛЬЕВА"</f>
        <v>УЛ САВЕЛЬЕВА</v>
      </c>
      <c r="U912" s="1" t="str">
        <f>"31"</f>
        <v>31</v>
      </c>
      <c r="V912" s="1" t="str">
        <f>""</f>
        <v/>
      </c>
      <c r="W912" s="1" t="str">
        <f>""</f>
        <v/>
      </c>
      <c r="X912" s="1" t="str">
        <f>""</f>
        <v/>
      </c>
      <c r="Y912" s="1" t="str">
        <f>"78"</f>
        <v>78</v>
      </c>
      <c r="Z912" t="str">
        <f>"+7 (3522) 471558"</f>
        <v>+7 (3522) 471558</v>
      </c>
      <c r="AA912" t="str">
        <f>"+7 (919) 5858928"</f>
        <v>+7 (919) 5858928</v>
      </c>
      <c r="AB912" t="str">
        <f>"+7 (919) 5858928"</f>
        <v>+7 (919) 5858928</v>
      </c>
      <c r="AC912" t="str">
        <f>"3522443218"</f>
        <v>3522443218</v>
      </c>
      <c r="AD912" t="str">
        <f>"9195858928"</f>
        <v>9195858928</v>
      </c>
      <c r="AE912" t="str">
        <f>"3522443218"</f>
        <v>3522443218</v>
      </c>
    </row>
    <row r="913" spans="1:31" x14ac:dyDescent="0.45">
      <c r="A913" t="str">
        <f>"НЕЛЮБИН КОНСТАНТИН ВАЛЕРЬЕВИЧ"</f>
        <v>НЕЛЮБИН КОНСТАНТИН ВАЛЕРЬЕВИЧ</v>
      </c>
      <c r="B913" t="str">
        <f>"1994-06-25"</f>
        <v>1994-06-25</v>
      </c>
      <c r="C913" t="str">
        <f>"65 15 116335"</f>
        <v>65 15 116335</v>
      </c>
      <c r="D913" t="str">
        <f>"4279011674120400"</f>
        <v>4279011674120400</v>
      </c>
      <c r="E913" t="str">
        <f t="shared" si="148"/>
        <v>2021-05-31</v>
      </c>
      <c r="F913" t="str">
        <f>"Q"</f>
        <v>Q</v>
      </c>
      <c r="G913" t="str">
        <f>"Q"</f>
        <v>Q</v>
      </c>
      <c r="H913" t="str">
        <f>"40817810416991425047"</f>
        <v>40817810416991425047</v>
      </c>
      <c r="I913" t="str">
        <f>"7003"</f>
        <v>7003</v>
      </c>
      <c r="J913" t="str">
        <f>"7777"</f>
        <v>7777</v>
      </c>
      <c r="K913" t="str">
        <f>"0.00"</f>
        <v>0.00</v>
      </c>
      <c r="L913" t="str">
        <f>"620000 ОБЛ СВЕРДЛОВСКАЯ   Г ТАВДА   УЛ ЛЕНИНА д. 83 стр. А"</f>
        <v>620000 ОБЛ СВЕРДЛОВСКАЯ   Г ТАВДА   УЛ ЛЕНИНА д. 83 стр. А</v>
      </c>
      <c r="M913" t="str">
        <f t="shared" si="147"/>
        <v>2019-08-24</v>
      </c>
      <c r="N913" t="str">
        <f>"МВД ТАВДИНСКИЙ"</f>
        <v>МВД ТАВДИНСКИЙ</v>
      </c>
      <c r="O913" t="str">
        <f>"620000"</f>
        <v>620000</v>
      </c>
      <c r="P913" t="str">
        <f>"ОБЛ СВЕРДЛОВСКАЯ"</f>
        <v>ОБЛ СВЕРДЛОВСКАЯ</v>
      </c>
      <c r="Q913" t="str">
        <f>""</f>
        <v/>
      </c>
      <c r="R913" t="str">
        <f>"Г ТАВДА"</f>
        <v>Г ТАВДА</v>
      </c>
      <c r="S913" t="str">
        <f>""</f>
        <v/>
      </c>
      <c r="T913" t="str">
        <f>"УЛ НЕКРАСОВА"</f>
        <v>УЛ НЕКРАСОВА</v>
      </c>
      <c r="U913" s="1" t="str">
        <f>"49"</f>
        <v>49</v>
      </c>
      <c r="V913" s="1" t="str">
        <f>""</f>
        <v/>
      </c>
      <c r="W913" s="1" t="str">
        <f>""</f>
        <v/>
      </c>
      <c r="X913" s="1" t="str">
        <f>""</f>
        <v/>
      </c>
      <c r="Y913" s="1" t="str">
        <f>""</f>
        <v/>
      </c>
      <c r="Z913" t="str">
        <f>"3436022950"</f>
        <v>3436022950</v>
      </c>
      <c r="AA913" t="str">
        <f>"9527291052"</f>
        <v>9527291052</v>
      </c>
      <c r="AB913" t="str">
        <f>"9527291052"</f>
        <v>9527291052</v>
      </c>
      <c r="AC913" t="str">
        <f>"9527291052"</f>
        <v>9527291052</v>
      </c>
      <c r="AD913" t="str">
        <f>"9527291052"</f>
        <v>9527291052</v>
      </c>
      <c r="AE913" t="str">
        <f>"3436022950"</f>
        <v>3436022950</v>
      </c>
    </row>
    <row r="914" spans="1:31" x14ac:dyDescent="0.45">
      <c r="A914" t="str">
        <f>"ФЕДОТОВ ВЛАДИМИР ПЕТРОВИЧ"</f>
        <v>ФЕДОТОВ ВЛАДИМИР ПЕТРОВИЧ</v>
      </c>
      <c r="B914" t="str">
        <f>"1959-05-29"</f>
        <v>1959-05-29</v>
      </c>
      <c r="C914" t="str">
        <f>"37 05 045797"</f>
        <v>37 05 045797</v>
      </c>
      <c r="D914" t="str">
        <f>"4279011671899592"</f>
        <v>4279011671899592</v>
      </c>
      <c r="E914" t="str">
        <f t="shared" si="148"/>
        <v>2021-05-31</v>
      </c>
      <c r="F914" t="str">
        <f>"+"</f>
        <v>+</v>
      </c>
      <c r="G914" t="str">
        <f>"+"</f>
        <v>+</v>
      </c>
      <c r="H914" t="str">
        <f>"40817810316991425053"</f>
        <v>40817810316991425053</v>
      </c>
      <c r="I914" t="str">
        <f>"8599"</f>
        <v>8599</v>
      </c>
      <c r="J914" t="str">
        <f>"0292"</f>
        <v>0292</v>
      </c>
      <c r="K914" t="str">
        <f>"140000.00"</f>
        <v>140000.00</v>
      </c>
      <c r="L914" t="str">
        <f>"641000 ОБЛ КУРГАНСКАЯ   Г ШАДРИНСК   УЛ ЛЕНИНА д. 93"</f>
        <v>641000 ОБЛ КУРГАНСКАЯ   Г ШАДРИНСК   УЛ ЛЕНИНА д. 93</v>
      </c>
      <c r="M914" t="str">
        <f t="shared" si="147"/>
        <v>2019-08-24</v>
      </c>
      <c r="N914" t="str">
        <f>"ТСЖ ЛЕНИНА 93"</f>
        <v>ТСЖ ЛЕНИНА 93</v>
      </c>
      <c r="O914" t="str">
        <f>"641000"</f>
        <v>641000</v>
      </c>
      <c r="P914" t="str">
        <f>"ОБЛ КУРГАНСКАЯ"</f>
        <v>ОБЛ КУРГАНСКАЯ</v>
      </c>
      <c r="Q914" t="str">
        <f>""</f>
        <v/>
      </c>
      <c r="R914" t="str">
        <f>"Г ШАДРИНСК"</f>
        <v>Г ШАДРИНСК</v>
      </c>
      <c r="S914" t="str">
        <f>""</f>
        <v/>
      </c>
      <c r="T914" t="str">
        <f>"УЛ ЛЕНИНА"</f>
        <v>УЛ ЛЕНИНА</v>
      </c>
      <c r="U914" s="1" t="str">
        <f>"93"</f>
        <v>93</v>
      </c>
      <c r="V914" s="1" t="str">
        <f>""</f>
        <v/>
      </c>
      <c r="W914" s="1" t="str">
        <f>""</f>
        <v/>
      </c>
      <c r="X914" s="1" t="str">
        <f>""</f>
        <v/>
      </c>
      <c r="Y914" s="1" t="str">
        <f>"17"</f>
        <v>17</v>
      </c>
      <c r="Z914" t="str">
        <f>""</f>
        <v/>
      </c>
      <c r="AA914" t="str">
        <f>"9195883387"</f>
        <v>9195883387</v>
      </c>
      <c r="AB914" t="str">
        <f>"9195883387"</f>
        <v>9195883387</v>
      </c>
      <c r="AC914" t="str">
        <f>"9195883387"</f>
        <v>9195883387</v>
      </c>
      <c r="AD914" t="str">
        <f>"9195883387"</f>
        <v>9195883387</v>
      </c>
      <c r="AE914" t="str">
        <f>""</f>
        <v/>
      </c>
    </row>
    <row r="915" spans="1:31" x14ac:dyDescent="0.45">
      <c r="A915" t="str">
        <f>"ИСАНБАЕВ УРАЛ СУЛТАНОВИЧ"</f>
        <v>ИСАНБАЕВ УРАЛ СУЛТАНОВИЧ</v>
      </c>
      <c r="B915" t="str">
        <f>"1968-02-01"</f>
        <v>1968-02-01</v>
      </c>
      <c r="C915" t="str">
        <f>"80 13 765704"</f>
        <v>80 13 765704</v>
      </c>
      <c r="D915" t="str">
        <f>"5484011601079909"</f>
        <v>5484011601079909</v>
      </c>
      <c r="E915" t="str">
        <f t="shared" si="148"/>
        <v>2021-05-31</v>
      </c>
      <c r="F915" t="str">
        <f>"K"</f>
        <v>K</v>
      </c>
      <c r="G915" t="str">
        <f t="shared" ref="G915:G920" si="149">"+"</f>
        <v>+</v>
      </c>
      <c r="H915" t="str">
        <f>"40817810516991425060"</f>
        <v>40817810516991425060</v>
      </c>
      <c r="I915" t="str">
        <f>"8598"</f>
        <v>8598</v>
      </c>
      <c r="J915" t="str">
        <f>"0724"</f>
        <v>0724</v>
      </c>
      <c r="K915" t="str">
        <f>"13000.00"</f>
        <v>13000.00</v>
      </c>
      <c r="L915" t="str">
        <f>"453832 РЕСП БАШКОРТОСТАН   Г СИБАЙ   УЛ ЭЛЕВАТОРНАЯ д. 1"</f>
        <v>453832 РЕСП БАШКОРТОСТАН   Г СИБАЙ   УЛ ЭЛЕВАТОРНАЯ д. 1</v>
      </c>
      <c r="M915" t="str">
        <f t="shared" si="147"/>
        <v>2019-08-24</v>
      </c>
      <c r="N915" t="str">
        <f>"ООО ЭЛЕВАТОР"</f>
        <v>ООО ЭЛЕВАТОР</v>
      </c>
      <c r="O915" t="str">
        <f>"453830"</f>
        <v>453830</v>
      </c>
      <c r="P915" t="str">
        <f>"РЕСП БАШКОРТОСТАН"</f>
        <v>РЕСП БАШКОРТОСТАН</v>
      </c>
      <c r="Q915" t="str">
        <f>""</f>
        <v/>
      </c>
      <c r="R915" t="str">
        <f>"Г СИБАЙ"</f>
        <v>Г СИБАЙ</v>
      </c>
      <c r="S915" t="str">
        <f>""</f>
        <v/>
      </c>
      <c r="T915" t="str">
        <f>"УЛ ЦЕТКИН"</f>
        <v>УЛ ЦЕТКИН</v>
      </c>
      <c r="U915" s="1" t="str">
        <f>"14"</f>
        <v>14</v>
      </c>
      <c r="V915" s="1" t="str">
        <f>""</f>
        <v/>
      </c>
      <c r="W915" s="1" t="str">
        <f>""</f>
        <v/>
      </c>
      <c r="X915" s="1" t="str">
        <f>""</f>
        <v/>
      </c>
      <c r="Y915" s="1" t="str">
        <f>"24"</f>
        <v>24</v>
      </c>
      <c r="Z915" t="str">
        <f>"3477553662"</f>
        <v>3477553662</v>
      </c>
      <c r="AA915" t="str">
        <f>"9173875977"</f>
        <v>9173875977</v>
      </c>
      <c r="AB915" t="str">
        <f>"9173875977"</f>
        <v>9173875977</v>
      </c>
      <c r="AC915" t="str">
        <f>"9173875977"</f>
        <v>9173875977</v>
      </c>
      <c r="AD915" t="str">
        <f>"9173875977"</f>
        <v>9173875977</v>
      </c>
      <c r="AE915" t="str">
        <f>"3477553662"</f>
        <v>3477553662</v>
      </c>
    </row>
    <row r="916" spans="1:31" x14ac:dyDescent="0.45">
      <c r="A916" t="str">
        <f>"ИВАНОВА ГУЛЬНАРА МУКАРАМОВНА"</f>
        <v>ИВАНОВА ГУЛЬНАРА МУКАРАМОВНА</v>
      </c>
      <c r="B916" t="str">
        <f>"1969-03-09"</f>
        <v>1969-03-09</v>
      </c>
      <c r="C916" t="str">
        <f>"80 14 935045"</f>
        <v>80 14 935045</v>
      </c>
      <c r="D916" t="str">
        <f>"4279011687883085"</f>
        <v>4279011687883085</v>
      </c>
      <c r="E916" t="str">
        <f t="shared" si="148"/>
        <v>2021-05-31</v>
      </c>
      <c r="F916" t="str">
        <f>"+"</f>
        <v>+</v>
      </c>
      <c r="G916" t="str">
        <f t="shared" si="149"/>
        <v>+</v>
      </c>
      <c r="H916" t="str">
        <f>"40817810416991425063"</f>
        <v>40817810416991425063</v>
      </c>
      <c r="I916" t="str">
        <f>"8598"</f>
        <v>8598</v>
      </c>
      <c r="J916" t="str">
        <f>"0449"</f>
        <v>0449</v>
      </c>
      <c r="K916" t="str">
        <f>"50000.00"</f>
        <v>50000.00</v>
      </c>
      <c r="L916" t="str">
        <f>"450000 РЕСП БАШКОРТОСТАН Р-Н ЧИШМИНСКИЙ   РП ЧИШМЫ УЛ ЛЕНИНА д. 9"</f>
        <v>450000 РЕСП БАШКОРТОСТАН Р-Н ЧИШМИНСКИЙ   РП ЧИШМЫ УЛ ЛЕНИНА д. 9</v>
      </c>
      <c r="M916" t="str">
        <f t="shared" si="147"/>
        <v>2019-08-24</v>
      </c>
      <c r="N916" t="str">
        <f>"ГБУ ВЕТ.СТАНЦИЯ"</f>
        <v>ГБУ ВЕТ.СТАНЦИЯ</v>
      </c>
      <c r="O916" t="str">
        <f>"450000"</f>
        <v>450000</v>
      </c>
      <c r="P916" t="str">
        <f>"РЕСП БАШКОРТОСТАН"</f>
        <v>РЕСП БАШКОРТОСТАН</v>
      </c>
      <c r="Q916" t="str">
        <f>"Р-Н ЧИШМИНСКИЙ"</f>
        <v>Р-Н ЧИШМИНСКИЙ</v>
      </c>
      <c r="R916" t="str">
        <f>""</f>
        <v/>
      </c>
      <c r="S916" t="str">
        <f>"РП ЧИШМЫ"</f>
        <v>РП ЧИШМЫ</v>
      </c>
      <c r="T916" t="str">
        <f>"УЛ ШОССЕЙНАЯ"</f>
        <v>УЛ ШОССЕЙНАЯ</v>
      </c>
      <c r="U916" s="1" t="str">
        <f>"51"</f>
        <v>51</v>
      </c>
      <c r="V916" s="1" t="str">
        <f>""</f>
        <v/>
      </c>
      <c r="W916" s="1" t="str">
        <f>""</f>
        <v/>
      </c>
      <c r="X916" s="1" t="str">
        <f>""</f>
        <v/>
      </c>
      <c r="Y916" s="1" t="str">
        <f>""</f>
        <v/>
      </c>
      <c r="Z916" t="str">
        <f>"3479721812"</f>
        <v>3479721812</v>
      </c>
      <c r="AA916" t="str">
        <f>"3479720852"</f>
        <v>3479720852</v>
      </c>
      <c r="AB916" t="str">
        <f>"9871484046"</f>
        <v>9871484046</v>
      </c>
      <c r="AC916" t="str">
        <f>"3479720852"</f>
        <v>3479720852</v>
      </c>
      <c r="AD916" t="str">
        <f>"9871484046"</f>
        <v>9871484046</v>
      </c>
      <c r="AE916" t="str">
        <f>""</f>
        <v/>
      </c>
    </row>
    <row r="917" spans="1:31" x14ac:dyDescent="0.45">
      <c r="A917" t="str">
        <f>"ЗАГВОЗДИНА НАТАЛЬЯ АЛЕКСАНДРОВНА"</f>
        <v>ЗАГВОЗДИНА НАТАЛЬЯ АЛЕКСАНДРОВНА</v>
      </c>
      <c r="B917" t="str">
        <f>"1979-11-18"</f>
        <v>1979-11-18</v>
      </c>
      <c r="C917" t="str">
        <f>"75 13 432838"</f>
        <v>75 13 432838</v>
      </c>
      <c r="D917" t="str">
        <f>"4279011652337786"</f>
        <v>4279011652337786</v>
      </c>
      <c r="E917" t="str">
        <f t="shared" si="148"/>
        <v>2021-05-31</v>
      </c>
      <c r="F917" t="str">
        <f>"+"</f>
        <v>+</v>
      </c>
      <c r="G917" t="str">
        <f t="shared" si="149"/>
        <v>+</v>
      </c>
      <c r="H917" t="str">
        <f>"40817810616991425067"</f>
        <v>40817810616991425067</v>
      </c>
      <c r="I917" t="str">
        <f>"8597"</f>
        <v>8597</v>
      </c>
      <c r="J917" t="str">
        <f>"7770"</f>
        <v>7770</v>
      </c>
      <c r="K917" t="str">
        <f>"32000.00"</f>
        <v>32000.00</v>
      </c>
      <c r="L917" t="str">
        <f>"454000 ОБЛ ЧЕЛЯБИНСКАЯ   Г ЧЕЛЯБИНСК   УЛ КУЙБЫШЕВА д. 63"</f>
        <v>454000 ОБЛ ЧЕЛЯБИНСКАЯ   Г ЧЕЛЯБИНСК   УЛ КУЙБЫШЕВА д. 63</v>
      </c>
      <c r="M917" t="str">
        <f t="shared" si="147"/>
        <v>2019-08-24</v>
      </c>
      <c r="N917" t="str">
        <f>"72216083 МАДОУ ДЕТСКИЙ САД №344"</f>
        <v>72216083 МАДОУ ДЕТСКИЙ САД №344</v>
      </c>
      <c r="O917" t="str">
        <f>"456520"</f>
        <v>456520</v>
      </c>
      <c r="P917" t="str">
        <f>"ОБЛ ЧЕЛЯБИНСКАЯ"</f>
        <v>ОБЛ ЧЕЛЯБИНСКАЯ</v>
      </c>
      <c r="Q917" t="str">
        <f>"Р-Н СОСНОВСКИЙ"</f>
        <v>Р-Н СОСНОВСКИЙ</v>
      </c>
      <c r="R917" t="str">
        <f>""</f>
        <v/>
      </c>
      <c r="S917" t="str">
        <f>"П ПОЛЕТАЕВО"</f>
        <v>П ПОЛЕТАЕВО</v>
      </c>
      <c r="T917" t="str">
        <f>"УЛ МОЛОДЕЖНАЯ"</f>
        <v>УЛ МОЛОДЕЖНАЯ</v>
      </c>
      <c r="U917" s="1" t="str">
        <f>"5"</f>
        <v>5</v>
      </c>
      <c r="V917" s="1" t="str">
        <f>""</f>
        <v/>
      </c>
      <c r="W917" s="1" t="str">
        <f>""</f>
        <v/>
      </c>
      <c r="X917" s="1" t="str">
        <f>""</f>
        <v/>
      </c>
      <c r="Y917" s="1" t="str">
        <f>"83"</f>
        <v>83</v>
      </c>
      <c r="Z917" t="str">
        <f>"3517403732"</f>
        <v>3517403732</v>
      </c>
      <c r="AA917" t="str">
        <f>"0000000000"</f>
        <v>0000000000</v>
      </c>
      <c r="AB917" t="str">
        <f>"9000811506"</f>
        <v>9000811506</v>
      </c>
      <c r="AC917" t="str">
        <f>"0000000000"</f>
        <v>0000000000</v>
      </c>
      <c r="AD917" t="str">
        <f>"9000811506"</f>
        <v>9000811506</v>
      </c>
      <c r="AE917" t="str">
        <f>"3517403732"</f>
        <v>3517403732</v>
      </c>
    </row>
    <row r="918" spans="1:31" x14ac:dyDescent="0.45">
      <c r="A918" t="str">
        <f>"БЕЗРУКОВ ИГОРЬ ВИКТОРОВИЧ"</f>
        <v>БЕЗРУКОВ ИГОРЬ ВИКТОРОВИЧ</v>
      </c>
      <c r="B918" t="str">
        <f>"1962-01-15"</f>
        <v>1962-01-15</v>
      </c>
      <c r="C918" t="str">
        <f>"37 06 188627"</f>
        <v>37 06 188627</v>
      </c>
      <c r="D918" t="str">
        <f>"4279011691088978"</f>
        <v>4279011691088978</v>
      </c>
      <c r="E918" t="str">
        <f t="shared" si="148"/>
        <v>2021-05-31</v>
      </c>
      <c r="F918" t="str">
        <f>"+"</f>
        <v>+</v>
      </c>
      <c r="G918" t="str">
        <f t="shared" si="149"/>
        <v>+</v>
      </c>
      <c r="H918" t="str">
        <f>"40817810216991425069"</f>
        <v>40817810216991425069</v>
      </c>
      <c r="I918" t="str">
        <f>"8599"</f>
        <v>8599</v>
      </c>
      <c r="J918" t="str">
        <f>"7770"</f>
        <v>7770</v>
      </c>
      <c r="K918" t="str">
        <f>"460000.00"</f>
        <v>460000.00</v>
      </c>
      <c r="L918" t="str">
        <f>"641000 ОБЛ КУРГАНСКАЯ   Г КУРГАН   УЛ ЧЕРНОРЕЧЕНСКАЯ д. 105"</f>
        <v>641000 ОБЛ КУРГАНСКАЯ   Г КУРГАН   УЛ ЧЕРНОРЕЧЕНСКАЯ д. 105</v>
      </c>
      <c r="M918" t="str">
        <f t="shared" si="147"/>
        <v>2019-08-24</v>
      </c>
      <c r="N918" t="str">
        <f>"ОФО МО ПО ЧЕЛЯБ., ТЮМ. И КУРГ. ОБЛ."</f>
        <v>ОФО МО ПО ЧЕЛЯБ., ТЮМ. И КУРГ. ОБЛ.</v>
      </c>
      <c r="O918" t="str">
        <f>"641000"</f>
        <v>641000</v>
      </c>
      <c r="P918" t="str">
        <f>"ОБЛ КУРГАНСКАЯ"</f>
        <v>ОБЛ КУРГАНСКАЯ</v>
      </c>
      <c r="Q918" t="str">
        <f>""</f>
        <v/>
      </c>
      <c r="R918" t="str">
        <f>"Г КУРГАН"</f>
        <v>Г КУРГАН</v>
      </c>
      <c r="S918" t="str">
        <f>""</f>
        <v/>
      </c>
      <c r="T918" t="str">
        <f>"УЛ КРИВОЛАПОВА"</f>
        <v>УЛ КРИВОЛАПОВА</v>
      </c>
      <c r="U918" s="1" t="str">
        <f>"19"</f>
        <v>19</v>
      </c>
      <c r="V918" s="1" t="str">
        <f>""</f>
        <v/>
      </c>
      <c r="W918" s="1" t="str">
        <f>""</f>
        <v/>
      </c>
      <c r="X918" s="1" t="str">
        <f>""</f>
        <v/>
      </c>
      <c r="Y918" s="1" t="str">
        <f>"60"</f>
        <v>60</v>
      </c>
      <c r="Z918" t="str">
        <f>"+7 (3522) 471558"</f>
        <v>+7 (3522) 471558</v>
      </c>
      <c r="AA918" t="str">
        <f>"+7 (3522) 469165"</f>
        <v>+7 (3522) 469165</v>
      </c>
      <c r="AB918" t="str">
        <f>"+7 (919) 5864133"</f>
        <v>+7 (919) 5864133</v>
      </c>
      <c r="AC918" t="str">
        <f>"9128327681"</f>
        <v>9128327681</v>
      </c>
      <c r="AD918" t="str">
        <f>"9128327681"</f>
        <v>9128327681</v>
      </c>
      <c r="AE918" t="str">
        <f>"3522443218"</f>
        <v>3522443218</v>
      </c>
    </row>
    <row r="919" spans="1:31" x14ac:dyDescent="0.45">
      <c r="A919" t="str">
        <f>"ОБУХОВИЧ МАКСИМ СЕРГЕЕВИЧ"</f>
        <v>ОБУХОВИЧ МАКСИМ СЕРГЕЕВИЧ</v>
      </c>
      <c r="B919" t="str">
        <f>"1983-12-15"</f>
        <v>1983-12-15</v>
      </c>
      <c r="C919" t="str">
        <f>"65 05 657426"</f>
        <v>65 05 657426</v>
      </c>
      <c r="D919" t="str">
        <f>"4279011678311377"</f>
        <v>4279011678311377</v>
      </c>
      <c r="E919" t="str">
        <f t="shared" si="148"/>
        <v>2021-05-31</v>
      </c>
      <c r="F919" t="str">
        <f>"+"</f>
        <v>+</v>
      </c>
      <c r="G919" t="str">
        <f t="shared" si="149"/>
        <v>+</v>
      </c>
      <c r="H919" t="str">
        <f>"40817810616991425070"</f>
        <v>40817810616991425070</v>
      </c>
      <c r="I919" t="str">
        <f>"7003"</f>
        <v>7003</v>
      </c>
      <c r="J919" t="str">
        <f>"7777"</f>
        <v>7777</v>
      </c>
      <c r="K919" t="str">
        <f>"73000.00"</f>
        <v>73000.00</v>
      </c>
      <c r="L919" t="str">
        <f>"623950 ОБЛ СВЕРДЛОВСКАЯ   Г ТАВДА   УЛ ЛЕНИНА д. 83 А"</f>
        <v>623950 ОБЛ СВЕРДЛОВСКАЯ   Г ТАВДА   УЛ ЛЕНИНА д. 83 А</v>
      </c>
      <c r="M919" t="str">
        <f t="shared" si="147"/>
        <v>2019-08-24</v>
      </c>
      <c r="N919" t="str">
        <f>"ТАВДИНСКИЙ МВД"</f>
        <v>ТАВДИНСКИЙ МВД</v>
      </c>
      <c r="O919" t="str">
        <f>"623950"</f>
        <v>623950</v>
      </c>
      <c r="P919" t="str">
        <f>"ОБЛ СВЕРДЛОВСКАЯ"</f>
        <v>ОБЛ СВЕРДЛОВСКАЯ</v>
      </c>
      <c r="Q919" t="str">
        <f>""</f>
        <v/>
      </c>
      <c r="R919" t="str">
        <f>"Г ТАВДА"</f>
        <v>Г ТАВДА</v>
      </c>
      <c r="S919" t="str">
        <f>""</f>
        <v/>
      </c>
      <c r="T919" t="str">
        <f>"УЛ ЛЕРМОНТОВА"</f>
        <v>УЛ ЛЕРМОНТОВА</v>
      </c>
      <c r="U919" s="1" t="str">
        <f>"83"</f>
        <v>83</v>
      </c>
      <c r="V919" s="1" t="str">
        <f>""</f>
        <v/>
      </c>
      <c r="W919" s="1" t="str">
        <f>""</f>
        <v/>
      </c>
      <c r="X919" s="1" t="str">
        <f>""</f>
        <v/>
      </c>
      <c r="Y919" s="1" t="str">
        <f>""</f>
        <v/>
      </c>
      <c r="Z919" t="str">
        <f>"3436022954"</f>
        <v>3436022954</v>
      </c>
      <c r="AA919" t="str">
        <f>"3436025820"</f>
        <v>3436025820</v>
      </c>
      <c r="AB919" t="str">
        <f>"9089267005"</f>
        <v>9089267005</v>
      </c>
      <c r="AC919" t="str">
        <f>"9089267005"</f>
        <v>9089267005</v>
      </c>
      <c r="AD919" t="str">
        <f>"9089267005"</f>
        <v>9089267005</v>
      </c>
      <c r="AE919" t="str">
        <f>"3436050141"</f>
        <v>3436050141</v>
      </c>
    </row>
    <row r="920" spans="1:31" x14ac:dyDescent="0.45">
      <c r="A920" t="str">
        <f>"РАЗУВАЕВА ВАЛЕРИЯ ГЕННАДЬЕВНА"</f>
        <v>РАЗУВАЕВА ВАЛЕРИЯ ГЕННАДЬЕВНА</v>
      </c>
      <c r="B920" t="str">
        <f>"1962-02-14"</f>
        <v>1962-02-14</v>
      </c>
      <c r="C920" t="str">
        <f>"75 06 021620"</f>
        <v>75 06 021620</v>
      </c>
      <c r="D920" t="str">
        <f>"4279011652756167"</f>
        <v>4279011652756167</v>
      </c>
      <c r="E920" t="str">
        <f t="shared" si="148"/>
        <v>2021-05-31</v>
      </c>
      <c r="F920" t="str">
        <f>"+"</f>
        <v>+</v>
      </c>
      <c r="G920" t="str">
        <f t="shared" si="149"/>
        <v>+</v>
      </c>
      <c r="H920" t="str">
        <f>"40817810916991425071"</f>
        <v>40817810916991425071</v>
      </c>
      <c r="I920" t="str">
        <f>"8597"</f>
        <v>8597</v>
      </c>
      <c r="J920" t="str">
        <f>"0437"</f>
        <v>0437</v>
      </c>
      <c r="K920" t="str">
        <f>"55000.00"</f>
        <v>55000.00</v>
      </c>
      <c r="L920" t="str">
        <f>"454000 ОБЛ ЧЕЛЯБИНСКАЯ   Г ОЗЕРСК   УЛ КОСМОНАВТОВ д. 17"</f>
        <v>454000 ОБЛ ЧЕЛЯБИНСКАЯ   Г ОЗЕРСК   УЛ КОСМОНАВТОВ д. 17</v>
      </c>
      <c r="M920" t="str">
        <f t="shared" si="147"/>
        <v>2019-08-24</v>
      </c>
      <c r="N920" t="str">
        <f>"ПФР"</f>
        <v>ПФР</v>
      </c>
      <c r="O920" t="str">
        <f>"454000"</f>
        <v>454000</v>
      </c>
      <c r="P920" t="str">
        <f>"ОБЛ ЧЕЛЯБИНСКАЯ"</f>
        <v>ОБЛ ЧЕЛЯБИНСКАЯ</v>
      </c>
      <c r="Q920" t="str">
        <f>""</f>
        <v/>
      </c>
      <c r="R920" t="str">
        <f>"Г ОЗЕРСК"</f>
        <v>Г ОЗЕРСК</v>
      </c>
      <c r="S920" t="str">
        <f>""</f>
        <v/>
      </c>
      <c r="T920" t="str">
        <f>"МКР ЗАОЗЕРНЫЙ"</f>
        <v>МКР ЗАОЗЕРНЫЙ</v>
      </c>
      <c r="U920" s="1" t="str">
        <f>"7"</f>
        <v>7</v>
      </c>
      <c r="V920" s="1" t="str">
        <f>""</f>
        <v/>
      </c>
      <c r="W920" s="1" t="str">
        <f>""</f>
        <v/>
      </c>
      <c r="X920" s="1" t="str">
        <f>""</f>
        <v/>
      </c>
      <c r="Y920" s="1" t="str">
        <f>"33"</f>
        <v>33</v>
      </c>
      <c r="Z920" t="str">
        <f>""</f>
        <v/>
      </c>
      <c r="AA920" t="str">
        <f>"3513099345"</f>
        <v>3513099345</v>
      </c>
      <c r="AB920" t="str">
        <f>"9000972330"</f>
        <v>9000972330</v>
      </c>
      <c r="AC920" t="str">
        <f>"3513099345"</f>
        <v>3513099345</v>
      </c>
      <c r="AD920" t="str">
        <f>"9000972330"</f>
        <v>9000972330</v>
      </c>
      <c r="AE920" t="str">
        <f>""</f>
        <v/>
      </c>
    </row>
    <row r="921" spans="1:31" x14ac:dyDescent="0.45">
      <c r="A921" t="str">
        <f>"ЕКИМОВ НИКИТА НИКОЛАЕВИЧ"</f>
        <v>ЕКИМОВ НИКИТА НИКОЛАЕВИЧ</v>
      </c>
      <c r="B921" t="str">
        <f>"1991-10-31"</f>
        <v>1991-10-31</v>
      </c>
      <c r="C921" t="str">
        <f>"65 11 174008"</f>
        <v>65 11 174008</v>
      </c>
      <c r="D921" t="str">
        <f>"4279011663461260"</f>
        <v>4279011663461260</v>
      </c>
      <c r="E921" t="str">
        <f t="shared" si="148"/>
        <v>2021-05-31</v>
      </c>
      <c r="F921" t="str">
        <f>"Q"</f>
        <v>Q</v>
      </c>
      <c r="G921" t="str">
        <f>"Q"</f>
        <v>Q</v>
      </c>
      <c r="H921" t="str">
        <f>"40817810116991425075"</f>
        <v>40817810116991425075</v>
      </c>
      <c r="I921" t="str">
        <f>"7003"</f>
        <v>7003</v>
      </c>
      <c r="J921" t="str">
        <f>"7777"</f>
        <v>7777</v>
      </c>
      <c r="K921" t="str">
        <f>"0.00"</f>
        <v>0.00</v>
      </c>
      <c r="L921" t="str">
        <f>"623650 ОБЛ СВЕРДЛОВСКАЯ     П ТУГУЛЫМ УЛ ФЕДЮНИНСКОГО д. 1"</f>
        <v>623650 ОБЛ СВЕРДЛОВСКАЯ     П ТУГУЛЫМ УЛ ФЕДЮНИНСКОГО д. 1</v>
      </c>
      <c r="M921" t="str">
        <f t="shared" si="147"/>
        <v>2019-08-24</v>
      </c>
      <c r="N921" t="str">
        <f>"ГКПТУ СО ОПС 13"</f>
        <v>ГКПТУ СО ОПС 13</v>
      </c>
      <c r="O921" t="str">
        <f>"623650"</f>
        <v>623650</v>
      </c>
      <c r="P921" t="str">
        <f>"ОБЛ СВЕРДЛОВСКАЯ"</f>
        <v>ОБЛ СВЕРДЛОВСКАЯ</v>
      </c>
      <c r="Q921" t="str">
        <f>"Р-Н ТУГУЛЫМСКИЙ"</f>
        <v>Р-Н ТУГУЛЫМСКИЙ</v>
      </c>
      <c r="R921" t="str">
        <f>""</f>
        <v/>
      </c>
      <c r="S921" t="str">
        <f>"РП ТУГУЛЫМ"</f>
        <v>РП ТУГУЛЫМ</v>
      </c>
      <c r="T921" t="str">
        <f>"УЛ КОМСОМОЛЬСКАЯ"</f>
        <v>УЛ КОМСОМОЛЬСКАЯ</v>
      </c>
      <c r="U921" s="1" t="str">
        <f>"12"</f>
        <v>12</v>
      </c>
      <c r="V921" s="1" t="str">
        <f>""</f>
        <v/>
      </c>
      <c r="W921" s="1" t="str">
        <f>""</f>
        <v/>
      </c>
      <c r="X921" s="1" t="str">
        <f>""</f>
        <v/>
      </c>
      <c r="Y921" s="1" t="str">
        <f>""</f>
        <v/>
      </c>
      <c r="Z921" t="str">
        <f>"3436721446"</f>
        <v>3436721446</v>
      </c>
      <c r="AA921" t="str">
        <f>"9321298010"</f>
        <v>9321298010</v>
      </c>
      <c r="AB921" t="str">
        <f>"9321298010"</f>
        <v>9321298010</v>
      </c>
      <c r="AC921" t="str">
        <f>"9321298010"</f>
        <v>9321298010</v>
      </c>
      <c r="AD921" t="str">
        <f>"9321298010"</f>
        <v>9321298010</v>
      </c>
      <c r="AE921" t="str">
        <f>"3436721446"</f>
        <v>3436721446</v>
      </c>
    </row>
    <row r="922" spans="1:31" x14ac:dyDescent="0.45">
      <c r="A922" t="str">
        <f>"БАШКУРОВ СЕРГЕЙ ВЛАДИМИРОВИЧ"</f>
        <v>БАШКУРОВ СЕРГЕЙ ВЛАДИМИРОВИЧ</v>
      </c>
      <c r="B922" t="str">
        <f>"1980-05-28"</f>
        <v>1980-05-28</v>
      </c>
      <c r="C922" t="str">
        <f>"80 01 058741"</f>
        <v>80 01 058741</v>
      </c>
      <c r="D922" t="str">
        <f>"5484011601132005"</f>
        <v>5484011601132005</v>
      </c>
      <c r="E922" t="str">
        <f t="shared" si="148"/>
        <v>2021-05-31</v>
      </c>
      <c r="F922" t="str">
        <f>"+"</f>
        <v>+</v>
      </c>
      <c r="G922" t="str">
        <f>"+"</f>
        <v>+</v>
      </c>
      <c r="H922" t="str">
        <f>"40817810816991425074"</f>
        <v>40817810816991425074</v>
      </c>
      <c r="I922" t="str">
        <f>"8598"</f>
        <v>8598</v>
      </c>
      <c r="J922" t="str">
        <f>"0724"</f>
        <v>0724</v>
      </c>
      <c r="K922" t="str">
        <f>"25000.00"</f>
        <v>25000.00</v>
      </c>
      <c r="L922" t="str">
        <f>"453832 РЕСП БАШКОРТОСТАН   Г СИБАЙ   УЛ ПИОНЕРСКАЯ д. 28"</f>
        <v>453832 РЕСП БАШКОРТОСТАН   Г СИБАЙ   УЛ ПИОНЕРСКАЯ д. 28</v>
      </c>
      <c r="M922" t="str">
        <f t="shared" si="147"/>
        <v>2019-08-24</v>
      </c>
      <c r="N922" t="str">
        <f>"ГУ АВАРИЙНО-СПАСАТЕЛЬНАЯ СЛУЖБА РБ"</f>
        <v>ГУ АВАРИЙНО-СПАСАТЕЛЬНАЯ СЛУЖБА РБ</v>
      </c>
      <c r="O922" t="str">
        <f>"453830"</f>
        <v>453830</v>
      </c>
      <c r="P922" t="str">
        <f>"РЕСП БАШКОРТОСТАН"</f>
        <v>РЕСП БАШКОРТОСТАН</v>
      </c>
      <c r="Q922" t="str">
        <f>""</f>
        <v/>
      </c>
      <c r="R922" t="str">
        <f>"Г СИБАЙ"</f>
        <v>Г СИБАЙ</v>
      </c>
      <c r="S922" t="str">
        <f>""</f>
        <v/>
      </c>
      <c r="T922" t="str">
        <f>"УЛ ЗАКИ ВАЛИДИ"</f>
        <v>УЛ ЗАКИ ВАЛИДИ</v>
      </c>
      <c r="U922" s="1" t="str">
        <f>"48/3"</f>
        <v>48/3</v>
      </c>
      <c r="V922" s="1" t="str">
        <f>""</f>
        <v/>
      </c>
      <c r="W922" s="1" t="str">
        <f>""</f>
        <v/>
      </c>
      <c r="X922" s="1" t="str">
        <f>""</f>
        <v/>
      </c>
      <c r="Y922" s="1" t="str">
        <f>"33"</f>
        <v>33</v>
      </c>
      <c r="Z922" t="str">
        <f>"3477530965"</f>
        <v>3477530965</v>
      </c>
      <c r="AA922" t="str">
        <f>"9174468287"</f>
        <v>9174468287</v>
      </c>
      <c r="AB922" t="str">
        <f>"9174468287"</f>
        <v>9174468287</v>
      </c>
      <c r="AC922" t="str">
        <f>"9174468287"</f>
        <v>9174468287</v>
      </c>
      <c r="AD922" t="str">
        <f>"9174468287"</f>
        <v>9174468287</v>
      </c>
      <c r="AE922" t="str">
        <f>"3477530965"</f>
        <v>3477530965</v>
      </c>
    </row>
    <row r="923" spans="1:31" x14ac:dyDescent="0.45">
      <c r="A923" t="str">
        <f>"ГВЕРЖИС АЛЕКСАНДР АЛЕКСЕЕВИЧ"</f>
        <v>ГВЕРЖИС АЛЕКСАНДР АЛЕКСЕЕВИЧ</v>
      </c>
      <c r="B923" t="str">
        <f>"1986-04-11"</f>
        <v>1986-04-11</v>
      </c>
      <c r="C923" t="str">
        <f>"65 06 899937"</f>
        <v>65 06 899937</v>
      </c>
      <c r="D923" t="str">
        <f>"4279011658601250"</f>
        <v>4279011658601250</v>
      </c>
      <c r="E923" t="str">
        <f t="shared" si="148"/>
        <v>2021-05-31</v>
      </c>
      <c r="F923" t="str">
        <f>"Q"</f>
        <v>Q</v>
      </c>
      <c r="G923" t="str">
        <f>"Q"</f>
        <v>Q</v>
      </c>
      <c r="H923" t="str">
        <f>"40817810416991425076"</f>
        <v>40817810416991425076</v>
      </c>
      <c r="I923" t="str">
        <f>"7003"</f>
        <v>7003</v>
      </c>
      <c r="J923" t="str">
        <f>"7770"</f>
        <v>7770</v>
      </c>
      <c r="K923" t="str">
        <f>"0.00"</f>
        <v>0.00</v>
      </c>
      <c r="L923" t="str">
        <f>"620000 ОБЛ СВЕРДЛОВСКАЯ   Г ЕКАТЕРИНБУРГ   УЛ БЕЛИНСКОГО д. 39"</f>
        <v>620000 ОБЛ СВЕРДЛОВСКАЯ   Г ЕКАТЕРИНБУРГ   УЛ БЕЛИНСКОГО д. 39</v>
      </c>
      <c r="M923" t="str">
        <f t="shared" si="147"/>
        <v>2019-08-24</v>
      </c>
      <c r="N923" t="str">
        <f>"ООО ЦЕНТР РОДРЯДОВ АСК"</f>
        <v>ООО ЦЕНТР РОДРЯДОВ АСК</v>
      </c>
      <c r="O923" t="str">
        <f>"620000"</f>
        <v>620000</v>
      </c>
      <c r="P923" t="str">
        <f>"ОБЛ СВЕРДЛОВСКАЯ"</f>
        <v>ОБЛ СВЕРДЛОВСКАЯ</v>
      </c>
      <c r="Q923" t="str">
        <f>""</f>
        <v/>
      </c>
      <c r="R923" t="str">
        <f>"Г ЕКАТЕРИНБУРГ"</f>
        <v>Г ЕКАТЕРИНБУРГ</v>
      </c>
      <c r="S923" t="str">
        <f>""</f>
        <v/>
      </c>
      <c r="T923" t="str">
        <f>"УЛ МАМИНА-СИБИРЯКА"</f>
        <v>УЛ МАМИНА-СИБИРЯКА</v>
      </c>
      <c r="U923" s="1" t="str">
        <f>"126"</f>
        <v>126</v>
      </c>
      <c r="V923" s="1" t="str">
        <f>""</f>
        <v/>
      </c>
      <c r="W923" s="1" t="str">
        <f>""</f>
        <v/>
      </c>
      <c r="X923" s="1" t="str">
        <f>""</f>
        <v/>
      </c>
      <c r="Y923" s="1" t="str">
        <f>"3"</f>
        <v>3</v>
      </c>
      <c r="Z923" t="str">
        <f>"3432465418"</f>
        <v>3432465418</v>
      </c>
      <c r="AA923" t="str">
        <f>"9022604307"</f>
        <v>9022604307</v>
      </c>
      <c r="AB923" t="str">
        <f>"9022604307"</f>
        <v>9022604307</v>
      </c>
      <c r="AC923" t="str">
        <f>"9022604307"</f>
        <v>9022604307</v>
      </c>
      <c r="AD923" t="str">
        <f>"9022604307"</f>
        <v>9022604307</v>
      </c>
      <c r="AE923" t="str">
        <f>"3432465418"</f>
        <v>3432465418</v>
      </c>
    </row>
    <row r="924" spans="1:31" x14ac:dyDescent="0.45">
      <c r="A924" t="str">
        <f>"ГИЛЬФАНОВ ТАГИР ГАТУФОВИЧ"</f>
        <v>ГИЛЬФАНОВ ТАГИР ГАТУФОВИЧ</v>
      </c>
      <c r="B924" t="str">
        <f>"1963-10-24"</f>
        <v>1963-10-24</v>
      </c>
      <c r="C924" t="str">
        <f>"65 08 492438"</f>
        <v>65 08 492438</v>
      </c>
      <c r="D924" t="str">
        <f>"4279011692074043"</f>
        <v>4279011692074043</v>
      </c>
      <c r="E924" t="str">
        <f t="shared" si="148"/>
        <v>2021-05-31</v>
      </c>
      <c r="F924" t="str">
        <f>"Q"</f>
        <v>Q</v>
      </c>
      <c r="G924" t="str">
        <f>"Q"</f>
        <v>Q</v>
      </c>
      <c r="H924" t="str">
        <f>"40817810316991425079"</f>
        <v>40817810316991425079</v>
      </c>
      <c r="I924" t="str">
        <f>"7003"</f>
        <v>7003</v>
      </c>
      <c r="J924" t="str">
        <f>"7777"</f>
        <v>7777</v>
      </c>
      <c r="K924" t="str">
        <f>"0.00"</f>
        <v>0.00</v>
      </c>
      <c r="L924" t="str">
        <f>"620000 ОБЛ СВЕРДЛОВСКАЯ Р-Н ТУГУЛЫМСКИЙ   РП ТУГУЛЫМ УЛ ФЕДЮНИНСКОГО д. 1"</f>
        <v>620000 ОБЛ СВЕРДЛОВСКАЯ Р-Н ТУГУЛЫМСКИЙ   РП ТУГУЛЫМ УЛ ФЕДЮНИНСКОГО д. 1</v>
      </c>
      <c r="M924" t="str">
        <f t="shared" si="147"/>
        <v>2019-08-24</v>
      </c>
      <c r="N924" t="str">
        <f>"ГКПТУ СО ОПС СО № 13"</f>
        <v>ГКПТУ СО ОПС СО № 13</v>
      </c>
      <c r="O924" t="str">
        <f>"620000"</f>
        <v>620000</v>
      </c>
      <c r="P924" t="str">
        <f>"ОБЛ СВЕРДЛОВСКАЯ"</f>
        <v>ОБЛ СВЕРДЛОВСКАЯ</v>
      </c>
      <c r="Q924" t="str">
        <f>"Р-Н ТУГУЛЫМСКИЙ"</f>
        <v>Р-Н ТУГУЛЫМСКИЙ</v>
      </c>
      <c r="R924" t="str">
        <f>""</f>
        <v/>
      </c>
      <c r="S924" t="str">
        <f>"РП ТУГУЛЫМ"</f>
        <v>РП ТУГУЛЫМ</v>
      </c>
      <c r="T924" t="str">
        <f>"УЛ ЗАПАДНАЯ"</f>
        <v>УЛ ЗАПАДНАЯ</v>
      </c>
      <c r="U924" s="1" t="str">
        <f>"4"</f>
        <v>4</v>
      </c>
      <c r="V924" s="1" t="str">
        <f>""</f>
        <v/>
      </c>
      <c r="W924" s="1" t="str">
        <f>""</f>
        <v/>
      </c>
      <c r="X924" s="1" t="str">
        <f>""</f>
        <v/>
      </c>
      <c r="Y924" s="1" t="str">
        <f>""</f>
        <v/>
      </c>
      <c r="Z924" t="str">
        <f>"3436721446"</f>
        <v>3436721446</v>
      </c>
      <c r="AA924" t="str">
        <f>"9221526868"</f>
        <v>9221526868</v>
      </c>
      <c r="AB924" t="str">
        <f>"9221526868"</f>
        <v>9221526868</v>
      </c>
      <c r="AC924" t="str">
        <f>"9221526868"</f>
        <v>9221526868</v>
      </c>
      <c r="AD924" t="str">
        <f>"9221526868"</f>
        <v>9221526868</v>
      </c>
      <c r="AE924" t="str">
        <f>"3436721446"</f>
        <v>3436721446</v>
      </c>
    </row>
    <row r="925" spans="1:31" x14ac:dyDescent="0.45">
      <c r="A925" t="str">
        <f>"МОЛОДЦОВ НИКИТА АЛЕКСАНДРОВИЧ"</f>
        <v>МОЛОДЦОВ НИКИТА АЛЕКСАНДРОВИЧ</v>
      </c>
      <c r="B925" t="str">
        <f>"1990-05-02"</f>
        <v>1990-05-02</v>
      </c>
      <c r="C925" t="str">
        <f>"80 10 112940"</f>
        <v>80 10 112940</v>
      </c>
      <c r="D925" t="str">
        <f>"4279011638324437"</f>
        <v>4279011638324437</v>
      </c>
      <c r="E925" t="str">
        <f t="shared" si="148"/>
        <v>2021-05-31</v>
      </c>
      <c r="F925" t="str">
        <f>"+"</f>
        <v>+</v>
      </c>
      <c r="G925" t="str">
        <f>"+"</f>
        <v>+</v>
      </c>
      <c r="H925" t="str">
        <f>"40817810016991425081"</f>
        <v>40817810016991425081</v>
      </c>
      <c r="I925" t="str">
        <f>"8598"</f>
        <v>8598</v>
      </c>
      <c r="J925" t="str">
        <f>"0595"</f>
        <v>0595</v>
      </c>
      <c r="K925" t="str">
        <f>"225000.00"</f>
        <v>225000.00</v>
      </c>
      <c r="L925" t="str">
        <f>"452680 РЕСП БАШКОРТОСТАН   Г НЕФТЕКАМСК   УЛ СОЦИАЛИСТИЧЕСКАЯ д. 89 стр. А"</f>
        <v>452680 РЕСП БАШКОРТОСТАН   Г НЕФТЕКАМСК   УЛ СОЦИАЛИСТИЧЕСКАЯ д. 89 стр. А</v>
      </c>
      <c r="M925" t="str">
        <f t="shared" si="147"/>
        <v>2019-08-24</v>
      </c>
      <c r="N925" t="str">
        <f>"ИП МОЛОДЦОВ"</f>
        <v>ИП МОЛОДЦОВ</v>
      </c>
      <c r="O925" t="str">
        <f>"452680"</f>
        <v>452680</v>
      </c>
      <c r="P925" t="str">
        <f>"РЕСП БАШКОРТОСТАН"</f>
        <v>РЕСП БАШКОРТОСТАН</v>
      </c>
      <c r="Q925" t="str">
        <f>""</f>
        <v/>
      </c>
      <c r="R925" t="str">
        <f>"Г НЕФТЕКАМСК"</f>
        <v>Г НЕФТЕКАМСК</v>
      </c>
      <c r="S925" t="str">
        <f>""</f>
        <v/>
      </c>
      <c r="T925" t="str">
        <f>"УЛ СОЦИАЛИСТИЧЕСКАЯ"</f>
        <v>УЛ СОЦИАЛИСТИЧЕСКАЯ</v>
      </c>
      <c r="U925" s="1" t="str">
        <f>"89"</f>
        <v>89</v>
      </c>
      <c r="V925" s="1" t="str">
        <f>"А"</f>
        <v>А</v>
      </c>
      <c r="W925" s="1" t="str">
        <f>""</f>
        <v/>
      </c>
      <c r="X925" s="1" t="str">
        <f>""</f>
        <v/>
      </c>
      <c r="Y925" s="1" t="str">
        <f>"11"</f>
        <v>11</v>
      </c>
      <c r="Z925" t="str">
        <f>""</f>
        <v/>
      </c>
      <c r="AA925" t="str">
        <f>"9270867377"</f>
        <v>9270867377</v>
      </c>
      <c r="AB925" t="str">
        <f>"9270867377"</f>
        <v>9270867377</v>
      </c>
      <c r="AC925" t="str">
        <f>"9270867377"</f>
        <v>9270867377</v>
      </c>
      <c r="AD925" t="str">
        <f>"9270867377"</f>
        <v>9270867377</v>
      </c>
      <c r="AE925" t="str">
        <f>""</f>
        <v/>
      </c>
    </row>
    <row r="926" spans="1:31" x14ac:dyDescent="0.45">
      <c r="A926" t="str">
        <f>"ЗУЕВА МАРИНА НИКОЛАЕВНА"</f>
        <v>ЗУЕВА МАРИНА НИКОЛАЕВНА</v>
      </c>
      <c r="B926" t="str">
        <f>"1971-02-15"</f>
        <v>1971-02-15</v>
      </c>
      <c r="C926" t="str">
        <f>"65 15 190812"</f>
        <v>65 15 190812</v>
      </c>
      <c r="D926" t="str">
        <f>"4279011656528745"</f>
        <v>4279011656528745</v>
      </c>
      <c r="E926" t="str">
        <f t="shared" si="148"/>
        <v>2021-05-31</v>
      </c>
      <c r="F926" t="str">
        <f>"Q"</f>
        <v>Q</v>
      </c>
      <c r="G926" t="str">
        <f>"Q"</f>
        <v>Q</v>
      </c>
      <c r="H926" t="str">
        <f>"40817810616991425083"</f>
        <v>40817810616991425083</v>
      </c>
      <c r="I926" t="str">
        <f>"7003"</f>
        <v>7003</v>
      </c>
      <c r="J926" t="str">
        <f>"7776"</f>
        <v>7776</v>
      </c>
      <c r="K926" t="str">
        <f>"0.00"</f>
        <v>0.00</v>
      </c>
      <c r="L926" t="str">
        <f>"624600 ОБЛ СВЕРДЛОВСКАЯ   Г АЛАПАЕВСК   УЛ Р. ЛЮКСЕМБУРГ д. 31"</f>
        <v>624600 ОБЛ СВЕРДЛОВСКАЯ   Г АЛАПАЕВСК   УЛ Р. ЛЮКСЕМБУРГ д. 31</v>
      </c>
      <c r="M926" t="str">
        <f t="shared" si="147"/>
        <v>2019-08-24</v>
      </c>
      <c r="N926" t="str">
        <f>"УЖКХ С И ООМС"</f>
        <v>УЖКХ С И ООМС</v>
      </c>
      <c r="O926" t="str">
        <f>"624600"</f>
        <v>624600</v>
      </c>
      <c r="P926" t="str">
        <f>"ОБЛ СВЕРДЛОВСКАЯ"</f>
        <v>ОБЛ СВЕРДЛОВСКАЯ</v>
      </c>
      <c r="Q926" t="str">
        <f>""</f>
        <v/>
      </c>
      <c r="R926" t="str">
        <f>"Г АЛАПАЕВСК"</f>
        <v>Г АЛАПАЕВСК</v>
      </c>
      <c r="S926" t="str">
        <f>""</f>
        <v/>
      </c>
      <c r="T926" t="str">
        <f>"УЛ КАЛИНИНА"</f>
        <v>УЛ КАЛИНИНА</v>
      </c>
      <c r="U926" s="1" t="str">
        <f>"5"</f>
        <v>5</v>
      </c>
      <c r="V926" s="1" t="str">
        <f>""</f>
        <v/>
      </c>
      <c r="W926" s="1" t="str">
        <f>"2"</f>
        <v>2</v>
      </c>
      <c r="X926" s="1" t="str">
        <f>""</f>
        <v/>
      </c>
      <c r="Y926" s="1" t="str">
        <f>"91"</f>
        <v>91</v>
      </c>
      <c r="Z926" t="str">
        <f>"3434673425"</f>
        <v>3434673425</v>
      </c>
      <c r="AA926" t="str">
        <f>"9120352206"</f>
        <v>9120352206</v>
      </c>
      <c r="AB926" t="str">
        <f>"9120352206"</f>
        <v>9120352206</v>
      </c>
      <c r="AC926" t="str">
        <f>"9120352206"</f>
        <v>9120352206</v>
      </c>
      <c r="AD926" t="str">
        <f>"9120352206"</f>
        <v>9120352206</v>
      </c>
      <c r="AE926" t="str">
        <f>"3434673425"</f>
        <v>3434673425</v>
      </c>
    </row>
    <row r="927" spans="1:31" x14ac:dyDescent="0.45">
      <c r="A927" t="str">
        <f>"ЩУКИН АНТОН АНАТОЛЬЕВИЧ"</f>
        <v>ЩУКИН АНТОН АНАТОЛЬЕВИЧ</v>
      </c>
      <c r="B927" t="str">
        <f>"1987-09-22"</f>
        <v>1987-09-22</v>
      </c>
      <c r="C927" t="str">
        <f>"75 07 155514"</f>
        <v>75 07 155514</v>
      </c>
      <c r="D927" t="str">
        <f>"4279011620835135"</f>
        <v>4279011620835135</v>
      </c>
      <c r="E927" t="str">
        <f t="shared" si="148"/>
        <v>2021-05-31</v>
      </c>
      <c r="F927" t="str">
        <f>"+"</f>
        <v>+</v>
      </c>
      <c r="G927" t="str">
        <f>"+"</f>
        <v>+</v>
      </c>
      <c r="H927" t="str">
        <f>"40817810116991425088"</f>
        <v>40817810116991425088</v>
      </c>
      <c r="I927" t="str">
        <f>"8597"</f>
        <v>8597</v>
      </c>
      <c r="J927" t="str">
        <f>"0502"</f>
        <v>0502</v>
      </c>
      <c r="K927" t="str">
        <f>"205000.00"</f>
        <v>205000.00</v>
      </c>
      <c r="L927" t="str">
        <f>"454000 ОБЛ ЧЕЛЯБИНСКАЯ   Г ЗЛАТОУСТ   УЛ СУВОРОВА д. 1Б"</f>
        <v>454000 ОБЛ ЧЕЛЯБИНСКАЯ   Г ЗЛАТОУСТ   УЛ СУВОРОВА д. 1Б</v>
      </c>
      <c r="M927" t="str">
        <f t="shared" si="147"/>
        <v>2019-08-24</v>
      </c>
      <c r="N927" t="str">
        <f>"ООО ТФ ВЛАДОМИР"</f>
        <v>ООО ТФ ВЛАДОМИР</v>
      </c>
      <c r="O927" t="str">
        <f>"454000"</f>
        <v>454000</v>
      </c>
      <c r="P927" t="str">
        <f>"ОБЛ ЧЕЛЯБИНСКАЯ"</f>
        <v>ОБЛ ЧЕЛЯБИНСКАЯ</v>
      </c>
      <c r="Q927" t="str">
        <f>""</f>
        <v/>
      </c>
      <c r="R927" t="str">
        <f>"Г ЗЛАТОУСТ"</f>
        <v>Г ЗЛАТОУСТ</v>
      </c>
      <c r="S927" t="str">
        <f>""</f>
        <v/>
      </c>
      <c r="T927" t="str">
        <f>"УЛ 40 ЛЕТ ПОБЕДЫ"</f>
        <v>УЛ 40 ЛЕТ ПОБЕДЫ</v>
      </c>
      <c r="U927" s="1" t="str">
        <f>"48"</f>
        <v>48</v>
      </c>
      <c r="V927" s="1" t="str">
        <f>""</f>
        <v/>
      </c>
      <c r="W927" s="1" t="str">
        <f>""</f>
        <v/>
      </c>
      <c r="X927" s="1" t="str">
        <f>""</f>
        <v/>
      </c>
      <c r="Y927" s="1" t="str">
        <f>"130"</f>
        <v>130</v>
      </c>
      <c r="Z927" t="str">
        <f>"9049410536"</f>
        <v>9049410536</v>
      </c>
      <c r="AA927" t="str">
        <f>"9634680868"</f>
        <v>9634680868</v>
      </c>
      <c r="AB927" t="str">
        <f>"9320174592"</f>
        <v>9320174592</v>
      </c>
      <c r="AC927" t="str">
        <f>"9518060525"</f>
        <v>9518060525</v>
      </c>
      <c r="AD927" t="str">
        <f>"9320174592"</f>
        <v>9320174592</v>
      </c>
      <c r="AE927" t="str">
        <f>"9518060525"</f>
        <v>9518060525</v>
      </c>
    </row>
    <row r="928" spans="1:31" x14ac:dyDescent="0.45">
      <c r="A928" t="str">
        <f>"ШАЙБАКОВА МИНИЗИЛЯ РАХИМОВНА"</f>
        <v>ШАЙБАКОВА МИНИЗИЛЯ РАХИМОВНА</v>
      </c>
      <c r="B928" t="str">
        <f>"1954-07-06"</f>
        <v>1954-07-06</v>
      </c>
      <c r="C928" t="str">
        <f>"80 01 507495"</f>
        <v>80 01 507495</v>
      </c>
      <c r="D928" t="str">
        <f>"4279011657585330"</f>
        <v>4279011657585330</v>
      </c>
      <c r="E928" t="str">
        <f t="shared" si="148"/>
        <v>2021-05-31</v>
      </c>
      <c r="F928" t="str">
        <f>"+"</f>
        <v>+</v>
      </c>
      <c r="G928" t="str">
        <f>"+"</f>
        <v>+</v>
      </c>
      <c r="H928" t="str">
        <f>"40817810816991425090"</f>
        <v>40817810816991425090</v>
      </c>
      <c r="I928" t="str">
        <f>"8598"</f>
        <v>8598</v>
      </c>
      <c r="J928" t="str">
        <f>"0377"</f>
        <v>0377</v>
      </c>
      <c r="K928" t="str">
        <f>"15000.00"</f>
        <v>15000.00</v>
      </c>
      <c r="L928" t="str">
        <f>"453100 РЕСП БАШКОРТОСТАН   Г СТЕРЛИТАМАК   УЛ ХУДАЙБЕРДИНА д. 125 кв. 25"</f>
        <v>453100 РЕСП БАШКОРТОСТАН   Г СТЕРЛИТАМАК   УЛ ХУДАЙБЕРДИНА д. 125 кв. 25</v>
      </c>
      <c r="M928" t="str">
        <f t="shared" si="147"/>
        <v>2019-08-24</v>
      </c>
      <c r="N928" t="str">
        <f>"ПЕНСИОНЕР"</f>
        <v>ПЕНСИОНЕР</v>
      </c>
      <c r="O928" t="str">
        <f>"453100"</f>
        <v>453100</v>
      </c>
      <c r="P928" t="str">
        <f>"РЕСП БАШКОРТОСТАН"</f>
        <v>РЕСП БАШКОРТОСТАН</v>
      </c>
      <c r="Q928" t="str">
        <f>""</f>
        <v/>
      </c>
      <c r="R928" t="str">
        <f>"Г СТЕРЛИТАМАК"</f>
        <v>Г СТЕРЛИТАМАК</v>
      </c>
      <c r="S928" t="str">
        <f>""</f>
        <v/>
      </c>
      <c r="T928" t="str">
        <f>"УЛ ХУДАЙБЕРДИНА"</f>
        <v>УЛ ХУДАЙБЕРДИНА</v>
      </c>
      <c r="U928" s="1" t="str">
        <f>"125"</f>
        <v>125</v>
      </c>
      <c r="V928" s="1" t="str">
        <f>""</f>
        <v/>
      </c>
      <c r="W928" s="1" t="str">
        <f>""</f>
        <v/>
      </c>
      <c r="X928" s="1" t="str">
        <f>""</f>
        <v/>
      </c>
      <c r="Y928" s="1" t="str">
        <f>"25"</f>
        <v>25</v>
      </c>
      <c r="Z928" t="str">
        <f>"9177785489"</f>
        <v>9177785489</v>
      </c>
      <c r="AA928" t="str">
        <f>"0"</f>
        <v>0</v>
      </c>
      <c r="AB928" t="str">
        <f>"9177785489"</f>
        <v>9177785489</v>
      </c>
      <c r="AC928" t="str">
        <f>"9177785489"</f>
        <v>9177785489</v>
      </c>
      <c r="AD928" t="str">
        <f>"9177785489"</f>
        <v>9177785489</v>
      </c>
      <c r="AE928" t="str">
        <f>"9177785489"</f>
        <v>9177785489</v>
      </c>
    </row>
    <row r="929" spans="1:31" x14ac:dyDescent="0.45">
      <c r="A929" t="str">
        <f>"КАНАШ СВЕТЛАНА АЛЕКСАНДРОВНА"</f>
        <v>КАНАШ СВЕТЛАНА АЛЕКСАНДРОВНА</v>
      </c>
      <c r="B929" t="str">
        <f>"1977-01-22"</f>
        <v>1977-01-22</v>
      </c>
      <c r="C929" t="str">
        <f>"65 05 268313"</f>
        <v>65 05 268313</v>
      </c>
      <c r="D929" t="str">
        <f>"4279011693059118"</f>
        <v>4279011693059118</v>
      </c>
      <c r="E929" t="str">
        <f t="shared" si="148"/>
        <v>2021-05-31</v>
      </c>
      <c r="F929" t="str">
        <f>"Q"</f>
        <v>Q</v>
      </c>
      <c r="G929" t="str">
        <f>"Q"</f>
        <v>Q</v>
      </c>
      <c r="H929" t="str">
        <f>"40817810716991425093"</f>
        <v>40817810716991425093</v>
      </c>
      <c r="I929" t="str">
        <f>"7003"</f>
        <v>7003</v>
      </c>
      <c r="J929" t="str">
        <f>"0728"</f>
        <v>0728</v>
      </c>
      <c r="K929" t="str">
        <f>"0.00"</f>
        <v>0.00</v>
      </c>
      <c r="L929" t="str">
        <f>"622000 ОБЛ СВЕРДЛОВСКАЯ   Г Н ТАГИЛ   УЛ БАЛАКИНСКАЯ д. 64"</f>
        <v>622000 ОБЛ СВЕРДЛОВСКАЯ   Г Н ТАГИЛ   УЛ БАЛАКИНСКАЯ д. 64</v>
      </c>
      <c r="M929" t="str">
        <f t="shared" si="147"/>
        <v>2019-08-24</v>
      </c>
      <c r="N929" t="str">
        <f>"ООО ПЭК"</f>
        <v>ООО ПЭК</v>
      </c>
      <c r="O929" t="str">
        <f>"622002"</f>
        <v>622002</v>
      </c>
      <c r="P929" t="str">
        <f>"ОБЛ СВЕРДЛОВСКАЯ"</f>
        <v>ОБЛ СВЕРДЛОВСКАЯ</v>
      </c>
      <c r="Q929" t="str">
        <f>""</f>
        <v/>
      </c>
      <c r="R929" t="str">
        <f>"Г Н ТАГИЛ"</f>
        <v>Г Н ТАГИЛ</v>
      </c>
      <c r="S929" t="str">
        <f>""</f>
        <v/>
      </c>
      <c r="T929" t="str">
        <f>"УЛ ФРУНЗЕ"</f>
        <v>УЛ ФРУНЗЕ</v>
      </c>
      <c r="U929" s="1" t="str">
        <f>"15"</f>
        <v>15</v>
      </c>
      <c r="V929" s="1" t="str">
        <f>""</f>
        <v/>
      </c>
      <c r="W929" s="1" t="str">
        <f>""</f>
        <v/>
      </c>
      <c r="X929" s="1" t="str">
        <f>""</f>
        <v/>
      </c>
      <c r="Y929" s="1" t="str">
        <f>"94"</f>
        <v>94</v>
      </c>
      <c r="Z929" t="str">
        <f>""</f>
        <v/>
      </c>
      <c r="AA929" t="str">
        <f>"9049814090"</f>
        <v>9049814090</v>
      </c>
      <c r="AB929" t="str">
        <f>"9049814090"</f>
        <v>9049814090</v>
      </c>
      <c r="AC929" t="str">
        <f>"9049814090"</f>
        <v>9049814090</v>
      </c>
      <c r="AD929" t="str">
        <f>"9049814090"</f>
        <v>9049814090</v>
      </c>
      <c r="AE929" t="str">
        <f>""</f>
        <v/>
      </c>
    </row>
    <row r="930" spans="1:31" x14ac:dyDescent="0.45">
      <c r="A930" t="str">
        <f>"ИШБЕРДИН РУСЛАН УСМАНОВИЧ"</f>
        <v>ИШБЕРДИН РУСЛАН УСМАНОВИЧ</v>
      </c>
      <c r="B930" t="str">
        <f>"1969-10-07"</f>
        <v>1969-10-07</v>
      </c>
      <c r="C930" t="str">
        <f>"80 15 069791"</f>
        <v>80 15 069791</v>
      </c>
      <c r="D930" t="str">
        <f>"5484011604737545"</f>
        <v>5484011604737545</v>
      </c>
      <c r="E930" t="str">
        <f t="shared" si="148"/>
        <v>2021-05-31</v>
      </c>
      <c r="F930" t="str">
        <f t="shared" ref="F930:G945" si="150">"+"</f>
        <v>+</v>
      </c>
      <c r="G930" t="str">
        <f t="shared" si="150"/>
        <v>+</v>
      </c>
      <c r="H930" t="str">
        <f>"40817810916991425097"</f>
        <v>40817810916991425097</v>
      </c>
      <c r="I930" t="str">
        <f>"8598"</f>
        <v>8598</v>
      </c>
      <c r="J930" t="str">
        <f>"0724"</f>
        <v>0724</v>
      </c>
      <c r="K930" t="str">
        <f>"64000.00"</f>
        <v>64000.00</v>
      </c>
      <c r="L930" t="str">
        <f>"453832 РЕСП БАШКОРТОСТАН   Г СИБАЙ   УЛ ЭЛЕВАТОРНАЯ д. 1"</f>
        <v>453832 РЕСП БАШКОРТОСТАН   Г СИБАЙ   УЛ ЭЛЕВАТОРНАЯ д. 1</v>
      </c>
      <c r="M930" t="str">
        <f t="shared" si="147"/>
        <v>2019-08-24</v>
      </c>
      <c r="N930" t="str">
        <f>"ООО ЭЛЕВАТОР"</f>
        <v>ООО ЭЛЕВАТОР</v>
      </c>
      <c r="O930" t="str">
        <f>"453831"</f>
        <v>453831</v>
      </c>
      <c r="P930" t="str">
        <f>"РЕСП БАШКОРТОСТАН"</f>
        <v>РЕСП БАШКОРТОСТАН</v>
      </c>
      <c r="Q930" t="str">
        <f>""</f>
        <v/>
      </c>
      <c r="R930" t="str">
        <f>"Г СИБАЙ"</f>
        <v>Г СИБАЙ</v>
      </c>
      <c r="S930" t="str">
        <f>""</f>
        <v/>
      </c>
      <c r="T930" t="str">
        <f>"УЛ КАРЬЕРНАЯ"</f>
        <v>УЛ КАРЬЕРНАЯ</v>
      </c>
      <c r="U930" s="1" t="str">
        <f>"31/1"</f>
        <v>31/1</v>
      </c>
      <c r="V930" s="1" t="str">
        <f>""</f>
        <v/>
      </c>
      <c r="W930" s="1" t="str">
        <f>""</f>
        <v/>
      </c>
      <c r="X930" s="1" t="str">
        <f>""</f>
        <v/>
      </c>
      <c r="Y930" s="1" t="str">
        <f>"1"</f>
        <v>1</v>
      </c>
      <c r="Z930" t="str">
        <f>"3477553362"</f>
        <v>3477553362</v>
      </c>
      <c r="AA930" t="str">
        <f>"9273161196"</f>
        <v>9273161196</v>
      </c>
      <c r="AB930" t="str">
        <f>"9273161196"</f>
        <v>9273161196</v>
      </c>
      <c r="AC930" t="str">
        <f>"9273161196"</f>
        <v>9273161196</v>
      </c>
      <c r="AD930" t="str">
        <f>"9273161196"</f>
        <v>9273161196</v>
      </c>
      <c r="AE930" t="str">
        <f>"3477553362"</f>
        <v>3477553362</v>
      </c>
    </row>
    <row r="931" spans="1:31" x14ac:dyDescent="0.45">
      <c r="A931" t="str">
        <f>"ХАМИДУЛЛИНА РАИСА ВАСИЛОВНА"</f>
        <v>ХАМИДУЛЛИНА РАИСА ВАСИЛОВНА</v>
      </c>
      <c r="B931" t="str">
        <f>"1953-04-23"</f>
        <v>1953-04-23</v>
      </c>
      <c r="C931" t="str">
        <f>"80 03 876750"</f>
        <v>80 03 876750</v>
      </c>
      <c r="D931" t="str">
        <f>"4279011635164505"</f>
        <v>4279011635164505</v>
      </c>
      <c r="E931" t="str">
        <f t="shared" si="148"/>
        <v>2021-05-31</v>
      </c>
      <c r="F931" t="str">
        <f t="shared" si="150"/>
        <v>+</v>
      </c>
      <c r="G931" t="str">
        <f t="shared" si="150"/>
        <v>+</v>
      </c>
      <c r="H931" t="str">
        <f>"40817810416991425102"</f>
        <v>40817810416991425102</v>
      </c>
      <c r="I931" t="str">
        <f>"8598"</f>
        <v>8598</v>
      </c>
      <c r="J931" t="str">
        <f>"0299"</f>
        <v>0299</v>
      </c>
      <c r="K931" t="str">
        <f>"48000.00"</f>
        <v>48000.00</v>
      </c>
      <c r="L931" t="str">
        <f>"450000 РЕСП БАШКОРТОСТАН Р-Н БЕЛОРЕЦКИЙ Г БЕЛОРЕЦК Г БЕЛОРЕЦК УЛ КОСОРОТОВА д. 32 кв. 28"</f>
        <v>450000 РЕСП БАШКОРТОСТАН Р-Н БЕЛОРЕЦКИЙ Г БЕЛОРЕЦК Г БЕЛОРЕЦК УЛ КОСОРОТОВА д. 32 кв. 28</v>
      </c>
      <c r="M931" t="str">
        <f t="shared" si="147"/>
        <v>2019-08-24</v>
      </c>
      <c r="N931" t="str">
        <f>"НЕТУ"</f>
        <v>НЕТУ</v>
      </c>
      <c r="O931" t="str">
        <f>"450000"</f>
        <v>450000</v>
      </c>
      <c r="P931" t="str">
        <f>"РЕСП БАШКОРТОСТАН"</f>
        <v>РЕСП БАШКОРТОСТАН</v>
      </c>
      <c r="Q931" t="str">
        <f>"Р-Н БЕЛОРЕЦКИЙ"</f>
        <v>Р-Н БЕЛОРЕЦКИЙ</v>
      </c>
      <c r="R931" t="str">
        <f>"Г БЕЛОРЕЦК"</f>
        <v>Г БЕЛОРЕЦК</v>
      </c>
      <c r="S931" t="str">
        <f>""</f>
        <v/>
      </c>
      <c r="T931" t="str">
        <f>"УЛ КОСОРОТОВА"</f>
        <v>УЛ КОСОРОТОВА</v>
      </c>
      <c r="U931" s="1" t="str">
        <f>"32"</f>
        <v>32</v>
      </c>
      <c r="V931" s="1" t="str">
        <f>""</f>
        <v/>
      </c>
      <c r="W931" s="1" t="str">
        <f>""</f>
        <v/>
      </c>
      <c r="X931" s="1" t="str">
        <f>""</f>
        <v/>
      </c>
      <c r="Y931" s="1" t="str">
        <f>"28"</f>
        <v>28</v>
      </c>
      <c r="Z931" t="str">
        <f>""</f>
        <v/>
      </c>
      <c r="AA931" t="str">
        <f>"9625446844"</f>
        <v>9625446844</v>
      </c>
      <c r="AB931" t="str">
        <f>"9625446844"</f>
        <v>9625446844</v>
      </c>
      <c r="AC931" t="str">
        <f>"9625446844"</f>
        <v>9625446844</v>
      </c>
      <c r="AD931" t="str">
        <f>"9625446844"</f>
        <v>9625446844</v>
      </c>
      <c r="AE931" t="str">
        <f>""</f>
        <v/>
      </c>
    </row>
    <row r="932" spans="1:31" x14ac:dyDescent="0.45">
      <c r="A932" t="str">
        <f>"ГИЛЕВ АЛЕКСАНДР СЕРГЕЕВИЧ"</f>
        <v>ГИЛЕВ АЛЕКСАНДР СЕРГЕЕВИЧ</v>
      </c>
      <c r="B932" t="str">
        <f>"1968-09-16"</f>
        <v>1968-09-16</v>
      </c>
      <c r="C932" t="str">
        <f>"65 12 493739"</f>
        <v>65 12 493739</v>
      </c>
      <c r="D932" t="str">
        <f>"4279011678775704"</f>
        <v>4279011678775704</v>
      </c>
      <c r="E932" t="str">
        <f t="shared" si="148"/>
        <v>2021-05-31</v>
      </c>
      <c r="F932" t="str">
        <f t="shared" si="150"/>
        <v>+</v>
      </c>
      <c r="G932" t="str">
        <f t="shared" si="150"/>
        <v>+</v>
      </c>
      <c r="H932" t="str">
        <f>"40817810716991425103"</f>
        <v>40817810716991425103</v>
      </c>
      <c r="I932" t="str">
        <f>"7003"</f>
        <v>7003</v>
      </c>
      <c r="J932" t="str">
        <f>"0468"</f>
        <v>0468</v>
      </c>
      <c r="K932" t="str">
        <f>"15000.00"</f>
        <v>15000.00</v>
      </c>
      <c r="L932" t="str">
        <f>"620000 ОБЛ СВЕРДЛОВСКАЯ   Г ЕКАТЕРИНБУРГ   УЛ ШЕЙКМАНА д. 123"</f>
        <v>620000 ОБЛ СВЕРДЛОВСКАЯ   Г ЕКАТЕРИНБУРГ   УЛ ШЕЙКМАНА д. 123</v>
      </c>
      <c r="M932" t="str">
        <f t="shared" si="147"/>
        <v>2019-08-24</v>
      </c>
      <c r="N932" t="str">
        <f>"КАЛАСТЕР"</f>
        <v>КАЛАСТЕР</v>
      </c>
      <c r="O932" t="str">
        <f>"620000"</f>
        <v>620000</v>
      </c>
      <c r="P932" t="str">
        <f>"ОБЛ СВЕРДЛОВСКАЯ"</f>
        <v>ОБЛ СВЕРДЛОВСКАЯ</v>
      </c>
      <c r="Q932" t="str">
        <f>""</f>
        <v/>
      </c>
      <c r="R932" t="str">
        <f>"С/П КАШИНО"</f>
        <v>С/П КАШИНО</v>
      </c>
      <c r="S932" t="str">
        <f>""</f>
        <v/>
      </c>
      <c r="T932" t="str">
        <f>"УЛ ОКТЯБРЬСКАЯ"</f>
        <v>УЛ ОКТЯБРЬСКАЯ</v>
      </c>
      <c r="U932" s="1" t="str">
        <f>"3"</f>
        <v>3</v>
      </c>
      <c r="V932" s="1" t="str">
        <f>""</f>
        <v/>
      </c>
      <c r="W932" s="1" t="str">
        <f>""</f>
        <v/>
      </c>
      <c r="X932" s="1" t="str">
        <f>""</f>
        <v/>
      </c>
      <c r="Y932" s="1" t="str">
        <f>""</f>
        <v/>
      </c>
      <c r="Z932" t="str">
        <f>""</f>
        <v/>
      </c>
      <c r="AA932" t="str">
        <f>"9222022599"</f>
        <v>9222022599</v>
      </c>
      <c r="AB932" t="str">
        <f>"9222022599"</f>
        <v>9222022599</v>
      </c>
      <c r="AC932" t="str">
        <f>"9222022599"</f>
        <v>9222022599</v>
      </c>
      <c r="AD932" t="str">
        <f>"9222022599"</f>
        <v>9222022599</v>
      </c>
      <c r="AE932" t="str">
        <f>""</f>
        <v/>
      </c>
    </row>
    <row r="933" spans="1:31" x14ac:dyDescent="0.45">
      <c r="A933" t="str">
        <f>"АРЕФЬЕВА ЕЛЕНА ФЕДОРОВНА"</f>
        <v>АРЕФЬЕВА ЕЛЕНА ФЕДОРОВНА</v>
      </c>
      <c r="B933" t="str">
        <f>"1965-09-30"</f>
        <v>1965-09-30</v>
      </c>
      <c r="C933" t="str">
        <f>"74 18 997301"</f>
        <v>74 18 997301</v>
      </c>
      <c r="D933" t="str">
        <f>"4854630215917116"</f>
        <v>4854630215917116</v>
      </c>
      <c r="E933" t="str">
        <f>"2021-04-30"</f>
        <v>2021-04-30</v>
      </c>
      <c r="F933" t="str">
        <f t="shared" si="150"/>
        <v>+</v>
      </c>
      <c r="G933" t="str">
        <f t="shared" si="150"/>
        <v>+</v>
      </c>
      <c r="H933" t="str">
        <f>"40817810316992352918"</f>
        <v>40817810316992352918</v>
      </c>
      <c r="I933" t="str">
        <f>"8369"</f>
        <v>8369</v>
      </c>
      <c r="J933" t="str">
        <f>"0065"</f>
        <v>0065</v>
      </c>
      <c r="K933" t="str">
        <f>"200000.00"</f>
        <v>200000.00</v>
      </c>
      <c r="L933" t="str">
        <f>"629305 ОБЛ ТЮМЕНСКАЯ АО ЯМАЛО-НЕНЕЦКИЙ Г НОВЫЙ УРЕНГОЙ   УЛ СИБИРСКАЯ д. 85 кв. 119"</f>
        <v>629305 ОБЛ ТЮМЕНСКАЯ АО ЯМАЛО-НЕНЕЦКИЙ Г НОВЫЙ УРЕНГОЙ   УЛ СИБИРСКАЯ д. 85 кв. 119</v>
      </c>
      <c r="M933" t="str">
        <f t="shared" si="147"/>
        <v>2019-08-24</v>
      </c>
      <c r="N933" t="str">
        <f>"ГУ УПРАВЛЕНИЕ ПЕНСИОННЫМ ФОНДОМ"</f>
        <v>ГУ УПРАВЛЕНИЕ ПЕНСИОННЫМ ФОНДОМ</v>
      </c>
      <c r="O933" t="str">
        <f>"629305"</f>
        <v>629305</v>
      </c>
      <c r="P933" t="str">
        <f>"ОБЛ ТЮМЕНСКАЯ"</f>
        <v>ОБЛ ТЮМЕНСКАЯ</v>
      </c>
      <c r="Q933" t="str">
        <f>"АО ЯМАЛО-НЕНЕЦКИЙ"</f>
        <v>АО ЯМАЛО-НЕНЕЦКИЙ</v>
      </c>
      <c r="R933" t="str">
        <f>"Г НОВЫЙ УРЕНГОЙ"</f>
        <v>Г НОВЫЙ УРЕНГОЙ</v>
      </c>
      <c r="S933" t="str">
        <f>""</f>
        <v/>
      </c>
      <c r="T933" t="str">
        <f>"УЛ СИБИРСКАЯ"</f>
        <v>УЛ СИБИРСКАЯ</v>
      </c>
      <c r="U933" s="1" t="str">
        <f>"85"</f>
        <v>85</v>
      </c>
      <c r="V933" s="1" t="str">
        <f>""</f>
        <v/>
      </c>
      <c r="W933" s="1" t="str">
        <f>""</f>
        <v/>
      </c>
      <c r="X933" s="1" t="str">
        <f>""</f>
        <v/>
      </c>
      <c r="Y933" s="1" t="str">
        <f>"119"</f>
        <v>119</v>
      </c>
      <c r="Z933" t="str">
        <f>""</f>
        <v/>
      </c>
      <c r="AA933" t="str">
        <f>"9088569535"</f>
        <v>9088569535</v>
      </c>
      <c r="AB933" t="str">
        <f>"9824046153"</f>
        <v>9824046153</v>
      </c>
      <c r="AC933" t="str">
        <f>"9088569535"</f>
        <v>9088569535</v>
      </c>
      <c r="AD933" t="str">
        <f>"9824046153"</f>
        <v>9824046153</v>
      </c>
      <c r="AE933" t="str">
        <f>""</f>
        <v/>
      </c>
    </row>
    <row r="934" spans="1:31" x14ac:dyDescent="0.45">
      <c r="A934" t="str">
        <f>"ЗИНОВЬЕВА АННА ИГОРЕВНА"</f>
        <v>ЗИНОВЬЕВА АННА ИГОРЕВНА</v>
      </c>
      <c r="B934" t="str">
        <f>"1989-02-22"</f>
        <v>1989-02-22</v>
      </c>
      <c r="C934" t="str">
        <f>"65 18 826731"</f>
        <v>65 18 826731</v>
      </c>
      <c r="D934" t="str">
        <f>"4854630215669303"</f>
        <v>4854630215669303</v>
      </c>
      <c r="E934" t="str">
        <f>"2021-04-30"</f>
        <v>2021-04-30</v>
      </c>
      <c r="F934" t="str">
        <f t="shared" si="150"/>
        <v>+</v>
      </c>
      <c r="G934" t="str">
        <f t="shared" si="150"/>
        <v>+</v>
      </c>
      <c r="H934" t="str">
        <f>"40817810316991428283"</f>
        <v>40817810316991428283</v>
      </c>
      <c r="I934" t="str">
        <f>"7003"</f>
        <v>7003</v>
      </c>
      <c r="J934" t="str">
        <f>"0362"</f>
        <v>0362</v>
      </c>
      <c r="K934" t="str">
        <f>"50000.00"</f>
        <v>50000.00</v>
      </c>
      <c r="L934" t="str">
        <f>"620000 ОБЛ СВЕРДЛОВСКАЯ   Г ЕКАТЕРИНБУРГ   УЛ ИЛЬИЧА д. 31 кв. 7"</f>
        <v>620000 ОБЛ СВЕРДЛОВСКАЯ   Г ЕКАТЕРИНБУРГ   УЛ ИЛЬИЧА д. 31 кв. 7</v>
      </c>
      <c r="M934" t="str">
        <f t="shared" si="147"/>
        <v>2019-08-24</v>
      </c>
      <c r="N934" t="str">
        <f>"НЕТ"</f>
        <v>НЕТ</v>
      </c>
      <c r="O934" t="str">
        <f>"620000"</f>
        <v>620000</v>
      </c>
      <c r="P934" t="str">
        <f>"Г СЕВАСТОПОЛЬ"</f>
        <v>Г СЕВАСТОПОЛЬ</v>
      </c>
      <c r="Q934" t="str">
        <f>""</f>
        <v/>
      </c>
      <c r="R934" t="str">
        <f>"Г ЕКАТЕРИНБУРГ"</f>
        <v>Г ЕКАТЕРИНБУРГ</v>
      </c>
      <c r="S934" t="str">
        <f>""</f>
        <v/>
      </c>
      <c r="T934" t="str">
        <f>"УЛ ИЛЬИЧА"</f>
        <v>УЛ ИЛЬИЧА</v>
      </c>
      <c r="U934" s="1" t="str">
        <f>"31"</f>
        <v>31</v>
      </c>
      <c r="V934" s="1" t="str">
        <f>""</f>
        <v/>
      </c>
      <c r="W934" s="1" t="str">
        <f>""</f>
        <v/>
      </c>
      <c r="X934" s="1" t="str">
        <f>""</f>
        <v/>
      </c>
      <c r="Y934" s="1" t="str">
        <f>"7"</f>
        <v>7</v>
      </c>
      <c r="Z934" t="str">
        <f>""</f>
        <v/>
      </c>
      <c r="AA934" t="str">
        <f>"9221717727"</f>
        <v>9221717727</v>
      </c>
      <c r="AB934" t="str">
        <f>"9221717727"</f>
        <v>9221717727</v>
      </c>
      <c r="AC934" t="str">
        <f>"9221717727"</f>
        <v>9221717727</v>
      </c>
      <c r="AD934" t="str">
        <f>"9221717727"</f>
        <v>9221717727</v>
      </c>
      <c r="AE934" t="str">
        <f>""</f>
        <v/>
      </c>
    </row>
    <row r="935" spans="1:31" x14ac:dyDescent="0.45">
      <c r="A935" t="str">
        <f>"ЧУКАВИНА НАТАЛЬЯ ВИТАЛЬЕВНА"</f>
        <v>ЧУКАВИНА НАТАЛЬЯ ВИТАЛЬЕВНА</v>
      </c>
      <c r="B935" t="str">
        <f>"1952-10-05"</f>
        <v>1952-10-05</v>
      </c>
      <c r="C935" t="str">
        <f>"80 01 167538"</f>
        <v>80 01 167538</v>
      </c>
      <c r="D935" t="str">
        <f>"4854630123087044"</f>
        <v>4854630123087044</v>
      </c>
      <c r="E935" t="str">
        <f>"2021-11-30"</f>
        <v>2021-11-30</v>
      </c>
      <c r="F935" t="str">
        <f t="shared" si="150"/>
        <v>+</v>
      </c>
      <c r="G935" t="str">
        <f t="shared" si="150"/>
        <v>+</v>
      </c>
      <c r="H935" t="str">
        <f>"40817810616991428284"</f>
        <v>40817810616991428284</v>
      </c>
      <c r="I935" t="str">
        <f>"8598"</f>
        <v>8598</v>
      </c>
      <c r="J935" t="str">
        <f>"0148"</f>
        <v>0148</v>
      </c>
      <c r="K935" t="str">
        <f>"120000.00"</f>
        <v>120000.00</v>
      </c>
      <c r="L935" t="str">
        <f>"450000 РЕСП БАШКОРТОСТАН   Г УФА   УЛ ИВАНА ФРАНКО д. 7А"</f>
        <v>450000 РЕСП БАШКОРТОСТАН   Г УФА   УЛ ИВАНА ФРАНКО д. 7А</v>
      </c>
      <c r="M935" t="str">
        <f t="shared" si="147"/>
        <v>2019-08-24</v>
      </c>
      <c r="N935" t="str">
        <f>"ДМШ №5"</f>
        <v>ДМШ №5</v>
      </c>
      <c r="O935" t="str">
        <f>"450000"</f>
        <v>450000</v>
      </c>
      <c r="P935" t="str">
        <f>"РЕСП БАШКОРТОСТАН"</f>
        <v>РЕСП БАШКОРТОСТАН</v>
      </c>
      <c r="Q935" t="str">
        <f>""</f>
        <v/>
      </c>
      <c r="R935" t="str">
        <f>"Г УФА"</f>
        <v>Г УФА</v>
      </c>
      <c r="S935" t="str">
        <f>""</f>
        <v/>
      </c>
      <c r="T935" t="str">
        <f>"УЛ ШОТА РУСТАВЕЛИ"</f>
        <v>УЛ ШОТА РУСТАВЕЛИ</v>
      </c>
      <c r="U935" s="1" t="str">
        <f>"23"</f>
        <v>23</v>
      </c>
      <c r="V935" s="1" t="str">
        <f>""</f>
        <v/>
      </c>
      <c r="W935" s="1" t="str">
        <f>""</f>
        <v/>
      </c>
      <c r="X935" s="1" t="str">
        <f>""</f>
        <v/>
      </c>
      <c r="Y935" s="1" t="str">
        <f>"73"</f>
        <v>73</v>
      </c>
      <c r="Z935" t="str">
        <f>""</f>
        <v/>
      </c>
      <c r="AA935" t="str">
        <f>"3472852526"</f>
        <v>3472852526</v>
      </c>
      <c r="AB935" t="str">
        <f>"9649649405"</f>
        <v>9649649405</v>
      </c>
      <c r="AC935" t="str">
        <f>"3472852526"</f>
        <v>3472852526</v>
      </c>
      <c r="AD935" t="str">
        <f>"9649649405"</f>
        <v>9649649405</v>
      </c>
      <c r="AE935" t="str">
        <f>""</f>
        <v/>
      </c>
    </row>
    <row r="936" spans="1:31" x14ac:dyDescent="0.45">
      <c r="A936" t="str">
        <f>"КУХАРЕВ ЕВГЕНИЙ АЛЕКСАНДРОВИЧ"</f>
        <v>КУХАРЕВ ЕВГЕНИЙ АЛЕКСАНДРОВИЧ</v>
      </c>
      <c r="B936" t="str">
        <f>"1975-03-08"</f>
        <v>1975-03-08</v>
      </c>
      <c r="C936" t="str">
        <f>"80 03 250726"</f>
        <v>80 03 250726</v>
      </c>
      <c r="D936" t="str">
        <f>"4854630402612470"</f>
        <v>4854630402612470</v>
      </c>
      <c r="E936" t="str">
        <f>"2020-11-30"</f>
        <v>2020-11-30</v>
      </c>
      <c r="F936" t="str">
        <f t="shared" si="150"/>
        <v>+</v>
      </c>
      <c r="G936" t="str">
        <f t="shared" si="150"/>
        <v>+</v>
      </c>
      <c r="H936" t="str">
        <f>"40817810316991428306"</f>
        <v>40817810316991428306</v>
      </c>
      <c r="I936" t="str">
        <f>"8598"</f>
        <v>8598</v>
      </c>
      <c r="J936" t="str">
        <f>"0349"</f>
        <v>0349</v>
      </c>
      <c r="K936" t="str">
        <f>"280000.00"</f>
        <v>280000.00</v>
      </c>
      <c r="L936" t="str">
        <f>"453100 РЕСП БАШКОРТОСТАН   Г СТЕРЛИТАМАК   УЛ ТЕХНИЧЕСКАЯ д. 32"</f>
        <v>453100 РЕСП БАШКОРТОСТАН   Г СТЕРЛИТАМАК   УЛ ТЕХНИЧЕСКАЯ д. 32</v>
      </c>
      <c r="M936" t="str">
        <f t="shared" si="147"/>
        <v>2019-08-24</v>
      </c>
      <c r="N936" t="str">
        <f>"АО БСК"</f>
        <v>АО БСК</v>
      </c>
      <c r="O936" t="str">
        <f>"453120"</f>
        <v>453120</v>
      </c>
      <c r="P936" t="str">
        <f>"РЕСП БАШКОРТОСТАН"</f>
        <v>РЕСП БАШКОРТОСТАН</v>
      </c>
      <c r="Q936" t="str">
        <f>""</f>
        <v/>
      </c>
      <c r="R936" t="str">
        <f>"Г СТЕРЛИТАМАК"</f>
        <v>Г СТЕРЛИТАМАК</v>
      </c>
      <c r="S936" t="str">
        <f>""</f>
        <v/>
      </c>
      <c r="T936" t="str">
        <f>"УЛ АРТЕМА"</f>
        <v>УЛ АРТЕМА</v>
      </c>
      <c r="U936" s="1" t="str">
        <f>"134"</f>
        <v>134</v>
      </c>
      <c r="V936" s="1" t="str">
        <f>""</f>
        <v/>
      </c>
      <c r="W936" s="1" t="str">
        <f>""</f>
        <v/>
      </c>
      <c r="X936" s="1" t="str">
        <f>""</f>
        <v/>
      </c>
      <c r="Y936" s="1" t="str">
        <f>"78"</f>
        <v>78</v>
      </c>
      <c r="Z936" t="str">
        <f>""</f>
        <v/>
      </c>
      <c r="AA936" t="str">
        <f>"3473332723"</f>
        <v>3473332723</v>
      </c>
      <c r="AB936" t="str">
        <f>"9270891883"</f>
        <v>9270891883</v>
      </c>
      <c r="AC936" t="str">
        <f>"9270891883"</f>
        <v>9270891883</v>
      </c>
      <c r="AD936" t="str">
        <f>"9270891883"</f>
        <v>9270891883</v>
      </c>
      <c r="AE936" t="str">
        <f>""</f>
        <v/>
      </c>
    </row>
    <row r="937" spans="1:31" x14ac:dyDescent="0.45">
      <c r="A937" t="str">
        <f>"ЗИАЛТДИНОВА ЗАЙТУНА ХАТМУЛЛОВНА"</f>
        <v>ЗИАЛТДИНОВА ЗАЙТУНА ХАТМУЛЛОВНА</v>
      </c>
      <c r="B937" t="str">
        <f>"1953-12-06"</f>
        <v>1953-12-06</v>
      </c>
      <c r="C937" t="str">
        <f>"65 00 428131"</f>
        <v>65 00 428131</v>
      </c>
      <c r="D937" t="str">
        <f>"4854630371521397"</f>
        <v>4854630371521397</v>
      </c>
      <c r="E937" t="str">
        <f>"2021-04-30"</f>
        <v>2021-04-30</v>
      </c>
      <c r="F937" t="str">
        <f t="shared" si="150"/>
        <v>+</v>
      </c>
      <c r="G937" t="str">
        <f t="shared" si="150"/>
        <v>+</v>
      </c>
      <c r="H937" t="str">
        <f>"40817810616991428307"</f>
        <v>40817810616991428307</v>
      </c>
      <c r="I937" t="str">
        <f>"7003"</f>
        <v>7003</v>
      </c>
      <c r="J937" t="str">
        <f>"0423"</f>
        <v>0423</v>
      </c>
      <c r="K937" t="str">
        <f>"100000.00"</f>
        <v>100000.00</v>
      </c>
      <c r="L937" t="str">
        <f>"620000 ОБЛ СВЕРДЛОВСКАЯ   Г ЕКАТЕРИНБУРГ   УЛ ПЕРВОМАЙСКАЯ д. 56"</f>
        <v>620000 ОБЛ СВЕРДЛОВСКАЯ   Г ЕКАТЕРИНБУРГ   УЛ ПЕРВОМАЙСКАЯ д. 56</v>
      </c>
      <c r="M937" t="str">
        <f t="shared" si="147"/>
        <v>2019-08-24</v>
      </c>
      <c r="N937" t="s">
        <v>66</v>
      </c>
      <c r="O937" t="str">
        <f>"620000"</f>
        <v>620000</v>
      </c>
      <c r="P937" t="str">
        <f>"ОБЛ СВЕРДЛОВСКАЯ"</f>
        <v>ОБЛ СВЕРДЛОВСКАЯ</v>
      </c>
      <c r="Q937" t="str">
        <f>""</f>
        <v/>
      </c>
      <c r="R937" t="str">
        <f>"Г БЕРЁЗОВСКИЙ"</f>
        <v>Г БЕРЁЗОВСКИЙ</v>
      </c>
      <c r="S937" t="str">
        <f>""</f>
        <v/>
      </c>
      <c r="T937" t="str">
        <f>"УЛ ЧАПАЕВА"</f>
        <v>УЛ ЧАПАЕВА</v>
      </c>
      <c r="U937" s="1" t="str">
        <f>"17"</f>
        <v>17</v>
      </c>
      <c r="V937" s="1" t="str">
        <f>""</f>
        <v/>
      </c>
      <c r="W937" s="1" t="str">
        <f>""</f>
        <v/>
      </c>
      <c r="X937" s="1" t="str">
        <f>""</f>
        <v/>
      </c>
      <c r="Y937" s="1" t="str">
        <f>"60"</f>
        <v>60</v>
      </c>
      <c r="Z937" t="str">
        <f>"9221022023"</f>
        <v>9221022023</v>
      </c>
      <c r="AA937" t="str">
        <f>"9193862235"</f>
        <v>9193862235</v>
      </c>
      <c r="AB937" t="str">
        <f>"9193862235"</f>
        <v>9193862235</v>
      </c>
      <c r="AC937" t="str">
        <f>"9221022023"</f>
        <v>9221022023</v>
      </c>
      <c r="AD937" t="str">
        <f>"9193862235"</f>
        <v>9193862235</v>
      </c>
      <c r="AE937" t="str">
        <f>"9221022023"</f>
        <v>9221022023</v>
      </c>
    </row>
    <row r="938" spans="1:31" x14ac:dyDescent="0.45">
      <c r="A938" t="str">
        <f>"ФИСЮК НИКОЛАЙ АНАТОЛЬЕВИЧ"</f>
        <v>ФИСЮК НИКОЛАЙ АНАТОЛЬЕВИЧ</v>
      </c>
      <c r="B938" t="str">
        <f>"1987-03-03"</f>
        <v>1987-03-03</v>
      </c>
      <c r="C938" t="str">
        <f>"71 06 494437"</f>
        <v>71 06 494437</v>
      </c>
      <c r="D938" t="str">
        <f>"4854630399424228"</f>
        <v>4854630399424228</v>
      </c>
      <c r="E938" t="str">
        <f>"2021-04-30"</f>
        <v>2021-04-30</v>
      </c>
      <c r="F938" t="str">
        <f t="shared" si="150"/>
        <v>+</v>
      </c>
      <c r="G938" t="str">
        <f t="shared" si="150"/>
        <v>+</v>
      </c>
      <c r="H938" t="str">
        <f>"40817810416992400511"</f>
        <v>40817810416992400511</v>
      </c>
      <c r="I938" t="str">
        <f>"8647"</f>
        <v>8647</v>
      </c>
      <c r="J938" t="str">
        <f>"0181"</f>
        <v>0181</v>
      </c>
      <c r="K938" t="str">
        <f>"80000.00"</f>
        <v>80000.00</v>
      </c>
      <c r="L938" t="str">
        <f>"625000 ОБЛ ТЮМЕНСКАЯ   Г ТЮМЕНЬ   УЛ ЯМСКАЯ д. 103"</f>
        <v>625000 ОБЛ ТЮМЕНСКАЯ   Г ТЮМЕНЬ   УЛ ЯМСКАЯ д. 103</v>
      </c>
      <c r="M938" t="str">
        <f t="shared" si="147"/>
        <v>2019-08-24</v>
      </c>
      <c r="N938" t="str">
        <f>"ТЮМЕНСКИЙ АККУМУЛЯТОРНЫЙ ЗАВОД"</f>
        <v>ТЮМЕНСКИЙ АККУМУЛЯТОРНЫЙ ЗАВОД</v>
      </c>
      <c r="O938" t="str">
        <f>"625000"</f>
        <v>625000</v>
      </c>
      <c r="P938" t="str">
        <f>"ОБЛ ТЮМЕНСКАЯ"</f>
        <v>ОБЛ ТЮМЕНСКАЯ</v>
      </c>
      <c r="Q938" t="str">
        <f>""</f>
        <v/>
      </c>
      <c r="R938" t="str">
        <f>""</f>
        <v/>
      </c>
      <c r="S938" t="str">
        <f>"С АРОМАШЕВО"</f>
        <v>С АРОМАШЕВО</v>
      </c>
      <c r="T938" t="str">
        <f>"УЛ СОВЕТСКАЯ"</f>
        <v>УЛ СОВЕТСКАЯ</v>
      </c>
      <c r="U938" s="1" t="str">
        <f>"9"</f>
        <v>9</v>
      </c>
      <c r="V938" s="1" t="str">
        <f>""</f>
        <v/>
      </c>
      <c r="W938" s="1" t="str">
        <f>""</f>
        <v/>
      </c>
      <c r="X938" s="1" t="str">
        <f>""</f>
        <v/>
      </c>
      <c r="Y938" s="1" t="str">
        <f>"1"</f>
        <v>1</v>
      </c>
      <c r="Z938" t="str">
        <f>""</f>
        <v/>
      </c>
      <c r="AA938" t="str">
        <f>"9829235754"</f>
        <v>9829235754</v>
      </c>
      <c r="AB938" t="str">
        <f>"9829235754"</f>
        <v>9829235754</v>
      </c>
      <c r="AC938" t="str">
        <f>"9199598018"</f>
        <v>9199598018</v>
      </c>
      <c r="AD938" t="str">
        <f>"9829235754"</f>
        <v>9829235754</v>
      </c>
      <c r="AE938" t="str">
        <f>""</f>
        <v/>
      </c>
    </row>
    <row r="939" spans="1:31" x14ac:dyDescent="0.45">
      <c r="A939" t="str">
        <f>"ШИХОВ АНДРЕЙ ВЛАДИМИРОВИЧ"</f>
        <v>ШИХОВ АНДРЕЙ ВЛАДИМИРОВИЧ</v>
      </c>
      <c r="B939" t="str">
        <f>"1974-05-29"</f>
        <v>1974-05-29</v>
      </c>
      <c r="C939" t="str">
        <f>"67 98 116932"</f>
        <v>67 98 116932</v>
      </c>
      <c r="D939" t="str">
        <f>"4854630381170433"</f>
        <v>4854630381170433</v>
      </c>
      <c r="E939" t="str">
        <f>"2021-04-30"</f>
        <v>2021-04-30</v>
      </c>
      <c r="F939" t="str">
        <f t="shared" si="150"/>
        <v>+</v>
      </c>
      <c r="G939" t="str">
        <f t="shared" si="150"/>
        <v>+</v>
      </c>
      <c r="H939" t="str">
        <f>"40817810916992552383"</f>
        <v>40817810916992552383</v>
      </c>
      <c r="I939" t="str">
        <f>"1791"</f>
        <v>1791</v>
      </c>
      <c r="J939" t="str">
        <f>"0100"</f>
        <v>0100</v>
      </c>
      <c r="K939" t="str">
        <f>"25000.00"</f>
        <v>25000.00</v>
      </c>
      <c r="L939" t="str">
        <f>"628181 ОБЛ ТЮМЕНСКАЯ АО ХМАО Г НЯГАНЬ   УЛ РЕЧНАЯ д. 177 кв. 8"</f>
        <v>628181 ОБЛ ТЮМЕНСКАЯ АО ХМАО Г НЯГАНЬ   УЛ РЕЧНАЯ д. 177 кв. 8</v>
      </c>
      <c r="M939" t="str">
        <f t="shared" si="147"/>
        <v>2019-08-24</v>
      </c>
      <c r="N939" t="str">
        <f>"ООО ИНТЕГРА СЕРВИСЫ"</f>
        <v>ООО ИНТЕГРА СЕРВИСЫ</v>
      </c>
      <c r="O939" t="str">
        <f>"628181"</f>
        <v>628181</v>
      </c>
      <c r="P939" t="str">
        <f>"ОБЛ ТЮМЕНСКАЯ"</f>
        <v>ОБЛ ТЮМЕНСКАЯ</v>
      </c>
      <c r="Q939" t="str">
        <f>"АО ХМАО"</f>
        <v>АО ХМАО</v>
      </c>
      <c r="R939" t="str">
        <f>"Г НЯГАНЬ"</f>
        <v>Г НЯГАНЬ</v>
      </c>
      <c r="S939" t="str">
        <f>""</f>
        <v/>
      </c>
      <c r="T939" t="str">
        <f>"УЛ РЕЧНАЯ"</f>
        <v>УЛ РЕЧНАЯ</v>
      </c>
      <c r="U939" s="1" t="str">
        <f>"177"</f>
        <v>177</v>
      </c>
      <c r="V939" s="1" t="str">
        <f>""</f>
        <v/>
      </c>
      <c r="W939" s="1" t="str">
        <f>""</f>
        <v/>
      </c>
      <c r="X939" s="1" t="str">
        <f>""</f>
        <v/>
      </c>
      <c r="Y939" s="1" t="str">
        <f>"8"</f>
        <v>8</v>
      </c>
      <c r="Z939" t="str">
        <f>"9088871905"</f>
        <v>9088871905</v>
      </c>
      <c r="AA939" t="str">
        <f>"9088864479"</f>
        <v>9088864479</v>
      </c>
      <c r="AB939" t="str">
        <f>"9088871905"</f>
        <v>9088871905</v>
      </c>
      <c r="AC939" t="str">
        <f>"9088864479"</f>
        <v>9088864479</v>
      </c>
      <c r="AD939" t="str">
        <f>"9088871905"</f>
        <v>9088871905</v>
      </c>
      <c r="AE939" t="str">
        <f>"9088871905"</f>
        <v>9088871905</v>
      </c>
    </row>
    <row r="940" spans="1:31" x14ac:dyDescent="0.45">
      <c r="A940" t="str">
        <f>"ИСАЕВ ШИХАХМЕД НУРМАГОМЕДОВИЧ"</f>
        <v>ИСАЕВ ШИХАХМЕД НУРМАГОМЕДОВИЧ</v>
      </c>
      <c r="B940" t="str">
        <f>"1990-11-18"</f>
        <v>1990-11-18</v>
      </c>
      <c r="C940" t="str">
        <f>"82 11 085080"</f>
        <v>82 11 085080</v>
      </c>
      <c r="D940" t="str">
        <f>"4276016706666018"</f>
        <v>4276016706666018</v>
      </c>
      <c r="E940" t="str">
        <f>"2021-08-31"</f>
        <v>2021-08-31</v>
      </c>
      <c r="F940" t="str">
        <f>"Y"</f>
        <v>Y</v>
      </c>
      <c r="G940" t="str">
        <f t="shared" si="150"/>
        <v>+</v>
      </c>
      <c r="H940" t="str">
        <f>"40817810216992552368"</f>
        <v>40817810216992552368</v>
      </c>
      <c r="I940" t="str">
        <f>"5940"</f>
        <v>5940</v>
      </c>
      <c r="J940" t="str">
        <f>"0114"</f>
        <v>0114</v>
      </c>
      <c r="K940" t="str">
        <f>"10000.00"</f>
        <v>10000.00</v>
      </c>
      <c r="L940" t="str">
        <f>"628600 ОБЛ ТЮМЕНСКАЯ   Г НИЖНЕВАРТОВСК   УЛ ЛЕНИНА д. 4"</f>
        <v>628600 ОБЛ ТЮМЕНСКАЯ   Г НИЖНЕВАРТОВСК   УЛ ЛЕНИНА д. 4</v>
      </c>
      <c r="M940" t="str">
        <f t="shared" si="147"/>
        <v>2019-08-24</v>
      </c>
      <c r="N940" t="str">
        <f>"АО САМОТЛОРНЕФТЕГАЗ"</f>
        <v>АО САМОТЛОРНЕФТЕГАЗ</v>
      </c>
      <c r="O940" t="str">
        <f>"628600"</f>
        <v>628600</v>
      </c>
      <c r="P940" t="str">
        <f>"ОБЛ ТЮМЕНСКАЯ"</f>
        <v>ОБЛ ТЮМЕНСКАЯ</v>
      </c>
      <c r="Q940" t="str">
        <f>""</f>
        <v/>
      </c>
      <c r="R940" t="str">
        <f>"Г НИЖНЕВАРТОВСК"</f>
        <v>Г НИЖНЕВАРТОВСК</v>
      </c>
      <c r="S940" t="str">
        <f>""</f>
        <v/>
      </c>
      <c r="T940" t="str">
        <f>"УЛ МИРА"</f>
        <v>УЛ МИРА</v>
      </c>
      <c r="U940" s="1" t="str">
        <f>"36А"</f>
        <v>36А</v>
      </c>
      <c r="V940" s="1" t="str">
        <f>""</f>
        <v/>
      </c>
      <c r="W940" s="1" t="str">
        <f>""</f>
        <v/>
      </c>
      <c r="X940" s="1" t="str">
        <f>""</f>
        <v/>
      </c>
      <c r="Y940" s="1" t="str">
        <f>"53"</f>
        <v>53</v>
      </c>
      <c r="Z940" t="str">
        <f>"3466655122"</f>
        <v>3466655122</v>
      </c>
      <c r="AA940" t="str">
        <f>"9898933309"</f>
        <v>9898933309</v>
      </c>
      <c r="AB940" t="str">
        <f>"9120935383"</f>
        <v>9120935383</v>
      </c>
      <c r="AC940" t="str">
        <f>"9898933309"</f>
        <v>9898933309</v>
      </c>
      <c r="AD940" t="str">
        <f>"9120935383"</f>
        <v>9120935383</v>
      </c>
      <c r="AE940" t="str">
        <f>"3466655122"</f>
        <v>3466655122</v>
      </c>
    </row>
    <row r="941" spans="1:31" x14ac:dyDescent="0.45">
      <c r="A941" t="str">
        <f>"ГИЗАТУЛИН МАРАТ ВАКИЛЬЕВИЧ"</f>
        <v>ГИЗАТУЛИН МАРАТ ВАКИЛЬЕВИЧ</v>
      </c>
      <c r="B941" t="str">
        <f>"1993-03-17"</f>
        <v>1993-03-17</v>
      </c>
      <c r="C941" t="str">
        <f>"67 12 283420"</f>
        <v>67 12 283420</v>
      </c>
      <c r="D941" t="str">
        <f>"5484016704791615"</f>
        <v>5484016704791615</v>
      </c>
      <c r="E941" t="str">
        <f>"2021-05-31"</f>
        <v>2021-05-31</v>
      </c>
      <c r="F941" t="str">
        <f>"K"</f>
        <v>K</v>
      </c>
      <c r="G941" t="str">
        <f t="shared" si="150"/>
        <v>+</v>
      </c>
      <c r="H941" t="str">
        <f>"40817810916992552354"</f>
        <v>40817810916992552354</v>
      </c>
      <c r="I941" t="str">
        <f>"5940"</f>
        <v>5940</v>
      </c>
      <c r="J941" t="str">
        <f>"7772"</f>
        <v>7772</v>
      </c>
      <c r="K941" t="str">
        <f>"310000.00"</f>
        <v>310000.00</v>
      </c>
      <c r="L941" t="str">
        <f>"628600 ОБЛ ТЮМЕНСКАЯ АО ХМАО Г НИЖНЕВАРТОВСК   УЛ ИНДУСТРИАЛЬНАЯ д. 66А"</f>
        <v>628600 ОБЛ ТЮМЕНСКАЯ АО ХМАО Г НИЖНЕВАРТОВСК   УЛ ИНДУСТРИАЛЬНАЯ д. 66А</v>
      </c>
      <c r="M941" t="str">
        <f t="shared" si="147"/>
        <v>2019-08-24</v>
      </c>
      <c r="N941" t="str">
        <f>"КАТОБЬНЕФТЬ"</f>
        <v>КАТОБЬНЕФТЬ</v>
      </c>
      <c r="O941" t="str">
        <f>"628600"</f>
        <v>628600</v>
      </c>
      <c r="P941" t="str">
        <f>"ОБЛ ТЮМЕНСКАЯ"</f>
        <v>ОБЛ ТЮМЕНСКАЯ</v>
      </c>
      <c r="Q941" t="str">
        <f>"АО ХМАО"</f>
        <v>АО ХМАО</v>
      </c>
      <c r="R941" t="str">
        <f>"Г НИЖНЕВАРТОВСК"</f>
        <v>Г НИЖНЕВАРТОВСК</v>
      </c>
      <c r="S941" t="str">
        <f>""</f>
        <v/>
      </c>
      <c r="T941" t="str">
        <f>"УЛ ПЕР. УГЛОВОЙ"</f>
        <v>УЛ ПЕР. УГЛОВОЙ</v>
      </c>
      <c r="U941" s="1" t="str">
        <f>"27"</f>
        <v>27</v>
      </c>
      <c r="V941" s="1" t="str">
        <f>""</f>
        <v/>
      </c>
      <c r="W941" s="1" t="str">
        <f>""</f>
        <v/>
      </c>
      <c r="X941" s="1" t="str">
        <f>""</f>
        <v/>
      </c>
      <c r="Y941" s="1" t="str">
        <f>""</f>
        <v/>
      </c>
      <c r="Z941" t="str">
        <f>"3466311166"</f>
        <v>3466311166</v>
      </c>
      <c r="AA941" t="str">
        <f>"9825477779"</f>
        <v>9825477779</v>
      </c>
      <c r="AB941" t="str">
        <f>"9825477779"</f>
        <v>9825477779</v>
      </c>
      <c r="AC941" t="str">
        <f>"9825477779"</f>
        <v>9825477779</v>
      </c>
      <c r="AD941" t="str">
        <f>"9825477779"</f>
        <v>9825477779</v>
      </c>
      <c r="AE941" t="str">
        <f>"3466311166"</f>
        <v>3466311166</v>
      </c>
    </row>
    <row r="942" spans="1:31" x14ac:dyDescent="0.45">
      <c r="A942" t="str">
        <f>"РОБКАНОВА МАРГАРИТА ВЛАДИМИРОВНА"</f>
        <v>РОБКАНОВА МАРГАРИТА ВЛАДИМИРОВНА</v>
      </c>
      <c r="B942" t="str">
        <f>"1987-12-23"</f>
        <v>1987-12-23</v>
      </c>
      <c r="C942" t="str">
        <f>"71 14 129086"</f>
        <v>71 14 129086</v>
      </c>
      <c r="D942" t="str">
        <f>"4854630213052650"</f>
        <v>4854630213052650</v>
      </c>
      <c r="E942" t="str">
        <f>"2021-04-30"</f>
        <v>2021-04-30</v>
      </c>
      <c r="F942" t="str">
        <f>"+"</f>
        <v>+</v>
      </c>
      <c r="G942" t="str">
        <f t="shared" si="150"/>
        <v>+</v>
      </c>
      <c r="H942" t="str">
        <f>"40817810816992201815"</f>
        <v>40817810816992201815</v>
      </c>
      <c r="I942" t="str">
        <f>"8647"</f>
        <v>8647</v>
      </c>
      <c r="J942" t="str">
        <f>"0170"</f>
        <v>0170</v>
      </c>
      <c r="K942" t="str">
        <f>"50000.00"</f>
        <v>50000.00</v>
      </c>
      <c r="L942" t="str">
        <f>"625000 ОБЛ ТЮМЕНСКАЯ   Г ТЮМЕНЬ   УЛ ВЕТЕРАНОВ ТРУДА д. 47 стр. 1"</f>
        <v>625000 ОБЛ ТЮМЕНСКАЯ   Г ТЮМЕНЬ   УЛ ВЕТЕРАНОВ ТРУДА д. 47 стр. 1</v>
      </c>
      <c r="M942" t="str">
        <f t="shared" si="147"/>
        <v>2019-08-24</v>
      </c>
      <c r="N942" t="s">
        <v>67</v>
      </c>
      <c r="O942" t="str">
        <f>"625000"</f>
        <v>625000</v>
      </c>
      <c r="P942" t="str">
        <f>"ОБЛ ТЮМЕНСКАЯ"</f>
        <v>ОБЛ ТЮМЕНСКАЯ</v>
      </c>
      <c r="Q942" t="str">
        <f>""</f>
        <v/>
      </c>
      <c r="R942" t="str">
        <f>"Г ТЮМЕНЬ"</f>
        <v>Г ТЮМЕНЬ</v>
      </c>
      <c r="S942" t="str">
        <f>""</f>
        <v/>
      </c>
      <c r="T942" t="str">
        <f>"УЛ 50 ЛЕТ ВЛКСМ"</f>
        <v>УЛ 50 ЛЕТ ВЛКСМ</v>
      </c>
      <c r="U942" s="1" t="str">
        <f>"91А"</f>
        <v>91А</v>
      </c>
      <c r="V942" s="1" t="str">
        <f>""</f>
        <v/>
      </c>
      <c r="W942" s="1" t="str">
        <f>""</f>
        <v/>
      </c>
      <c r="X942" s="1" t="str">
        <f>""</f>
        <v/>
      </c>
      <c r="Y942" s="1" t="str">
        <f>"428"</f>
        <v>428</v>
      </c>
      <c r="Z942" t="str">
        <f>"3452483203"</f>
        <v>3452483203</v>
      </c>
      <c r="AA942" t="str">
        <f>"9199402128"</f>
        <v>9199402128</v>
      </c>
      <c r="AB942" t="str">
        <f>"9199402128"</f>
        <v>9199402128</v>
      </c>
      <c r="AC942" t="str">
        <f>"9129995975"</f>
        <v>9129995975</v>
      </c>
      <c r="AD942" t="str">
        <f>"9199402128"</f>
        <v>9199402128</v>
      </c>
      <c r="AE942" t="str">
        <f>""</f>
        <v/>
      </c>
    </row>
    <row r="943" spans="1:31" x14ac:dyDescent="0.45">
      <c r="A943" t="str">
        <f>"ШЕШУКОВ АЛЕКСАНДР ВИКТОРОВИЧ"</f>
        <v>ШЕШУКОВ АЛЕКСАНДР ВИКТОРОВИЧ</v>
      </c>
      <c r="B943" t="str">
        <f>"1983-06-27"</f>
        <v>1983-06-27</v>
      </c>
      <c r="C943" t="str">
        <f>"65 04 929442"</f>
        <v>65 04 929442</v>
      </c>
      <c r="D943" t="str">
        <f>"4279011691971686"</f>
        <v>4279011691971686</v>
      </c>
      <c r="E943" t="str">
        <f t="shared" ref="E943:E958" si="151">"2021-05-31"</f>
        <v>2021-05-31</v>
      </c>
      <c r="F943" t="str">
        <f>"K"</f>
        <v>K</v>
      </c>
      <c r="G943" t="str">
        <f t="shared" si="150"/>
        <v>+</v>
      </c>
      <c r="H943" t="str">
        <f>"40817810316991425105"</f>
        <v>40817810316991425105</v>
      </c>
      <c r="I943" t="str">
        <f>"7003"</f>
        <v>7003</v>
      </c>
      <c r="J943" t="str">
        <f>"7777"</f>
        <v>7777</v>
      </c>
      <c r="K943" t="str">
        <f>"12000.00"</f>
        <v>12000.00</v>
      </c>
      <c r="L943" t="str">
        <f>"620000 ОБЛ СВЕРДЛОВСКАЯ Р-Н ТУГУЛЫМСКИЙ   П ТУГУЛЫМ УЛ ФЕДЮНИНСКОГО д. 1"</f>
        <v>620000 ОБЛ СВЕРДЛОВСКАЯ Р-Н ТУГУЛЫМСКИЙ   П ТУГУЛЫМ УЛ ФЕДЮНИНСКОГО д. 1</v>
      </c>
      <c r="M943" t="str">
        <f t="shared" si="147"/>
        <v>2019-08-24</v>
      </c>
      <c r="N943" t="str">
        <f>"ОПС №13"</f>
        <v>ОПС №13</v>
      </c>
      <c r="O943" t="str">
        <f>"620000"</f>
        <v>620000</v>
      </c>
      <c r="P943" t="str">
        <f>"ОБЛ СВЕРДЛОВСКАЯ"</f>
        <v>ОБЛ СВЕРДЛОВСКАЯ</v>
      </c>
      <c r="Q943" t="str">
        <f>"Р-Н ТУГУЛЫМСКИЙ"</f>
        <v>Р-Н ТУГУЛЫМСКИЙ</v>
      </c>
      <c r="R943" t="str">
        <f>""</f>
        <v/>
      </c>
      <c r="S943" t="str">
        <f>"П ЮШАЛА"</f>
        <v>П ЮШАЛА</v>
      </c>
      <c r="T943" t="str">
        <f>"УЛ САДОВАЯ"</f>
        <v>УЛ САДОВАЯ</v>
      </c>
      <c r="U943" s="1" t="str">
        <f>"5"</f>
        <v>5</v>
      </c>
      <c r="V943" s="1" t="str">
        <f>""</f>
        <v/>
      </c>
      <c r="W943" s="1" t="str">
        <f>""</f>
        <v/>
      </c>
      <c r="X943" s="1" t="str">
        <f>""</f>
        <v/>
      </c>
      <c r="Y943" s="1" t="str">
        <f>"1"</f>
        <v>1</v>
      </c>
      <c r="Z943" t="str">
        <f>"3436721446"</f>
        <v>3436721446</v>
      </c>
      <c r="AA943" t="str">
        <f>"9221024379"</f>
        <v>9221024379</v>
      </c>
      <c r="AB943" t="str">
        <f>"9221024379"</f>
        <v>9221024379</v>
      </c>
      <c r="AC943" t="str">
        <f>"9221024379"</f>
        <v>9221024379</v>
      </c>
      <c r="AD943" t="str">
        <f>"9221024379"</f>
        <v>9221024379</v>
      </c>
      <c r="AE943" t="str">
        <f>"3436721446"</f>
        <v>3436721446</v>
      </c>
    </row>
    <row r="944" spans="1:31" x14ac:dyDescent="0.45">
      <c r="A944" t="str">
        <f>"ГОРБАНЁВ СЕРГЕЙ АНДРЕЕВИЧ"</f>
        <v>ГОРБАНЁВ СЕРГЕЙ АНДРЕЕВИЧ</v>
      </c>
      <c r="B944" t="str">
        <f>"1989-02-03"</f>
        <v>1989-02-03</v>
      </c>
      <c r="C944" t="str">
        <f>"65 11 044204"</f>
        <v>65 11 044204</v>
      </c>
      <c r="D944" t="str">
        <f>"4279011638860299"</f>
        <v>4279011638860299</v>
      </c>
      <c r="E944" t="str">
        <f t="shared" si="151"/>
        <v>2021-05-31</v>
      </c>
      <c r="F944" t="str">
        <f>"+"</f>
        <v>+</v>
      </c>
      <c r="G944" t="str">
        <f t="shared" si="150"/>
        <v>+</v>
      </c>
      <c r="H944" t="str">
        <f>"40817810616991425106"</f>
        <v>40817810616991425106</v>
      </c>
      <c r="I944" t="str">
        <f>"7003"</f>
        <v>7003</v>
      </c>
      <c r="J944" t="str">
        <f>"7770"</f>
        <v>7770</v>
      </c>
      <c r="K944" t="str">
        <f>"390000.00"</f>
        <v>390000.00</v>
      </c>
      <c r="L944" t="str">
        <f>"620000 ОБЛ СВЕРДЛОВСКАЯ   Г ЕКАТЕРИНБУРГ   УЛ БЕЛИНСКОГО д. 39"</f>
        <v>620000 ОБЛ СВЕРДЛОВСКАЯ   Г ЕКАТЕРИНБУРГ   УЛ БЕЛИНСКОГО д. 39</v>
      </c>
      <c r="M944" t="str">
        <f t="shared" si="147"/>
        <v>2019-08-24</v>
      </c>
      <c r="N944" t="str">
        <f>"ООО ЦЕНТР РОДРЯДОВ АСК"</f>
        <v>ООО ЦЕНТР РОДРЯДОВ АСК</v>
      </c>
      <c r="O944" t="str">
        <f>"620007"</f>
        <v>620007</v>
      </c>
      <c r="P944" t="str">
        <f>"ОБЛ СВЕРДЛОВСКАЯ"</f>
        <v>ОБЛ СВЕРДЛОВСКАЯ</v>
      </c>
      <c r="Q944" t="str">
        <f>""</f>
        <v/>
      </c>
      <c r="R944" t="str">
        <f>"Г ЕКАТЕРИНБУРГ"</f>
        <v>Г ЕКАТЕРИНБУРГ</v>
      </c>
      <c r="S944" t="str">
        <f>""</f>
        <v/>
      </c>
      <c r="T944" t="str">
        <f>"УЛ ЛАТВИЙСКАЯ"</f>
        <v>УЛ ЛАТВИЙСКАЯ</v>
      </c>
      <c r="U944" s="1" t="str">
        <f>"37"</f>
        <v>37</v>
      </c>
      <c r="V944" s="1" t="str">
        <f>""</f>
        <v/>
      </c>
      <c r="W944" s="1" t="str">
        <f>""</f>
        <v/>
      </c>
      <c r="X944" s="1" t="str">
        <f>""</f>
        <v/>
      </c>
      <c r="Y944" s="1" t="str">
        <f>"205"</f>
        <v>205</v>
      </c>
      <c r="Z944" t="str">
        <f>"3432669337"</f>
        <v>3432669337</v>
      </c>
      <c r="AA944" t="str">
        <f>"9122758841"</f>
        <v>9122758841</v>
      </c>
      <c r="AB944" t="str">
        <f>"9122758841"</f>
        <v>9122758841</v>
      </c>
      <c r="AC944" t="str">
        <f>"9122758841"</f>
        <v>9122758841</v>
      </c>
      <c r="AD944" t="str">
        <f>"9122758841"</f>
        <v>9122758841</v>
      </c>
      <c r="AE944" t="str">
        <f>"3432669337"</f>
        <v>3432669337</v>
      </c>
    </row>
    <row r="945" spans="1:31" x14ac:dyDescent="0.45">
      <c r="A945" t="str">
        <f>"КОЛЕСНИКОВА ТАТЬЯНА ВЛАДИМИРОВНА"</f>
        <v>КОЛЕСНИКОВА ТАТЬЯНА ВЛАДИМИРОВНА</v>
      </c>
      <c r="B945" t="str">
        <f>"1981-08-14"</f>
        <v>1981-08-14</v>
      </c>
      <c r="C945" t="str">
        <f>"80 05 208334"</f>
        <v>80 05 208334</v>
      </c>
      <c r="D945" t="str">
        <f>"5484011604869256"</f>
        <v>5484011604869256</v>
      </c>
      <c r="E945" t="str">
        <f t="shared" si="151"/>
        <v>2021-05-31</v>
      </c>
      <c r="F945" t="str">
        <f>"+"</f>
        <v>+</v>
      </c>
      <c r="G945" t="str">
        <f t="shared" si="150"/>
        <v>+</v>
      </c>
      <c r="H945" t="str">
        <f>"40817810916991425107"</f>
        <v>40817810916991425107</v>
      </c>
      <c r="I945" t="str">
        <f>"8598"</f>
        <v>8598</v>
      </c>
      <c r="J945" t="str">
        <f>"0724"</f>
        <v>0724</v>
      </c>
      <c r="K945" t="str">
        <f>"15000.00"</f>
        <v>15000.00</v>
      </c>
      <c r="L945" t="str">
        <f>"453832 РЕСП БАШКОРТОСТАН   Г СИБАЙ   УЛ ЭЛЕВАТОРНАЯ д. 1"</f>
        <v>453832 РЕСП БАШКОРТОСТАН   Г СИБАЙ   УЛ ЭЛЕВАТОРНАЯ д. 1</v>
      </c>
      <c r="M945" t="str">
        <f t="shared" si="147"/>
        <v>2019-08-24</v>
      </c>
      <c r="N945" t="str">
        <f>"ООО ЭЛЕВАТОР"</f>
        <v>ООО ЭЛЕВАТОР</v>
      </c>
      <c r="O945" t="str">
        <f>"453833"</f>
        <v>453833</v>
      </c>
      <c r="P945" t="str">
        <f>"РЕСП БАШКОРТОСТАН"</f>
        <v>РЕСП БАШКОРТОСТАН</v>
      </c>
      <c r="Q945" t="str">
        <f>""</f>
        <v/>
      </c>
      <c r="R945" t="str">
        <f>"Г СИБАЙ"</f>
        <v>Г СИБАЙ</v>
      </c>
      <c r="S945" t="str">
        <f>""</f>
        <v/>
      </c>
      <c r="T945" t="str">
        <f>"ПР-КТ ГОРНЯКОВ"</f>
        <v>ПР-КТ ГОРНЯКОВ</v>
      </c>
      <c r="U945" s="1" t="str">
        <f>"38"</f>
        <v>38</v>
      </c>
      <c r="V945" s="1" t="str">
        <f>""</f>
        <v/>
      </c>
      <c r="W945" s="1" t="str">
        <f>""</f>
        <v/>
      </c>
      <c r="X945" s="1" t="str">
        <f>""</f>
        <v/>
      </c>
      <c r="Y945" s="1" t="str">
        <f>"39"</f>
        <v>39</v>
      </c>
      <c r="Z945" t="str">
        <f>"3477553362"</f>
        <v>3477553362</v>
      </c>
      <c r="AA945" t="str">
        <f>"9272316068"</f>
        <v>9272316068</v>
      </c>
      <c r="AB945" t="str">
        <f>"9272316068"</f>
        <v>9272316068</v>
      </c>
      <c r="AC945" t="str">
        <f>"9272316068"</f>
        <v>9272316068</v>
      </c>
      <c r="AD945" t="str">
        <f>"9272316068"</f>
        <v>9272316068</v>
      </c>
      <c r="AE945" t="str">
        <f>"3477553362"</f>
        <v>3477553362</v>
      </c>
    </row>
    <row r="946" spans="1:31" x14ac:dyDescent="0.45">
      <c r="A946" t="str">
        <f>"ДМИТРИЕВА ОЛЬГА ВИКТОРОВНА"</f>
        <v>ДМИТРИЕВА ОЛЬГА ВИКТОРОВНА</v>
      </c>
      <c r="B946" t="str">
        <f>"1985-08-13"</f>
        <v>1985-08-13</v>
      </c>
      <c r="C946" t="str">
        <f>"80 13 925670"</f>
        <v>80 13 925670</v>
      </c>
      <c r="D946" t="str">
        <f>"4279011651566377"</f>
        <v>4279011651566377</v>
      </c>
      <c r="E946" t="str">
        <f t="shared" si="151"/>
        <v>2021-05-31</v>
      </c>
      <c r="F946" t="str">
        <f>"Q"</f>
        <v>Q</v>
      </c>
      <c r="G946" t="str">
        <f>"Q"</f>
        <v>Q</v>
      </c>
      <c r="H946" t="str">
        <f>"40817810816991425113"</f>
        <v>40817810816991425113</v>
      </c>
      <c r="I946" t="str">
        <f>"8598"</f>
        <v>8598</v>
      </c>
      <c r="J946" t="str">
        <f>"0481"</f>
        <v>0481</v>
      </c>
      <c r="K946" t="str">
        <f>"0.00"</f>
        <v>0.00</v>
      </c>
      <c r="L946" t="str">
        <f>"450000 РЕСП БАШКОРТОСТАН Р-Н БИЖБУЛЯКСКИЙ   С БИЖБУЛЯК УЛ СОВЕТСКАЯ д. 25"</f>
        <v>450000 РЕСП БАШКОРТОСТАН Р-Н БИЖБУЛЯКСКИЙ   С БИЖБУЛЯК УЛ СОВЕТСКАЯ д. 25</v>
      </c>
      <c r="M946" t="str">
        <f t="shared" si="147"/>
        <v>2019-08-24</v>
      </c>
      <c r="N946" t="str">
        <f>"МАУ БИЖБУЛЯКСКИЙ ДК"</f>
        <v>МАУ БИЖБУЛЯКСКИЙ ДК</v>
      </c>
      <c r="O946" t="str">
        <f>"450000"</f>
        <v>450000</v>
      </c>
      <c r="P946" t="str">
        <f>"РЕСП БАШКОРТОСТАН"</f>
        <v>РЕСП БАШКОРТОСТАН</v>
      </c>
      <c r="Q946" t="str">
        <f>"Р-Н БИЖБУЛЯКСКИЙ"</f>
        <v>Р-Н БИЖБУЛЯКСКИЙ</v>
      </c>
      <c r="R946" t="str">
        <f>""</f>
        <v/>
      </c>
      <c r="S946" t="str">
        <f>"С БИЖБУЛЯК"</f>
        <v>С БИЖБУЛЯК</v>
      </c>
      <c r="T946" t="str">
        <f>"УЛ ЦЕНТРАЛЬНАЯ"</f>
        <v>УЛ ЦЕНТРАЛЬНАЯ</v>
      </c>
      <c r="U946" s="1" t="str">
        <f>"27Б"</f>
        <v>27Б</v>
      </c>
      <c r="V946" s="1" t="str">
        <f>""</f>
        <v/>
      </c>
      <c r="W946" s="1" t="str">
        <f>""</f>
        <v/>
      </c>
      <c r="X946" s="1" t="str">
        <f>""</f>
        <v/>
      </c>
      <c r="Y946" s="1" t="str">
        <f>"6"</f>
        <v>6</v>
      </c>
      <c r="Z946" t="str">
        <f>"9603880100"</f>
        <v>9603880100</v>
      </c>
      <c r="AA946" t="str">
        <f>"9603880100"</f>
        <v>9603880100</v>
      </c>
      <c r="AB946" t="str">
        <f>"9603880100"</f>
        <v>9603880100</v>
      </c>
      <c r="AC946" t="str">
        <f>"9603880100"</f>
        <v>9603880100</v>
      </c>
      <c r="AD946" t="str">
        <f>"9603880100"</f>
        <v>9603880100</v>
      </c>
      <c r="AE946" t="str">
        <f>"9603880100"</f>
        <v>9603880100</v>
      </c>
    </row>
    <row r="947" spans="1:31" x14ac:dyDescent="0.45">
      <c r="A947" t="str">
        <f>"ПРУДНИКОВ АЛЕКСЕЙ ВЛАДИМИРОВИЧ"</f>
        <v>ПРУДНИКОВ АЛЕКСЕЙ ВЛАДИМИРОВИЧ</v>
      </c>
      <c r="B947" t="str">
        <f>"1993-07-27"</f>
        <v>1993-07-27</v>
      </c>
      <c r="C947" t="str">
        <f>"65 13 577807"</f>
        <v>65 13 577807</v>
      </c>
      <c r="D947" t="str">
        <f>"4279011697816778"</f>
        <v>4279011697816778</v>
      </c>
      <c r="E947" t="str">
        <f t="shared" si="151"/>
        <v>2021-05-31</v>
      </c>
      <c r="F947" t="str">
        <f>"K"</f>
        <v>K</v>
      </c>
      <c r="G947" t="str">
        <f>"+"</f>
        <v>+</v>
      </c>
      <c r="H947" t="str">
        <f>"40817810416991425115"</f>
        <v>40817810416991425115</v>
      </c>
      <c r="I947" t="str">
        <f>"7003"</f>
        <v>7003</v>
      </c>
      <c r="J947" t="str">
        <f>"7777"</f>
        <v>7777</v>
      </c>
      <c r="K947" t="str">
        <f>"50000.00"</f>
        <v>50000.00</v>
      </c>
      <c r="L947" t="str">
        <f>"620000 ОБЛ СВЕРДЛОВСКАЯ   Г ТАВДА   УЛ ЛЕНИНА д. 83 стр. А"</f>
        <v>620000 ОБЛ СВЕРДЛОВСКАЯ   Г ТАВДА   УЛ ЛЕНИНА д. 83 стр. А</v>
      </c>
      <c r="M947" t="str">
        <f t="shared" si="147"/>
        <v>2019-08-24</v>
      </c>
      <c r="N947" t="str">
        <f>"МВД ТАВДИНСКИЙ"</f>
        <v>МВД ТАВДИНСКИЙ</v>
      </c>
      <c r="O947" t="str">
        <f>"620000"</f>
        <v>620000</v>
      </c>
      <c r="P947" t="str">
        <f>"ОБЛ СВЕРДЛОВСКАЯ"</f>
        <v>ОБЛ СВЕРДЛОВСКАЯ</v>
      </c>
      <c r="Q947" t="str">
        <f>""</f>
        <v/>
      </c>
      <c r="R947" t="str">
        <f>"Г ТАВДА"</f>
        <v>Г ТАВДА</v>
      </c>
      <c r="S947" t="str">
        <f>""</f>
        <v/>
      </c>
      <c r="T947" t="str">
        <f>"УЛ ГОГОЛЯ"</f>
        <v>УЛ ГОГОЛЯ</v>
      </c>
      <c r="U947" s="1" t="str">
        <f>"139"</f>
        <v>139</v>
      </c>
      <c r="V947" s="1" t="str">
        <f>""</f>
        <v/>
      </c>
      <c r="W947" s="1" t="str">
        <f>""</f>
        <v/>
      </c>
      <c r="X947" s="1" t="str">
        <f>""</f>
        <v/>
      </c>
      <c r="Y947" s="1" t="str">
        <f>""</f>
        <v/>
      </c>
      <c r="Z947" t="str">
        <f>"3436022950"</f>
        <v>3436022950</v>
      </c>
      <c r="AA947" t="str">
        <f>"9920059993"</f>
        <v>9920059993</v>
      </c>
      <c r="AB947" t="str">
        <f>"9920059993"</f>
        <v>9920059993</v>
      </c>
      <c r="AC947" t="str">
        <f>"9920059993"</f>
        <v>9920059993</v>
      </c>
      <c r="AD947" t="str">
        <f>"9920059993"</f>
        <v>9920059993</v>
      </c>
      <c r="AE947" t="str">
        <f>"3436022950"</f>
        <v>3436022950</v>
      </c>
    </row>
    <row r="948" spans="1:31" x14ac:dyDescent="0.45">
      <c r="A948" t="str">
        <f>"САЛАХОВА ДИАНА ИЛЬДАРОВНА"</f>
        <v>САЛАХОВА ДИАНА ИЛЬДАРОВНА</v>
      </c>
      <c r="B948" t="str">
        <f>"1993-11-30"</f>
        <v>1993-11-30</v>
      </c>
      <c r="C948" t="str">
        <f>"80 13 892020"</f>
        <v>80 13 892020</v>
      </c>
      <c r="D948" t="str">
        <f>"5469011610056848"</f>
        <v>5469011610056848</v>
      </c>
      <c r="E948" t="str">
        <f t="shared" si="151"/>
        <v>2021-05-31</v>
      </c>
      <c r="F948" t="str">
        <f>"+"</f>
        <v>+</v>
      </c>
      <c r="G948" t="str">
        <f>"+"</f>
        <v>+</v>
      </c>
      <c r="H948" t="str">
        <f>"40817810716991425116"</f>
        <v>40817810716991425116</v>
      </c>
      <c r="I948" t="str">
        <f>"8598"</f>
        <v>8598</v>
      </c>
      <c r="J948" t="str">
        <f>"0665"</f>
        <v>0665</v>
      </c>
      <c r="K948" t="str">
        <f>"40000.00"</f>
        <v>40000.00</v>
      </c>
      <c r="L948" t="str">
        <f>"450039 РЕСП БАШКОРТОСТАН   Г УФА   УЛ СЕЛЬСКАЯ БОГОРОДСКАЯ д. 29"</f>
        <v>450039 РЕСП БАШКОРТОСТАН   Г УФА   УЛ СЕЛЬСКАЯ БОГОРОДСКАЯ д. 29</v>
      </c>
      <c r="M948" t="str">
        <f t="shared" si="147"/>
        <v>2019-08-24</v>
      </c>
      <c r="N948" t="str">
        <f>"САЛЮТ-ТОРГ"</f>
        <v>САЛЮТ-ТОРГ</v>
      </c>
      <c r="O948" t="str">
        <f>"452724"</f>
        <v>452724</v>
      </c>
      <c r="P948" t="str">
        <f>"РЕСП БАШКОРТОСТАН"</f>
        <v>РЕСП БАШКОРТОСТАН</v>
      </c>
      <c r="Q948" t="str">
        <f>"Р-Н БУЗДЯКСКИЙ"</f>
        <v>Р-Н БУЗДЯКСКИЙ</v>
      </c>
      <c r="R948" t="str">
        <f>""</f>
        <v/>
      </c>
      <c r="S948" t="str">
        <f>"Д НОВОТАВЛАРОВО"</f>
        <v>Д НОВОТАВЛАРОВО</v>
      </c>
      <c r="T948" t="str">
        <f>"УЛ ОКТЯБРЬСКАЯ"</f>
        <v>УЛ ОКТЯБРЬСКАЯ</v>
      </c>
      <c r="U948" s="1" t="str">
        <f>"23"</f>
        <v>23</v>
      </c>
      <c r="V948" s="1" t="str">
        <f>""</f>
        <v/>
      </c>
      <c r="W948" s="1" t="str">
        <f>""</f>
        <v/>
      </c>
      <c r="X948" s="1" t="str">
        <f>""</f>
        <v/>
      </c>
      <c r="Y948" s="1" t="str">
        <f>""</f>
        <v/>
      </c>
      <c r="Z948" t="str">
        <f>""</f>
        <v/>
      </c>
      <c r="AA948" t="str">
        <f>""</f>
        <v/>
      </c>
      <c r="AB948" t="str">
        <f>"9178070911"</f>
        <v>9178070911</v>
      </c>
      <c r="AC948" t="str">
        <f>""</f>
        <v/>
      </c>
      <c r="AD948" t="str">
        <f>"9178070911"</f>
        <v>9178070911</v>
      </c>
      <c r="AE948" t="str">
        <f>""</f>
        <v/>
      </c>
    </row>
    <row r="949" spans="1:31" x14ac:dyDescent="0.45">
      <c r="A949" t="str">
        <f>"СМЫСЛОВ ИВАН СЕРГЕЕВИЧ"</f>
        <v>СМЫСЛОВ ИВАН СЕРГЕЕВИЧ</v>
      </c>
      <c r="B949" t="str">
        <f>"1984-09-21"</f>
        <v>1984-09-21</v>
      </c>
      <c r="C949" t="str">
        <f>"75 04 302057"</f>
        <v>75 04 302057</v>
      </c>
      <c r="D949" t="str">
        <f>"4276011690317561"</f>
        <v>4276011690317561</v>
      </c>
      <c r="E949" t="str">
        <f t="shared" si="151"/>
        <v>2021-05-31</v>
      </c>
      <c r="F949" t="str">
        <f>"+"</f>
        <v>+</v>
      </c>
      <c r="G949" t="str">
        <f>"+"</f>
        <v>+</v>
      </c>
      <c r="H949" t="str">
        <f>"40817810016991425117"</f>
        <v>40817810016991425117</v>
      </c>
      <c r="I949" t="str">
        <f>"8597"</f>
        <v>8597</v>
      </c>
      <c r="J949" t="str">
        <f>"0446"</f>
        <v>0446</v>
      </c>
      <c r="K949" t="str">
        <f>"50000.00"</f>
        <v>50000.00</v>
      </c>
      <c r="L949" t="str">
        <f>"456788 ОБЛ ЧЕЛЯБИНСКАЯ   Г ОЗЕРСК   УЛ КЫШТЫМСКАЯ д. 22"</f>
        <v>456788 ОБЛ ЧЕЛЯБИНСКАЯ   Г ОЗЕРСК   УЛ КЫШТЫМСКАЯ д. 22</v>
      </c>
      <c r="M949" t="str">
        <f t="shared" si="147"/>
        <v>2019-08-24</v>
      </c>
      <c r="N949" t="str">
        <f>"АТОМ-ОХРАНА"</f>
        <v>АТОМ-ОХРАНА</v>
      </c>
      <c r="O949" t="str">
        <f>"456790"</f>
        <v>456790</v>
      </c>
      <c r="P949" t="str">
        <f>"ОБЛ ЧЕЛЯБИНСКАЯ"</f>
        <v>ОБЛ ЧЕЛЯБИНСКАЯ</v>
      </c>
      <c r="Q949" t="str">
        <f>""</f>
        <v/>
      </c>
      <c r="R949" t="str">
        <f>"Г ОЗЕРСК"</f>
        <v>Г ОЗЕРСК</v>
      </c>
      <c r="S949" t="str">
        <f>""</f>
        <v/>
      </c>
      <c r="T949" t="str">
        <f>"УЛ СЕМЕНОВА"</f>
        <v>УЛ СЕМЕНОВА</v>
      </c>
      <c r="U949" s="1" t="str">
        <f>"23"</f>
        <v>23</v>
      </c>
      <c r="V949" s="1" t="str">
        <f>""</f>
        <v/>
      </c>
      <c r="W949" s="1" t="str">
        <f>""</f>
        <v/>
      </c>
      <c r="X949" s="1" t="str">
        <f>""</f>
        <v/>
      </c>
      <c r="Y949" s="1" t="str">
        <f>"65"</f>
        <v>65</v>
      </c>
      <c r="Z949" t="str">
        <f>"3513073715"</f>
        <v>3513073715</v>
      </c>
      <c r="AA949" t="str">
        <f>"3513049558"</f>
        <v>3513049558</v>
      </c>
      <c r="AB949" t="str">
        <f>"9292371584"</f>
        <v>9292371584</v>
      </c>
      <c r="AC949" t="str">
        <f>"3513049558"</f>
        <v>3513049558</v>
      </c>
      <c r="AD949" t="str">
        <f>"9292371584"</f>
        <v>9292371584</v>
      </c>
      <c r="AE949" t="str">
        <f>""</f>
        <v/>
      </c>
    </row>
    <row r="950" spans="1:31" x14ac:dyDescent="0.45">
      <c r="A950" t="str">
        <f>"КОМОЛКИНА ОЛЬГА ГЕОРГИЕВНА"</f>
        <v>КОМОЛКИНА ОЛЬГА ГЕОРГИЕВНА</v>
      </c>
      <c r="B950" t="str">
        <f>"1976-09-27"</f>
        <v>1976-09-27</v>
      </c>
      <c r="C950" t="str">
        <f>"75 01 120122"</f>
        <v>75 01 120122</v>
      </c>
      <c r="D950" t="str">
        <f>"4279011677539952"</f>
        <v>4279011677539952</v>
      </c>
      <c r="E950" t="str">
        <f t="shared" si="151"/>
        <v>2021-05-31</v>
      </c>
      <c r="F950" t="str">
        <f>"+"</f>
        <v>+</v>
      </c>
      <c r="G950" t="str">
        <f>"+"</f>
        <v>+</v>
      </c>
      <c r="H950" t="str">
        <f>"40817810316991425118"</f>
        <v>40817810316991425118</v>
      </c>
      <c r="I950" t="str">
        <f>"8597"</f>
        <v>8597</v>
      </c>
      <c r="J950" t="str">
        <f>"0533"</f>
        <v>0533</v>
      </c>
      <c r="K950" t="str">
        <f>"130000.00"</f>
        <v>130000.00</v>
      </c>
      <c r="L950" t="str">
        <f>"456320 ОБЛ ЧЕЛЯБИНСКАЯ   Г МИАСС   УЛ Б.ХМЕЛЬНИЦКОГО д. 74 кв. 1"</f>
        <v>456320 ОБЛ ЧЕЛЯБИНСКАЯ   Г МИАСС   УЛ Б.ХМЕЛЬНИЦКОГО д. 74 кв. 1</v>
      </c>
      <c r="M950" t="str">
        <f t="shared" si="147"/>
        <v>2019-08-24</v>
      </c>
      <c r="N950" t="s">
        <v>68</v>
      </c>
      <c r="O950" t="str">
        <f>"456320"</f>
        <v>456320</v>
      </c>
      <c r="P950" t="str">
        <f>"ОБЛ ЧЕЛЯБИНСКАЯ"</f>
        <v>ОБЛ ЧЕЛЯБИНСКАЯ</v>
      </c>
      <c r="Q950" t="str">
        <f>""</f>
        <v/>
      </c>
      <c r="R950" t="str">
        <f>"Г МИАСС"</f>
        <v>Г МИАСС</v>
      </c>
      <c r="S950" t="str">
        <f>""</f>
        <v/>
      </c>
      <c r="T950" t="str">
        <f>"УЛ Б.ХМЕЛЬНИЦКОГО"</f>
        <v>УЛ Б.ХМЕЛЬНИЦКОГО</v>
      </c>
      <c r="U950" s="1" t="str">
        <f>"74"</f>
        <v>74</v>
      </c>
      <c r="V950" s="1" t="str">
        <f>""</f>
        <v/>
      </c>
      <c r="W950" s="1" t="str">
        <f>""</f>
        <v/>
      </c>
      <c r="X950" s="1" t="str">
        <f>""</f>
        <v/>
      </c>
      <c r="Y950" s="1" t="str">
        <f>"1"</f>
        <v>1</v>
      </c>
      <c r="Z950" t="str">
        <f>""</f>
        <v/>
      </c>
      <c r="AA950" t="str">
        <f>"9191151233"</f>
        <v>9191151233</v>
      </c>
      <c r="AB950" t="str">
        <f>"9191151233"</f>
        <v>9191151233</v>
      </c>
      <c r="AC950" t="str">
        <f>"9191151233"</f>
        <v>9191151233</v>
      </c>
      <c r="AD950" t="str">
        <f>"9191151233"</f>
        <v>9191151233</v>
      </c>
      <c r="AE950" t="str">
        <f>""</f>
        <v/>
      </c>
    </row>
    <row r="951" spans="1:31" x14ac:dyDescent="0.45">
      <c r="A951" t="str">
        <f>"ТЕРЕХОВА НАДЕЖДА ИГОРЕВНА"</f>
        <v>ТЕРЕХОВА НАДЕЖДА ИГОРЕВНА</v>
      </c>
      <c r="B951" t="str">
        <f>"1955-03-17"</f>
        <v>1955-03-17</v>
      </c>
      <c r="C951" t="str">
        <f>"65 02 533733"</f>
        <v>65 02 533733</v>
      </c>
      <c r="D951" t="str">
        <f>"4279011662689853"</f>
        <v>4279011662689853</v>
      </c>
      <c r="E951" t="str">
        <f t="shared" si="151"/>
        <v>2021-05-31</v>
      </c>
      <c r="F951" t="str">
        <f>"Q"</f>
        <v>Q</v>
      </c>
      <c r="G951" t="str">
        <f>"Q"</f>
        <v>Q</v>
      </c>
      <c r="H951" t="str">
        <f>"40817810316991425121"</f>
        <v>40817810316991425121</v>
      </c>
      <c r="I951" t="str">
        <f>"7003"</f>
        <v>7003</v>
      </c>
      <c r="J951" t="str">
        <f>"7777"</f>
        <v>7777</v>
      </c>
      <c r="K951" t="str">
        <f>"0.00"</f>
        <v>0.00</v>
      </c>
      <c r="L951" t="str">
        <f>"623950 ОБЛ СВЕРДЛОВСКАЯ   Г ТАВДА   УЛ ЛЕНИНА д. 83 корп. А"</f>
        <v>623950 ОБЛ СВЕРДЛОВСКАЯ   Г ТАВДА   УЛ ЛЕНИНА д. 83 корп. А</v>
      </c>
      <c r="M951" t="str">
        <f t="shared" si="147"/>
        <v>2019-08-24</v>
      </c>
      <c r="N951" t="str">
        <f>"ТАВДИНСКИЙ МВД"</f>
        <v>ТАВДИНСКИЙ МВД</v>
      </c>
      <c r="O951" t="str">
        <f>"623850"</f>
        <v>623850</v>
      </c>
      <c r="P951" t="str">
        <f>"ОБЛ СВЕРДЛОВСКАЯ"</f>
        <v>ОБЛ СВЕРДЛОВСКАЯ</v>
      </c>
      <c r="Q951" t="str">
        <f>""</f>
        <v/>
      </c>
      <c r="R951" t="str">
        <f>"Г ТАВДА"</f>
        <v>Г ТАВДА</v>
      </c>
      <c r="S951" t="str">
        <f>""</f>
        <v/>
      </c>
      <c r="T951" t="str">
        <f>"УЛ 9 МАЯ"</f>
        <v>УЛ 9 МАЯ</v>
      </c>
      <c r="U951" s="1" t="str">
        <f>"6"</f>
        <v>6</v>
      </c>
      <c r="V951" s="1" t="str">
        <f>""</f>
        <v/>
      </c>
      <c r="W951" s="1" t="str">
        <f>""</f>
        <v/>
      </c>
      <c r="X951" s="1" t="str">
        <f>""</f>
        <v/>
      </c>
      <c r="Y951" s="1" t="str">
        <f>"32"</f>
        <v>32</v>
      </c>
      <c r="Z951" t="str">
        <f>"3436052278"</f>
        <v>3436052278</v>
      </c>
      <c r="AA951" t="str">
        <f>"9527399886"</f>
        <v>9527399886</v>
      </c>
      <c r="AB951" t="str">
        <f>"9527399886"</f>
        <v>9527399886</v>
      </c>
      <c r="AC951" t="str">
        <f>"9527399886"</f>
        <v>9527399886</v>
      </c>
      <c r="AD951" t="str">
        <f>"9527399886"</f>
        <v>9527399886</v>
      </c>
      <c r="AE951" t="str">
        <f>"3436052278"</f>
        <v>3436052278</v>
      </c>
    </row>
    <row r="952" spans="1:31" x14ac:dyDescent="0.45">
      <c r="A952" t="str">
        <f>"ЧУМАКОВ ВАДИМ ВИКТОРОВИЧ"</f>
        <v>ЧУМАКОВ ВАДИМ ВИКТОРОВИЧ</v>
      </c>
      <c r="B952" t="str">
        <f>"1982-03-25"</f>
        <v>1982-03-25</v>
      </c>
      <c r="C952" t="str">
        <f>"65 03 787789"</f>
        <v>65 03 787789</v>
      </c>
      <c r="D952" t="str">
        <f>"4279011667968245"</f>
        <v>4279011667968245</v>
      </c>
      <c r="E952" t="str">
        <f t="shared" si="151"/>
        <v>2021-05-31</v>
      </c>
      <c r="F952" t="str">
        <f t="shared" ref="F952:G957" si="152">"+"</f>
        <v>+</v>
      </c>
      <c r="G952" t="str">
        <f t="shared" si="152"/>
        <v>+</v>
      </c>
      <c r="H952" t="str">
        <f>"40817810916991425123"</f>
        <v>40817810916991425123</v>
      </c>
      <c r="I952" t="str">
        <f>"7003"</f>
        <v>7003</v>
      </c>
      <c r="J952" t="str">
        <f>"0501"</f>
        <v>0501</v>
      </c>
      <c r="K952" t="str">
        <f>"300000.00"</f>
        <v>300000.00</v>
      </c>
      <c r="L952" t="str">
        <f>"620017 ОБЛ СВЕРДЛОВСКАЯ   Г ЕКАТЕРИНБУРГ   УЛ СТАРЫХ БОЛЬШЕВИКОВ д. 2А офис 209"</f>
        <v>620017 ОБЛ СВЕРДЛОВСКАЯ   Г ЕКАТЕРИНБУРГ   УЛ СТАРЫХ БОЛЬШЕВИКОВ д. 2А офис 209</v>
      </c>
      <c r="M952" t="str">
        <f t="shared" si="147"/>
        <v>2019-08-24</v>
      </c>
      <c r="N952" t="str">
        <f>"16116359"</f>
        <v>16116359</v>
      </c>
      <c r="O952" t="str">
        <f>"620138"</f>
        <v>620138</v>
      </c>
      <c r="P952" t="str">
        <f>"ОБЛ СВЕРДЛОВСКАЯ"</f>
        <v>ОБЛ СВЕРДЛОВСКАЯ</v>
      </c>
      <c r="Q952" t="str">
        <f>""</f>
        <v/>
      </c>
      <c r="R952" t="str">
        <f>"Г ЕКАТЕРИНБУРГ"</f>
        <v>Г ЕКАТЕРИНБУРГ</v>
      </c>
      <c r="S952" t="str">
        <f>""</f>
        <v/>
      </c>
      <c r="T952" t="str">
        <f>"УЛ ХРУСТАЛЬНАЯ"</f>
        <v>УЛ ХРУСТАЛЬНАЯ</v>
      </c>
      <c r="U952" s="1" t="str">
        <f>"51"</f>
        <v>51</v>
      </c>
      <c r="V952" s="1" t="str">
        <f>""</f>
        <v/>
      </c>
      <c r="W952" s="1" t="str">
        <f>""</f>
        <v/>
      </c>
      <c r="X952" s="1" t="str">
        <f>""</f>
        <v/>
      </c>
      <c r="Y952" s="1" t="str">
        <f>"93"</f>
        <v>93</v>
      </c>
      <c r="Z952" t="str">
        <f>""</f>
        <v/>
      </c>
      <c r="AA952" t="str">
        <f>"9086327693"</f>
        <v>9086327693</v>
      </c>
      <c r="AB952" t="str">
        <f>"9086327693"</f>
        <v>9086327693</v>
      </c>
      <c r="AC952" t="str">
        <f>"9086327693"</f>
        <v>9086327693</v>
      </c>
      <c r="AD952" t="str">
        <f>"9086327693"</f>
        <v>9086327693</v>
      </c>
      <c r="AE952" t="str">
        <f>""</f>
        <v/>
      </c>
    </row>
    <row r="953" spans="1:31" x14ac:dyDescent="0.45">
      <c r="A953" t="str">
        <f>"ГАБИТОВА ЮЛИЯ АЛЕКСАНДРОВНА"</f>
        <v>ГАБИТОВА ЮЛИЯ АЛЕКСАНДРОВНА</v>
      </c>
      <c r="B953" t="str">
        <f>"1993-05-11"</f>
        <v>1993-05-11</v>
      </c>
      <c r="C953" t="str">
        <f>"80 15 260490"</f>
        <v>80 15 260490</v>
      </c>
      <c r="D953" t="str">
        <f>"4279011655190646"</f>
        <v>4279011655190646</v>
      </c>
      <c r="E953" t="str">
        <f t="shared" si="151"/>
        <v>2021-05-31</v>
      </c>
      <c r="F953" t="str">
        <f t="shared" si="152"/>
        <v>+</v>
      </c>
      <c r="G953" t="str">
        <f t="shared" si="152"/>
        <v>+</v>
      </c>
      <c r="H953" t="str">
        <f>"40817810216991425124"</f>
        <v>40817810216991425124</v>
      </c>
      <c r="I953" t="str">
        <f>"8598"</f>
        <v>8598</v>
      </c>
      <c r="J953" t="str">
        <f>"0172"</f>
        <v>0172</v>
      </c>
      <c r="K953" t="str">
        <f>"100000.00"</f>
        <v>100000.00</v>
      </c>
      <c r="L953" t="str">
        <f>"450095 РЕСП БАШКОРТОСТАН   Г УФА   УЛ ПРАВДЫ д. 19"</f>
        <v>450095 РЕСП БАШКОРТОСТАН   Г УФА   УЛ ПРАВДЫ д. 19</v>
      </c>
      <c r="M953" t="str">
        <f t="shared" si="147"/>
        <v>2019-08-24</v>
      </c>
      <c r="N953" t="str">
        <f>"ГБУЗ ГКБ №3"</f>
        <v>ГБУЗ ГКБ №3</v>
      </c>
      <c r="O953" t="str">
        <f>"453010"</f>
        <v>453010</v>
      </c>
      <c r="P953" t="str">
        <f>"РЕСП БАШКОРТОСТАН"</f>
        <v>РЕСП БАШКОРТОСТАН</v>
      </c>
      <c r="Q953" t="str">
        <f>"Р-Н КАРМАСКАЛИНСКИЙ"</f>
        <v>Р-Н КАРМАСКАЛИНСКИЙ</v>
      </c>
      <c r="R953" t="str">
        <f>""</f>
        <v/>
      </c>
      <c r="S953" t="str">
        <f>"Д УЛУКУЛЕВО"</f>
        <v>Д УЛУКУЛЕВО</v>
      </c>
      <c r="T953" t="str">
        <f>"УЛ СТРОИТЕЛЕЙ"</f>
        <v>УЛ СТРОИТЕЛЕЙ</v>
      </c>
      <c r="U953" s="1" t="str">
        <f>"27"</f>
        <v>27</v>
      </c>
      <c r="V953" s="1" t="str">
        <f>""</f>
        <v/>
      </c>
      <c r="W953" s="1" t="str">
        <f>""</f>
        <v/>
      </c>
      <c r="X953" s="1" t="str">
        <f>""</f>
        <v/>
      </c>
      <c r="Y953" s="1" t="str">
        <f>"24"</f>
        <v>24</v>
      </c>
      <c r="Z953" t="str">
        <f>""</f>
        <v/>
      </c>
      <c r="AA953" t="str">
        <f>"9173848962"</f>
        <v>9173848962</v>
      </c>
      <c r="AB953" t="str">
        <f>"9173848962"</f>
        <v>9173848962</v>
      </c>
      <c r="AC953" t="str">
        <f>"9173848962"</f>
        <v>9173848962</v>
      </c>
      <c r="AD953" t="str">
        <f>"9173848962"</f>
        <v>9173848962</v>
      </c>
      <c r="AE953" t="str">
        <f>""</f>
        <v/>
      </c>
    </row>
    <row r="954" spans="1:31" x14ac:dyDescent="0.45">
      <c r="A954" t="str">
        <f>"ТУХВАТУЛЛИНА АЛСУ РАШИТОВНА"</f>
        <v>ТУХВАТУЛЛИНА АЛСУ РАШИТОВНА</v>
      </c>
      <c r="B954" t="str">
        <f>"1986-09-20"</f>
        <v>1986-09-20</v>
      </c>
      <c r="C954" t="str">
        <f>"80 09 997220"</f>
        <v>80 09 997220</v>
      </c>
      <c r="D954" t="str">
        <f>"4279011656395541"</f>
        <v>4279011656395541</v>
      </c>
      <c r="E954" t="str">
        <f t="shared" si="151"/>
        <v>2021-05-31</v>
      </c>
      <c r="F954" t="str">
        <f t="shared" si="152"/>
        <v>+</v>
      </c>
      <c r="G954" t="str">
        <f t="shared" si="152"/>
        <v>+</v>
      </c>
      <c r="H954" t="str">
        <f>"40817810116991425127"</f>
        <v>40817810116991425127</v>
      </c>
      <c r="I954" t="str">
        <f>"8598"</f>
        <v>8598</v>
      </c>
      <c r="J954" t="str">
        <f>"0383"</f>
        <v>0383</v>
      </c>
      <c r="K954" t="str">
        <f>"100000.00"</f>
        <v>100000.00</v>
      </c>
      <c r="L954" t="str">
        <f>"450000 РЕСП БАШКОРТОСТАН   Г СТЕРЛИТАМАК   УЛ ВОКЗАЛЬНАЯ д. 1 корп. А"</f>
        <v>450000 РЕСП БАШКОРТОСТАН   Г СТЕРЛИТАМАК   УЛ ВОКЗАЛЬНАЯ д. 1 корп. А</v>
      </c>
      <c r="M954" t="str">
        <f t="shared" si="147"/>
        <v>2019-08-24</v>
      </c>
      <c r="N954" t="str">
        <f>"СТЕРЛИТАМАКСКИЙ ГОРОДСКОЙ СУД"</f>
        <v>СТЕРЛИТАМАКСКИЙ ГОРОДСКОЙ СУД</v>
      </c>
      <c r="O954" t="str">
        <f>"450000"</f>
        <v>450000</v>
      </c>
      <c r="P954" t="str">
        <f>"РЕСП БАШКОРТОСТАН"</f>
        <v>РЕСП БАШКОРТОСТАН</v>
      </c>
      <c r="Q954" t="str">
        <f>""</f>
        <v/>
      </c>
      <c r="R954" t="str">
        <f>"Г СТЕРЛИТАМАК"</f>
        <v>Г СТЕРЛИТАМАК</v>
      </c>
      <c r="S954" t="str">
        <f>""</f>
        <v/>
      </c>
      <c r="T954" t="str">
        <f>"УЛ ПАТРИОТИЧЕСКАЯ"</f>
        <v>УЛ ПАТРИОТИЧЕСКАЯ</v>
      </c>
      <c r="U954" s="1" t="str">
        <f>"108"</f>
        <v>108</v>
      </c>
      <c r="V954" s="1" t="str">
        <f>""</f>
        <v/>
      </c>
      <c r="W954" s="1" t="str">
        <f>""</f>
        <v/>
      </c>
      <c r="X954" s="1" t="str">
        <f>""</f>
        <v/>
      </c>
      <c r="Y954" s="1" t="str">
        <f>"43"</f>
        <v>43</v>
      </c>
      <c r="Z954" t="str">
        <f>"3473251729"</f>
        <v>3473251729</v>
      </c>
      <c r="AA954" t="str">
        <f>"9174443839"</f>
        <v>9174443839</v>
      </c>
      <c r="AB954" t="str">
        <f>"9191409293"</f>
        <v>9191409293</v>
      </c>
      <c r="AC954" t="str">
        <f>"9174443839"</f>
        <v>9174443839</v>
      </c>
      <c r="AD954" t="str">
        <f>"9191409293"</f>
        <v>9191409293</v>
      </c>
      <c r="AE954" t="str">
        <f>""</f>
        <v/>
      </c>
    </row>
    <row r="955" spans="1:31" x14ac:dyDescent="0.45">
      <c r="A955" t="str">
        <f>"САХАУТДИНОВА ЛЮДМИЛА НИКОЛАЕВНА"</f>
        <v>САХАУТДИНОВА ЛЮДМИЛА НИКОЛАЕВНА</v>
      </c>
      <c r="B955" t="str">
        <f>"1982-06-23"</f>
        <v>1982-06-23</v>
      </c>
      <c r="C955" t="str">
        <f>"65 12 419291"</f>
        <v>65 12 419291</v>
      </c>
      <c r="D955" t="str">
        <f>"4279011686590939"</f>
        <v>4279011686590939</v>
      </c>
      <c r="E955" t="str">
        <f t="shared" si="151"/>
        <v>2021-05-31</v>
      </c>
      <c r="F955" t="str">
        <f t="shared" si="152"/>
        <v>+</v>
      </c>
      <c r="G955" t="str">
        <f t="shared" si="152"/>
        <v>+</v>
      </c>
      <c r="H955" t="str">
        <f>"40817810416991425128"</f>
        <v>40817810416991425128</v>
      </c>
      <c r="I955" t="str">
        <f>"7003"</f>
        <v>7003</v>
      </c>
      <c r="J955" t="str">
        <f>"0434"</f>
        <v>0434</v>
      </c>
      <c r="K955" t="str">
        <f>"165000.00"</f>
        <v>165000.00</v>
      </c>
      <c r="L955" t="str">
        <f>"620000 ОБЛ СВЕРДЛОВСКАЯ   Г ЕКАТЕРИНБУРГ   УЛ КРЕСТИНСКОГО д. 57"</f>
        <v>620000 ОБЛ СВЕРДЛОВСКАЯ   Г ЕКАТЕРИНБУРГ   УЛ КРЕСТИНСКОГО д. 57</v>
      </c>
      <c r="M955" t="str">
        <f t="shared" si="147"/>
        <v>2019-08-24</v>
      </c>
      <c r="N955" t="str">
        <f>"ООО АКВАСЕРВИС"</f>
        <v>ООО АКВАСЕРВИС</v>
      </c>
      <c r="O955" t="str">
        <f>"620000"</f>
        <v>620000</v>
      </c>
      <c r="P955" t="str">
        <f>"ОБЛ СВЕРДЛОВСКАЯ"</f>
        <v>ОБЛ СВЕРДЛОВСКАЯ</v>
      </c>
      <c r="Q955" t="str">
        <f>""</f>
        <v/>
      </c>
      <c r="R955" t="str">
        <f>"Г ЕКАТЕРИНБУРГ"</f>
        <v>Г ЕКАТЕРИНБУРГ</v>
      </c>
      <c r="S955" t="str">
        <f>""</f>
        <v/>
      </c>
      <c r="T955" t="str">
        <f>"УЛ КРЕСТИНСКОГО"</f>
        <v>УЛ КРЕСТИНСКОГО</v>
      </c>
      <c r="U955" s="1" t="str">
        <f>"57"</f>
        <v>57</v>
      </c>
      <c r="V955" s="1" t="str">
        <f>""</f>
        <v/>
      </c>
      <c r="W955" s="1" t="str">
        <f>""</f>
        <v/>
      </c>
      <c r="X955" s="1" t="str">
        <f>""</f>
        <v/>
      </c>
      <c r="Y955" s="1" t="str">
        <f>"15"</f>
        <v>15</v>
      </c>
      <c r="Z955" t="str">
        <f>""</f>
        <v/>
      </c>
      <c r="AA955" t="str">
        <f>"3432134802"</f>
        <v>3432134802</v>
      </c>
      <c r="AB955" t="str">
        <f>"9043820889"</f>
        <v>9043820889</v>
      </c>
      <c r="AC955" t="str">
        <f>"3432134802"</f>
        <v>3432134802</v>
      </c>
      <c r="AD955" t="str">
        <f>"9043820889"</f>
        <v>9043820889</v>
      </c>
      <c r="AE955" t="str">
        <f>""</f>
        <v/>
      </c>
    </row>
    <row r="956" spans="1:31" x14ac:dyDescent="0.45">
      <c r="A956" t="str">
        <f>"ГОЛОСОВА ЛЮДМИЛА ГЕННАДЬЕВНА"</f>
        <v>ГОЛОСОВА ЛЮДМИЛА ГЕННАДЬЕВНА</v>
      </c>
      <c r="B956" t="str">
        <f>"1970-04-14"</f>
        <v>1970-04-14</v>
      </c>
      <c r="C956" t="str">
        <f>"75 14 612704"</f>
        <v>75 14 612704</v>
      </c>
      <c r="D956" t="str">
        <f>"4279011648824822"</f>
        <v>4279011648824822</v>
      </c>
      <c r="E956" t="str">
        <f t="shared" si="151"/>
        <v>2021-05-31</v>
      </c>
      <c r="F956" t="str">
        <f t="shared" si="152"/>
        <v>+</v>
      </c>
      <c r="G956" t="str">
        <f t="shared" si="152"/>
        <v>+</v>
      </c>
      <c r="H956" t="str">
        <f>"40817810316991425134"</f>
        <v>40817810316991425134</v>
      </c>
      <c r="I956" t="str">
        <f>"8597"</f>
        <v>8597</v>
      </c>
      <c r="J956" t="str">
        <f>"0273"</f>
        <v>0273</v>
      </c>
      <c r="K956" t="str">
        <f>"89000.00"</f>
        <v>89000.00</v>
      </c>
      <c r="L956" t="str">
        <f>"454000 ОБЛ ЧЕЛЯБИНСКАЯ ОБЛАСТЬ   Г ЧЕЛЯБИНСК   ПР-КТ СВЕРДЛОВСКИЙ д. 59"</f>
        <v>454000 ОБЛ ЧЕЛЯБИНСКАЯ ОБЛАСТЬ   Г ЧЕЛЯБИНСК   ПР-КТ СВЕРДЛОВСКИЙ д. 59</v>
      </c>
      <c r="M956" t="str">
        <f t="shared" si="147"/>
        <v>2019-08-24</v>
      </c>
      <c r="N956" t="str">
        <f>"МАУДОД ДПШ"</f>
        <v>МАУДОД ДПШ</v>
      </c>
      <c r="O956" t="str">
        <f>"454000"</f>
        <v>454000</v>
      </c>
      <c r="P956" t="str">
        <f>"ОБЛ ЧЕЛЯБИНСКАЯ"</f>
        <v>ОБЛ ЧЕЛЯБИНСКАЯ</v>
      </c>
      <c r="Q956" t="str">
        <f>""</f>
        <v/>
      </c>
      <c r="R956" t="str">
        <f>"Г ЧЕЛЯБИНСК"</f>
        <v>Г ЧЕЛЯБИНСК</v>
      </c>
      <c r="S956" t="str">
        <f>""</f>
        <v/>
      </c>
      <c r="T956" t="str">
        <f>"УЛ СОЛНЕЧНАЯ"</f>
        <v>УЛ СОЛНЕЧНАЯ</v>
      </c>
      <c r="U956" s="1" t="str">
        <f>"6А"</f>
        <v>6А</v>
      </c>
      <c r="V956" s="1" t="str">
        <f>""</f>
        <v/>
      </c>
      <c r="W956" s="1" t="str">
        <f>""</f>
        <v/>
      </c>
      <c r="X956" s="1" t="str">
        <f>""</f>
        <v/>
      </c>
      <c r="Y956" s="1" t="str">
        <f>"81"</f>
        <v>81</v>
      </c>
      <c r="Z956" t="str">
        <f>"3512635272"</f>
        <v>3512635272</v>
      </c>
      <c r="AA956" t="str">
        <f>"3517924299"</f>
        <v>3517924299</v>
      </c>
      <c r="AB956" t="str">
        <f>"9222301445"</f>
        <v>9222301445</v>
      </c>
      <c r="AC956" t="str">
        <f>"3517924299"</f>
        <v>3517924299</v>
      </c>
      <c r="AD956" t="str">
        <f>"9222301445"</f>
        <v>9222301445</v>
      </c>
      <c r="AE956" t="str">
        <f>"3512635272"</f>
        <v>3512635272</v>
      </c>
    </row>
    <row r="957" spans="1:31" x14ac:dyDescent="0.45">
      <c r="A957" t="str">
        <f>"ВАЛЬКОВА ЛИЛИЯ ВИКТОРОВНА"</f>
        <v>ВАЛЬКОВА ЛИЛИЯ ВИКТОРОВНА</v>
      </c>
      <c r="B957" t="str">
        <f>"1975-05-25"</f>
        <v>1975-05-25</v>
      </c>
      <c r="C957" t="str">
        <f>"75 02 453238"</f>
        <v>75 02 453238</v>
      </c>
      <c r="D957" t="str">
        <f>"4279011623269613"</f>
        <v>4279011623269613</v>
      </c>
      <c r="E957" t="str">
        <f t="shared" si="151"/>
        <v>2021-05-31</v>
      </c>
      <c r="F957" t="str">
        <f t="shared" si="152"/>
        <v>+</v>
      </c>
      <c r="G957" t="str">
        <f t="shared" si="152"/>
        <v>+</v>
      </c>
      <c r="H957" t="str">
        <f>"40817810916991425136"</f>
        <v>40817810916991425136</v>
      </c>
      <c r="I957" t="str">
        <f>"8597"</f>
        <v>8597</v>
      </c>
      <c r="J957" t="str">
        <f>"0364"</f>
        <v>0364</v>
      </c>
      <c r="K957" t="str">
        <f>"200000.00"</f>
        <v>200000.00</v>
      </c>
      <c r="L957" t="str">
        <f>"454000 ОБЛ ЧЕЛЯБИНСКАЯ   Г МАГНИТОГОРСК   УЛ ГАГАРИНА д. 56"</f>
        <v>454000 ОБЛ ЧЕЛЯБИНСКАЯ   Г МАГНИТОГОРСК   УЛ ГАГАРИНА д. 56</v>
      </c>
      <c r="M957" t="str">
        <f t="shared" si="147"/>
        <v>2019-08-24</v>
      </c>
      <c r="N957" t="str">
        <f>"ООО ПЕРСОНАЛ-М"</f>
        <v>ООО ПЕРСОНАЛ-М</v>
      </c>
      <c r="O957" t="str">
        <f>"454000"</f>
        <v>454000</v>
      </c>
      <c r="P957" t="str">
        <f>"ОБЛ ЧЕЛЯБИНСКАЯ"</f>
        <v>ОБЛ ЧЕЛЯБИНСКАЯ</v>
      </c>
      <c r="Q957" t="str">
        <f>""</f>
        <v/>
      </c>
      <c r="R957" t="str">
        <f>"Г МАГНИТОГОРСК"</f>
        <v>Г МАГНИТОГОРСК</v>
      </c>
      <c r="S957" t="str">
        <f>""</f>
        <v/>
      </c>
      <c r="T957" t="str">
        <f>"УЛ СОВЕТСКАЯ"</f>
        <v>УЛ СОВЕТСКАЯ</v>
      </c>
      <c r="U957" s="1" t="str">
        <f>"182"</f>
        <v>182</v>
      </c>
      <c r="V957" s="1" t="str">
        <f>""</f>
        <v/>
      </c>
      <c r="W957" s="1" t="str">
        <f>""</f>
        <v/>
      </c>
      <c r="X957" s="1" t="str">
        <f>""</f>
        <v/>
      </c>
      <c r="Y957" s="1" t="str">
        <f>"36"</f>
        <v>36</v>
      </c>
      <c r="Z957" t="str">
        <f>""</f>
        <v/>
      </c>
      <c r="AA957" t="str">
        <f>"9080860649"</f>
        <v>9080860649</v>
      </c>
      <c r="AB957" t="str">
        <f>"9642465080"</f>
        <v>9642465080</v>
      </c>
      <c r="AC957" t="str">
        <f>"9080860649"</f>
        <v>9080860649</v>
      </c>
      <c r="AD957" t="str">
        <f>"9642465080"</f>
        <v>9642465080</v>
      </c>
      <c r="AE957" t="str">
        <f>""</f>
        <v/>
      </c>
    </row>
    <row r="958" spans="1:31" x14ac:dyDescent="0.45">
      <c r="A958" t="str">
        <f>"СБОРОШЕНКО РЕГИНА АЛЬБЕРТОВНА"</f>
        <v>СБОРОШЕНКО РЕГИНА АЛЬБЕРТОВНА</v>
      </c>
      <c r="B958" t="str">
        <f>"1988-12-09"</f>
        <v>1988-12-09</v>
      </c>
      <c r="C958" t="str">
        <f>"75 08 381033"</f>
        <v>75 08 381033</v>
      </c>
      <c r="D958" t="str">
        <f>"4279011625908812"</f>
        <v>4279011625908812</v>
      </c>
      <c r="E958" t="str">
        <f t="shared" si="151"/>
        <v>2021-05-31</v>
      </c>
      <c r="F958" t="str">
        <f>"K"</f>
        <v>K</v>
      </c>
      <c r="G958" t="str">
        <f>"+"</f>
        <v>+</v>
      </c>
      <c r="H958" t="str">
        <f>"40817810216991425137"</f>
        <v>40817810216991425137</v>
      </c>
      <c r="I958" t="str">
        <f>"8597"</f>
        <v>8597</v>
      </c>
      <c r="J958" t="str">
        <f>"7770"</f>
        <v>7770</v>
      </c>
      <c r="K958" t="str">
        <f>"300000.00"</f>
        <v>300000.00</v>
      </c>
      <c r="L958" t="str">
        <f>"454000 ОБЛ ЧЕЛЯБИНСКАЯ   Г ЧЕЛЯБИНСК   УЛ АРТИЛЛЕРИЙСКАЯ д. 111"</f>
        <v>454000 ОБЛ ЧЕЛЯБИНСКАЯ   Г ЧЕЛЯБИНСК   УЛ АРТИЛЛЕРИЙСКАЯ д. 111</v>
      </c>
      <c r="M958" t="str">
        <f t="shared" si="147"/>
        <v>2019-08-24</v>
      </c>
      <c r="N958" t="s">
        <v>69</v>
      </c>
      <c r="O958" t="str">
        <f>"454000"</f>
        <v>454000</v>
      </c>
      <c r="P958" t="str">
        <f>"ОБЛ ЧЕЛЯБИНСКАЯ"</f>
        <v>ОБЛ ЧЕЛЯБИНСКАЯ</v>
      </c>
      <c r="Q958" t="str">
        <f>""</f>
        <v/>
      </c>
      <c r="R958" t="str">
        <f>"Г ЧЕЛЯБИНСК"</f>
        <v>Г ЧЕЛЯБИНСК</v>
      </c>
      <c r="S958" t="str">
        <f>""</f>
        <v/>
      </c>
      <c r="T958" t="str">
        <f>"УЛ ПР.ПОБЕДЫ"</f>
        <v>УЛ ПР.ПОБЕДЫ</v>
      </c>
      <c r="U958" s="1" t="str">
        <f>"331"</f>
        <v>331</v>
      </c>
      <c r="V958" s="1" t="str">
        <f>""</f>
        <v/>
      </c>
      <c r="W958" s="1" t="str">
        <f>""</f>
        <v/>
      </c>
      <c r="X958" s="1" t="str">
        <f>""</f>
        <v/>
      </c>
      <c r="Y958" s="1" t="str">
        <f>"4"</f>
        <v>4</v>
      </c>
      <c r="Z958" t="str">
        <f>"3512115450"</f>
        <v>3512115450</v>
      </c>
      <c r="AA958" t="str">
        <f>"0000000000"</f>
        <v>0000000000</v>
      </c>
      <c r="AB958" t="str">
        <f>"9049709330"</f>
        <v>9049709330</v>
      </c>
      <c r="AC958" t="str">
        <f>"0000000000"</f>
        <v>0000000000</v>
      </c>
      <c r="AD958" t="str">
        <f>"9049709330"</f>
        <v>9049709330</v>
      </c>
      <c r="AE958" t="str">
        <f>"3512115450"</f>
        <v>3512115450</v>
      </c>
    </row>
    <row r="959" spans="1:31" x14ac:dyDescent="0.45">
      <c r="A959" t="str">
        <f>"ГУБИН СЕРГЕЙ ВИКТОРОВИЧ"</f>
        <v>ГУБИН СЕРГЕЙ ВИКТОРОВИЧ</v>
      </c>
      <c r="B959" t="str">
        <f>"1990-03-11"</f>
        <v>1990-03-11</v>
      </c>
      <c r="C959" t="str">
        <f>"71 15 183759"</f>
        <v>71 15 183759</v>
      </c>
      <c r="D959" t="str">
        <f>"4854630378000387"</f>
        <v>4854630378000387</v>
      </c>
      <c r="E959" t="str">
        <f>"2021-04-30"</f>
        <v>2021-04-30</v>
      </c>
      <c r="F959" t="str">
        <f>"+"</f>
        <v>+</v>
      </c>
      <c r="G959" t="str">
        <f>"+"</f>
        <v>+</v>
      </c>
      <c r="H959" t="str">
        <f>"40817810016992244847"</f>
        <v>40817810016992244847</v>
      </c>
      <c r="I959" t="str">
        <f>"8647"</f>
        <v>8647</v>
      </c>
      <c r="J959" t="str">
        <f>"0113"</f>
        <v>0113</v>
      </c>
      <c r="K959" t="str">
        <f>"100000.00"</f>
        <v>100000.00</v>
      </c>
      <c r="L959" t="str">
        <f>"625000 ОБЛ ТЮМЕНСКАЯ   Г ТЮМЕНЬ   УЛ ГАСПАРОВСКАЯ д. 2Б"</f>
        <v>625000 ОБЛ ТЮМЕНСКАЯ   Г ТЮМЕНЬ   УЛ ГАСПАРОВСКАЯ д. 2Б</v>
      </c>
      <c r="M959" t="str">
        <f t="shared" si="147"/>
        <v>2019-08-24</v>
      </c>
      <c r="N959" t="str">
        <f>"ООО ЮГСОН СЕРВИС"</f>
        <v>ООО ЮГСОН СЕРВИС</v>
      </c>
      <c r="O959" t="str">
        <f>"625046"</f>
        <v>625046</v>
      </c>
      <c r="P959" t="str">
        <f>"ОБЛ ТЮМЕНСКАЯ"</f>
        <v>ОБЛ ТЮМЕНСКАЯ</v>
      </c>
      <c r="Q959" t="str">
        <f>"Р-Н АРОМАШЕВСКИЙ"</f>
        <v>Р-Н АРОМАШЕВСКИЙ</v>
      </c>
      <c r="R959" t="str">
        <f>""</f>
        <v/>
      </c>
      <c r="S959" t="str">
        <f>"С АРОМАШЕВО"</f>
        <v>С АРОМАШЕВО</v>
      </c>
      <c r="T959" t="str">
        <f>"УЛ МОЛОДЕЖНАЯ"</f>
        <v>УЛ МОЛОДЕЖНАЯ</v>
      </c>
      <c r="U959" s="1" t="str">
        <f>"12"</f>
        <v>12</v>
      </c>
      <c r="V959" s="1" t="str">
        <f>""</f>
        <v/>
      </c>
      <c r="W959" s="1" t="str">
        <f>""</f>
        <v/>
      </c>
      <c r="X959" s="1" t="str">
        <f>""</f>
        <v/>
      </c>
      <c r="Y959" s="1" t="str">
        <f>""</f>
        <v/>
      </c>
      <c r="Z959" t="str">
        <f>""</f>
        <v/>
      </c>
      <c r="AA959" t="str">
        <f>"3454547117"</f>
        <v>3454547117</v>
      </c>
      <c r="AB959" t="str">
        <f>"9220084994"</f>
        <v>9220084994</v>
      </c>
      <c r="AC959" t="str">
        <f>"9199374144"</f>
        <v>9199374144</v>
      </c>
      <c r="AD959" t="str">
        <f>"9220084994"</f>
        <v>9220084994</v>
      </c>
      <c r="AE959" t="str">
        <f>""</f>
        <v/>
      </c>
    </row>
    <row r="960" spans="1:31" x14ac:dyDescent="0.45">
      <c r="A960" t="str">
        <f>"ДАВЛЕТБАЕВА ЛЕАНА ИЛЬИНИЧНА"</f>
        <v>ДАВЛЕТБАЕВА ЛЕАНА ИЛЬИНИЧНА</v>
      </c>
      <c r="B960" t="str">
        <f>"1985-12-12"</f>
        <v>1985-12-12</v>
      </c>
      <c r="C960" t="str">
        <f>"80 11 416241"</f>
        <v>80 11 416241</v>
      </c>
      <c r="D960" t="str">
        <f>"4854630412664867"</f>
        <v>4854630412664867</v>
      </c>
      <c r="E960" t="str">
        <f>"2021-04-30"</f>
        <v>2021-04-30</v>
      </c>
      <c r="F960" t="str">
        <f>"+"</f>
        <v>+</v>
      </c>
      <c r="G960" t="str">
        <f>"+"</f>
        <v>+</v>
      </c>
      <c r="H960" t="str">
        <f>"40817810116991428263"</f>
        <v>40817810116991428263</v>
      </c>
      <c r="I960" t="str">
        <f>"8598"</f>
        <v>8598</v>
      </c>
      <c r="J960" t="str">
        <f>"0497"</f>
        <v>0497</v>
      </c>
      <c r="K960" t="str">
        <f>"14000.00"</f>
        <v>14000.00</v>
      </c>
      <c r="L960" t="str">
        <f>"450000 РЕСП БАШКОРТОСТАН   Г ДЮРТЮЛИ   УЛ ПРОМЗОНА д. 26"</f>
        <v>450000 РЕСП БАШКОРТОСТАН   Г ДЮРТЮЛИ   УЛ ПРОМЗОНА д. 26</v>
      </c>
      <c r="M960" t="str">
        <f t="shared" si="147"/>
        <v>2019-08-24</v>
      </c>
      <c r="N960" t="str">
        <f>"ГУСП МТС ЦЕНТРАЛЬНАЯ"</f>
        <v>ГУСП МТС ЦЕНТРАЛЬНАЯ</v>
      </c>
      <c r="O960" t="str">
        <f>"452318"</f>
        <v>452318</v>
      </c>
      <c r="P960" t="str">
        <f>"РЕСП БАШКОРТОСТАН"</f>
        <v>РЕСП БАШКОРТОСТАН</v>
      </c>
      <c r="Q960" t="str">
        <f>"Р-Н ДЮРТЮЛИНСКИЙ"</f>
        <v>Р-Н ДЮРТЮЛИНСКИЙ</v>
      </c>
      <c r="R960" t="str">
        <f>""</f>
        <v/>
      </c>
      <c r="S960" t="str">
        <f>"С ЯРМИНО"</f>
        <v>С ЯРМИНО</v>
      </c>
      <c r="T960" t="str">
        <f>"УЛ ДАВЛЕТГАРЕЕВЫХ"</f>
        <v>УЛ ДАВЛЕТГАРЕЕВЫХ</v>
      </c>
      <c r="U960" s="1" t="str">
        <f>"25"</f>
        <v>25</v>
      </c>
      <c r="V960" s="1" t="str">
        <f>""</f>
        <v/>
      </c>
      <c r="W960" s="1" t="str">
        <f>""</f>
        <v/>
      </c>
      <c r="X960" s="1" t="str">
        <f>""</f>
        <v/>
      </c>
      <c r="Y960" s="1" t="str">
        <f>""</f>
        <v/>
      </c>
      <c r="Z960" t="str">
        <f>"3478736688"</f>
        <v>3478736688</v>
      </c>
      <c r="AA960" t="str">
        <f>"9174947105"</f>
        <v>9174947105</v>
      </c>
      <c r="AB960" t="str">
        <f>"9174947105"</f>
        <v>9174947105</v>
      </c>
      <c r="AC960" t="str">
        <f>"9174947105"</f>
        <v>9174947105</v>
      </c>
      <c r="AD960" t="str">
        <f>"9174947105"</f>
        <v>9174947105</v>
      </c>
      <c r="AE960" t="str">
        <f>""</f>
        <v/>
      </c>
    </row>
    <row r="961" spans="1:31" x14ac:dyDescent="0.45">
      <c r="A961" t="str">
        <f>"САФОНОВА ТАТЬЯНА ИВАНОВНА"</f>
        <v>САФОНОВА ТАТЬЯНА ИВАНОВНА</v>
      </c>
      <c r="B961" t="str">
        <f>"1955-01-01"</f>
        <v>1955-01-01</v>
      </c>
      <c r="C961" t="str">
        <f>"80 02 098740"</f>
        <v>80 02 098740</v>
      </c>
      <c r="D961" t="str">
        <f>"4854630358689878"</f>
        <v>4854630358689878</v>
      </c>
      <c r="E961" t="str">
        <f>"2021-04-30"</f>
        <v>2021-04-30</v>
      </c>
      <c r="F961" t="str">
        <f>"+"</f>
        <v>+</v>
      </c>
      <c r="G961" t="str">
        <f>"+"</f>
        <v>+</v>
      </c>
      <c r="H961" t="str">
        <f>"40817810416991428264"</f>
        <v>40817810416991428264</v>
      </c>
      <c r="I961" t="str">
        <f>"8598"</f>
        <v>8598</v>
      </c>
      <c r="J961" t="str">
        <f>"0214"</f>
        <v>0214</v>
      </c>
      <c r="K961" t="str">
        <f>"20000.00"</f>
        <v>20000.00</v>
      </c>
      <c r="L961" t="str">
        <f>"450000 РЕСП БАШКОРТОСТАН   Г УФА   УЛ Р ЗОРГЕ д. 33"</f>
        <v>450000 РЕСП БАШКОРТОСТАН   Г УФА   УЛ Р ЗОРГЕ д. 33</v>
      </c>
      <c r="M961" t="str">
        <f t="shared" si="147"/>
        <v>2019-08-24</v>
      </c>
      <c r="N961" t="str">
        <f>"ПФР"</f>
        <v>ПФР</v>
      </c>
      <c r="O961" t="str">
        <f>"450000"</f>
        <v>450000</v>
      </c>
      <c r="P961" t="str">
        <f>"РЕСП БАШКОРТОСТАН"</f>
        <v>РЕСП БАШКОРТОСТАН</v>
      </c>
      <c r="Q961" t="str">
        <f>""</f>
        <v/>
      </c>
      <c r="R961" t="str">
        <f>"Г УФА"</f>
        <v>Г УФА</v>
      </c>
      <c r="S961" t="str">
        <f>""</f>
        <v/>
      </c>
      <c r="T961" t="str">
        <f>"УЛ АКАДЕМИКА КОРОЛЕВА"</f>
        <v>УЛ АКАДЕМИКА КОРОЛЕВА</v>
      </c>
      <c r="U961" s="1" t="str">
        <f>"10"</f>
        <v>10</v>
      </c>
      <c r="V961" s="1" t="str">
        <f>""</f>
        <v/>
      </c>
      <c r="W961" s="1" t="str">
        <f>"1"</f>
        <v>1</v>
      </c>
      <c r="X961" s="1" t="str">
        <f>""</f>
        <v/>
      </c>
      <c r="Y961" s="1" t="str">
        <f>"41"</f>
        <v>41</v>
      </c>
      <c r="Z961" t="str">
        <f>""</f>
        <v/>
      </c>
      <c r="AA961" t="str">
        <f>"9603933934"</f>
        <v>9603933934</v>
      </c>
      <c r="AB961" t="str">
        <f>"9631405007"</f>
        <v>9631405007</v>
      </c>
      <c r="AC961" t="str">
        <f>"9603933934"</f>
        <v>9603933934</v>
      </c>
      <c r="AD961" t="str">
        <f>"9631405007"</f>
        <v>9631405007</v>
      </c>
      <c r="AE961" t="str">
        <f>""</f>
        <v/>
      </c>
    </row>
    <row r="962" spans="1:31" x14ac:dyDescent="0.45">
      <c r="A962" t="str">
        <f>"ФИЛИППОВА ЗОЯ ЮРЬЕВНА"</f>
        <v>ФИЛИППОВА ЗОЯ ЮРЬЕВНА</v>
      </c>
      <c r="B962" t="str">
        <f>"1958-05-24"</f>
        <v>1958-05-24</v>
      </c>
      <c r="C962" t="str">
        <f>"80 04 403981"</f>
        <v>80 04 403981</v>
      </c>
      <c r="D962" t="str">
        <f>"4854630358632944"</f>
        <v>4854630358632944</v>
      </c>
      <c r="E962" t="str">
        <f>"2021-04-30"</f>
        <v>2021-04-30</v>
      </c>
      <c r="F962" t="str">
        <f>"+"</f>
        <v>+</v>
      </c>
      <c r="G962" t="str">
        <f>"+"</f>
        <v>+</v>
      </c>
      <c r="H962" t="str">
        <f>"40817810916991428285"</f>
        <v>40817810916991428285</v>
      </c>
      <c r="I962" t="str">
        <f>"8598"</f>
        <v>8598</v>
      </c>
      <c r="J962" t="str">
        <f>"0172"</f>
        <v>0172</v>
      </c>
      <c r="K962" t="str">
        <f>"36000.00"</f>
        <v>36000.00</v>
      </c>
      <c r="L962" t="str">
        <f>"450000 РЕСП БАШКОРТОСТАН   Г УФА   УЛ ЛЕВИТАНА д. 22 стр. 2"</f>
        <v>450000 РЕСП БАШКОРТОСТАН   Г УФА   УЛ ЛЕВИТАНА д. 22 стр. 2</v>
      </c>
      <c r="M962" t="str">
        <f t="shared" ref="M962:M1025" si="153">"2019-08-24"</f>
        <v>2019-08-24</v>
      </c>
      <c r="N962" t="str">
        <f>"УПРАВЛЕНИЕ ПЕНСИОННОГО ФОНДА"</f>
        <v>УПРАВЛЕНИЕ ПЕНСИОННОГО ФОНДА</v>
      </c>
      <c r="O962" t="str">
        <f>"450000"</f>
        <v>450000</v>
      </c>
      <c r="P962" t="str">
        <f>"РЕСП БАШКОРТОСТАН"</f>
        <v>РЕСП БАШКОРТОСТАН</v>
      </c>
      <c r="Q962" t="str">
        <f>""</f>
        <v/>
      </c>
      <c r="R962" t="str">
        <f>"Г УФА"</f>
        <v>Г УФА</v>
      </c>
      <c r="S962" t="str">
        <f>""</f>
        <v/>
      </c>
      <c r="T962" t="str">
        <f>"УЛ КАНДРИНСКАЯ"</f>
        <v>УЛ КАНДРИНСКАЯ</v>
      </c>
      <c r="U962" s="1" t="str">
        <f>"25"</f>
        <v>25</v>
      </c>
      <c r="V962" s="1" t="str">
        <f>""</f>
        <v/>
      </c>
      <c r="W962" s="1" t="str">
        <f>""</f>
        <v/>
      </c>
      <c r="X962" s="1" t="str">
        <f>""</f>
        <v/>
      </c>
      <c r="Y962" s="1" t="str">
        <f>""</f>
        <v/>
      </c>
      <c r="Z962" t="str">
        <f>"9273207696"</f>
        <v>9273207696</v>
      </c>
      <c r="AA962" t="str">
        <f>"9273207696"</f>
        <v>9273207696</v>
      </c>
      <c r="AB962" t="str">
        <f>"9273207696"</f>
        <v>9273207696</v>
      </c>
      <c r="AC962" t="str">
        <f>"9273207696"</f>
        <v>9273207696</v>
      </c>
      <c r="AD962" t="str">
        <f>"9273207696"</f>
        <v>9273207696</v>
      </c>
      <c r="AE962" t="str">
        <f>"9273207696"</f>
        <v>9273207696</v>
      </c>
    </row>
    <row r="963" spans="1:31" x14ac:dyDescent="0.45">
      <c r="A963" t="str">
        <f>"МИГОВА НАТАЛЬЯ АЛЕКСАНДРОВНА"</f>
        <v>МИГОВА НАТАЛЬЯ АЛЕКСАНДРОВНА</v>
      </c>
      <c r="B963" t="str">
        <f>"1969-11-01"</f>
        <v>1969-11-01</v>
      </c>
      <c r="C963" t="str">
        <f>"65 14 930646"</f>
        <v>65 14 930646</v>
      </c>
      <c r="D963" t="str">
        <f>"5313100281731009"</f>
        <v>5313100281731009</v>
      </c>
      <c r="E963" t="str">
        <f>"2021-03-31"</f>
        <v>2021-03-31</v>
      </c>
      <c r="F963" t="str">
        <f>"Q"</f>
        <v>Q</v>
      </c>
      <c r="G963" t="str">
        <f>"Q"</f>
        <v>Q</v>
      </c>
      <c r="H963" t="str">
        <f>"40817810116991428328"</f>
        <v>40817810116991428328</v>
      </c>
      <c r="I963" t="str">
        <f>"7003"</f>
        <v>7003</v>
      </c>
      <c r="J963" t="str">
        <f>"0898"</f>
        <v>0898</v>
      </c>
      <c r="K963" t="str">
        <f>"0.00"</f>
        <v>0.00</v>
      </c>
      <c r="L963" t="str">
        <f>"620000 ОБЛ СВЕРДЛОВСКАЯ   Г ЕКАТЕРИНБУРГ   УЛ ЯСНАЯ д. 22 корп. Г кв. 151"</f>
        <v>620000 ОБЛ СВЕРДЛОВСКАЯ   Г ЕКАТЕРИНБУРГ   УЛ ЯСНАЯ д. 22 корп. Г кв. 151</v>
      </c>
      <c r="M963" t="str">
        <f t="shared" si="153"/>
        <v>2019-08-24</v>
      </c>
      <c r="N963" t="str">
        <f>"16000285"</f>
        <v>16000285</v>
      </c>
      <c r="O963" t="str">
        <f>"620000"</f>
        <v>620000</v>
      </c>
      <c r="P963" t="str">
        <f>"ОБЛ СВЕРДЛОВСКАЯ"</f>
        <v>ОБЛ СВЕРДЛОВСКАЯ</v>
      </c>
      <c r="Q963" t="str">
        <f>""</f>
        <v/>
      </c>
      <c r="R963" t="str">
        <f>"Г ЕКАТЕРИНБУРГ"</f>
        <v>Г ЕКАТЕРИНБУРГ</v>
      </c>
      <c r="S963" t="str">
        <f>""</f>
        <v/>
      </c>
      <c r="T963" t="str">
        <f>"УЛ ЯСНАЯ"</f>
        <v>УЛ ЯСНАЯ</v>
      </c>
      <c r="U963" s="1" t="str">
        <f>"22"</f>
        <v>22</v>
      </c>
      <c r="V963" s="1" t="str">
        <f>""</f>
        <v/>
      </c>
      <c r="W963" s="1" t="str">
        <f>"Г"</f>
        <v>Г</v>
      </c>
      <c r="X963" s="1" t="str">
        <f>""</f>
        <v/>
      </c>
      <c r="Y963" s="1" t="str">
        <f>"151"</f>
        <v>151</v>
      </c>
      <c r="Z963" t="str">
        <f>"9506307808"</f>
        <v>9506307808</v>
      </c>
      <c r="AA963" t="str">
        <f>"3432103771"</f>
        <v>3432103771</v>
      </c>
      <c r="AB963" t="str">
        <f>"9826142788"</f>
        <v>9826142788</v>
      </c>
      <c r="AC963" t="str">
        <f>"9506307808"</f>
        <v>9506307808</v>
      </c>
      <c r="AD963" t="str">
        <f>"9506307808"</f>
        <v>9506307808</v>
      </c>
      <c r="AE963" t="str">
        <f>"9506307808"</f>
        <v>9506307808</v>
      </c>
    </row>
    <row r="964" spans="1:31" x14ac:dyDescent="0.45">
      <c r="A964" t="str">
        <f>"КОСТРОМИНА ВАЛЕНТИНА ЮРЬЕВНА"</f>
        <v>КОСТРОМИНА ВАЛЕНТИНА ЮРЬЕВНА</v>
      </c>
      <c r="B964" t="str">
        <f>"1953-08-07"</f>
        <v>1953-08-07</v>
      </c>
      <c r="C964" t="str">
        <f>"65 02 329469"</f>
        <v>65 02 329469</v>
      </c>
      <c r="D964" t="str">
        <f>"4854630370077441"</f>
        <v>4854630370077441</v>
      </c>
      <c r="E964" t="str">
        <f>"2021-04-30"</f>
        <v>2021-04-30</v>
      </c>
      <c r="F964" t="str">
        <f t="shared" ref="F964:G972" si="154">"+"</f>
        <v>+</v>
      </c>
      <c r="G964" t="str">
        <f t="shared" si="154"/>
        <v>+</v>
      </c>
      <c r="H964" t="str">
        <f>"40817810416991428329"</f>
        <v>40817810416991428329</v>
      </c>
      <c r="I964" t="str">
        <f>"7003"</f>
        <v>7003</v>
      </c>
      <c r="J964" t="str">
        <f>"0417"</f>
        <v>0417</v>
      </c>
      <c r="K964" t="str">
        <f>"60000.00"</f>
        <v>60000.00</v>
      </c>
      <c r="L964" t="str">
        <f>"620000 ОБЛ СВЕРДЛОВСКАЯ   Г ЕКАТЕРИНБУРГ   УЛ В.ВЫСОЦКОГО д. 40 кв. 69"</f>
        <v>620000 ОБЛ СВЕРДЛОВСКАЯ   Г ЕКАТЕРИНБУРГ   УЛ В.ВЫСОЦКОГО д. 40 кв. 69</v>
      </c>
      <c r="M964" t="str">
        <f t="shared" si="153"/>
        <v>2019-08-24</v>
      </c>
      <c r="N964" t="str">
        <f>"ПЕНСИОНЕР"</f>
        <v>ПЕНСИОНЕР</v>
      </c>
      <c r="O964" t="str">
        <f>"620000"</f>
        <v>620000</v>
      </c>
      <c r="P964" t="str">
        <f>"ОБЛ СВЕРДЛОВСКАЯ"</f>
        <v>ОБЛ СВЕРДЛОВСКАЯ</v>
      </c>
      <c r="Q964" t="str">
        <f>""</f>
        <v/>
      </c>
      <c r="R964" t="str">
        <f>"Г ЕКАТЕРИНБУРГ"</f>
        <v>Г ЕКАТЕРИНБУРГ</v>
      </c>
      <c r="S964" t="str">
        <f>""</f>
        <v/>
      </c>
      <c r="T964" t="str">
        <f>"УЛ В.ВЫСОЦКОГО"</f>
        <v>УЛ В.ВЫСОЦКОГО</v>
      </c>
      <c r="U964" s="1" t="str">
        <f>"40"</f>
        <v>40</v>
      </c>
      <c r="V964" s="1" t="str">
        <f>""</f>
        <v/>
      </c>
      <c r="W964" s="1" t="str">
        <f>""</f>
        <v/>
      </c>
      <c r="X964" s="1" t="str">
        <f>""</f>
        <v/>
      </c>
      <c r="Y964" s="1" t="str">
        <f>"69"</f>
        <v>69</v>
      </c>
      <c r="Z964" t="str">
        <f>"9827603809"</f>
        <v>9827603809</v>
      </c>
      <c r="AA964" t="str">
        <f>"9827603809"</f>
        <v>9827603809</v>
      </c>
      <c r="AB964" t="str">
        <f>"9827603809"</f>
        <v>9827603809</v>
      </c>
      <c r="AC964" t="str">
        <f>"9827603809"</f>
        <v>9827603809</v>
      </c>
      <c r="AD964" t="str">
        <f>"9827603809"</f>
        <v>9827603809</v>
      </c>
      <c r="AE964" t="str">
        <f>"9827603809"</f>
        <v>9827603809</v>
      </c>
    </row>
    <row r="965" spans="1:31" x14ac:dyDescent="0.45">
      <c r="A965" t="str">
        <f>"ИСЛАМОВ ИЛЮС КАНИФЬЯНОВИЧ"</f>
        <v>ИСЛАМОВ ИЛЮС КАНИФЬЯНОВИЧ</v>
      </c>
      <c r="B965" t="str">
        <f>"1965-05-17"</f>
        <v>1965-05-17</v>
      </c>
      <c r="C965" t="str">
        <f>"80 10 088431"</f>
        <v>80 10 088431</v>
      </c>
      <c r="D965" t="str">
        <f>"4279011682481323"</f>
        <v>4279011682481323</v>
      </c>
      <c r="E965" t="str">
        <f t="shared" ref="E965:E975" si="155">"2021-05-31"</f>
        <v>2021-05-31</v>
      </c>
      <c r="F965" t="str">
        <f t="shared" si="154"/>
        <v>+</v>
      </c>
      <c r="G965" t="str">
        <f t="shared" si="154"/>
        <v>+</v>
      </c>
      <c r="H965" t="str">
        <f>"40817810516991425138"</f>
        <v>40817810516991425138</v>
      </c>
      <c r="I965" t="str">
        <f>"8598"</f>
        <v>8598</v>
      </c>
      <c r="J965" t="str">
        <f>"0595"</f>
        <v>0595</v>
      </c>
      <c r="K965" t="str">
        <f>"155000.00"</f>
        <v>155000.00</v>
      </c>
      <c r="L965" t="str">
        <f>"450000 РЕСП БАШКОРТОСТАН   Г НЕФТЕКАМСК   УЛ МАГИСТРАЛЬНАЯ д. 5/2"</f>
        <v>450000 РЕСП БАШКОРТОСТАН   Г НЕФТЕКАМСК   УЛ МАГИСТРАЛЬНАЯ д. 5/2</v>
      </c>
      <c r="M965" t="str">
        <f t="shared" si="153"/>
        <v>2019-08-24</v>
      </c>
      <c r="N965" t="str">
        <f>"ООО НГСС"</f>
        <v>ООО НГСС</v>
      </c>
      <c r="O965" t="str">
        <f>"450000"</f>
        <v>450000</v>
      </c>
      <c r="P965" t="str">
        <f>"РЕСП БАШКОРТОСТАН"</f>
        <v>РЕСП БАШКОРТОСТАН</v>
      </c>
      <c r="Q965" t="str">
        <f>"Р-Н КРАСНОКАМСКИЙ"</f>
        <v>Р-Н КРАСНОКАМСКИЙ</v>
      </c>
      <c r="R965" t="str">
        <f>""</f>
        <v/>
      </c>
      <c r="S965" t="str">
        <f>"С НИКОЛО-БЕРЕЗОВКА"</f>
        <v>С НИКОЛО-БЕРЕЗОВКА</v>
      </c>
      <c r="T965" t="str">
        <f>"УЛ САДОВАЯ"</f>
        <v>УЛ САДОВАЯ</v>
      </c>
      <c r="U965" s="1" t="str">
        <f>"22"</f>
        <v>22</v>
      </c>
      <c r="V965" s="1" t="str">
        <f>""</f>
        <v/>
      </c>
      <c r="W965" s="1" t="str">
        <f>""</f>
        <v/>
      </c>
      <c r="X965" s="1" t="str">
        <f>""</f>
        <v/>
      </c>
      <c r="Y965" s="1" t="str">
        <f>""</f>
        <v/>
      </c>
      <c r="Z965" t="str">
        <f>""</f>
        <v/>
      </c>
      <c r="AA965" t="str">
        <f>"+7 (917) 4989502"</f>
        <v>+7 (917) 4989502</v>
      </c>
      <c r="AB965" t="str">
        <f>"+7 (917) 4989502"</f>
        <v>+7 (917) 4989502</v>
      </c>
      <c r="AC965" t="str">
        <f>"9174989502"</f>
        <v>9174989502</v>
      </c>
      <c r="AD965" t="str">
        <f>"9174989502"</f>
        <v>9174989502</v>
      </c>
      <c r="AE965" t="str">
        <f>""</f>
        <v/>
      </c>
    </row>
    <row r="966" spans="1:31" x14ac:dyDescent="0.45">
      <c r="A966" t="str">
        <f>"МУРАШОВ ЕВГЕНИЙ АЛЕКСАНДРОВИЧ"</f>
        <v>МУРАШОВ ЕВГЕНИЙ АЛЕКСАНДРОВИЧ</v>
      </c>
      <c r="B966" t="str">
        <f>"1985-11-22"</f>
        <v>1985-11-22</v>
      </c>
      <c r="C966" t="str">
        <f>"37 05 064381"</f>
        <v>37 05 064381</v>
      </c>
      <c r="D966" t="str">
        <f>"4279011667447513"</f>
        <v>4279011667447513</v>
      </c>
      <c r="E966" t="str">
        <f t="shared" si="155"/>
        <v>2021-05-31</v>
      </c>
      <c r="F966" t="str">
        <f t="shared" si="154"/>
        <v>+</v>
      </c>
      <c r="G966" t="str">
        <f t="shared" si="154"/>
        <v>+</v>
      </c>
      <c r="H966" t="str">
        <f>"40817810216991425140"</f>
        <v>40817810216991425140</v>
      </c>
      <c r="I966" t="str">
        <f>"8599"</f>
        <v>8599</v>
      </c>
      <c r="J966" t="str">
        <f>"0132"</f>
        <v>0132</v>
      </c>
      <c r="K966" t="str">
        <f>"300000.00"</f>
        <v>300000.00</v>
      </c>
      <c r="L966" t="str">
        <f>"641000 ОБЛ КУРГАНСКАЯ Р-Н ВАРГАШИНСКИЙ   Д БЕЛОВО УЛ ШКОЛЬНАЯ"</f>
        <v>641000 ОБЛ КУРГАНСКАЯ Р-Н ВАРГАШИНСКИЙ   Д БЕЛОВО УЛ ШКОЛЬНАЯ</v>
      </c>
      <c r="M966" t="str">
        <f t="shared" si="153"/>
        <v>2019-08-24</v>
      </c>
      <c r="N966" t="str">
        <f>"ИП МУРАШОВ"</f>
        <v>ИП МУРАШОВ</v>
      </c>
      <c r="O966" t="str">
        <f>"641000"</f>
        <v>641000</v>
      </c>
      <c r="P966" t="str">
        <f>"ОБЛ КУРГАНСКАЯ"</f>
        <v>ОБЛ КУРГАНСКАЯ</v>
      </c>
      <c r="Q966" t="str">
        <f>"Р-Н ВАРГАШИНСКИЙ"</f>
        <v>Р-Н ВАРГАШИНСКИЙ</v>
      </c>
      <c r="R966" t="str">
        <f>""</f>
        <v/>
      </c>
      <c r="S966" t="str">
        <f>"Д БЕЛОВО"</f>
        <v>Д БЕЛОВО</v>
      </c>
      <c r="T966" t="str">
        <f>"УЛ ШКОЛЬНАЯ"</f>
        <v>УЛ ШКОЛЬНАЯ</v>
      </c>
      <c r="U966" s="1" t="str">
        <f>"1"</f>
        <v>1</v>
      </c>
      <c r="V966" s="1" t="str">
        <f>""</f>
        <v/>
      </c>
      <c r="W966" s="1" t="str">
        <f>""</f>
        <v/>
      </c>
      <c r="X966" s="1" t="str">
        <f>""</f>
        <v/>
      </c>
      <c r="Y966" s="1" t="str">
        <f>"2"</f>
        <v>2</v>
      </c>
      <c r="Z966" t="str">
        <f>""</f>
        <v/>
      </c>
      <c r="AA966" t="str">
        <f>"+7 (909) 1778846"</f>
        <v>+7 (909) 1778846</v>
      </c>
      <c r="AB966" t="str">
        <f>"+7 (909) 1778846"</f>
        <v>+7 (909) 1778846</v>
      </c>
      <c r="AC966" t="str">
        <f>"9222981185"</f>
        <v>9222981185</v>
      </c>
      <c r="AD966" t="str">
        <f>"9091472908"</f>
        <v>9091472908</v>
      </c>
      <c r="AE966" t="str">
        <f>""</f>
        <v/>
      </c>
    </row>
    <row r="967" spans="1:31" x14ac:dyDescent="0.45">
      <c r="A967" t="str">
        <f>"БЕЛОВ СЕРГЕЙ ВАСИЛЬЕВИЧ"</f>
        <v>БЕЛОВ СЕРГЕЙ ВАСИЛЬЕВИЧ</v>
      </c>
      <c r="B967" t="str">
        <f>"1964-03-28"</f>
        <v>1964-03-28</v>
      </c>
      <c r="C967" t="str">
        <f>"65 09 679729"</f>
        <v>65 09 679729</v>
      </c>
      <c r="D967" t="str">
        <f>"4279011678004295"</f>
        <v>4279011678004295</v>
      </c>
      <c r="E967" t="str">
        <f t="shared" si="155"/>
        <v>2021-05-31</v>
      </c>
      <c r="F967" t="str">
        <f t="shared" si="154"/>
        <v>+</v>
      </c>
      <c r="G967" t="str">
        <f t="shared" si="154"/>
        <v>+</v>
      </c>
      <c r="H967" t="str">
        <f>"40817810816991425142"</f>
        <v>40817810816991425142</v>
      </c>
      <c r="I967" t="str">
        <f>"7003"</f>
        <v>7003</v>
      </c>
      <c r="J967" t="str">
        <f>"0755"</f>
        <v>0755</v>
      </c>
      <c r="K967" t="str">
        <f>"300000.00"</f>
        <v>300000.00</v>
      </c>
      <c r="L967" t="str">
        <f>"622000 ОБЛ СВЕРДЛОВСКАЯ     НП ПОКРОВСКОЕ   д. 1"</f>
        <v>622000 ОБЛ СВЕРДЛОВСКАЯ     НП ПОКРОВСКОЕ   д. 1</v>
      </c>
      <c r="M967" t="str">
        <f t="shared" si="153"/>
        <v>2019-08-24</v>
      </c>
      <c r="N967" t="str">
        <f>"ООО УРАЛЬСКИЕ БУРОВЫЕ ТЕХНОЛОГИИ"</f>
        <v>ООО УРАЛЬСКИЕ БУРОВЫЕ ТЕХНОЛОГИИ</v>
      </c>
      <c r="O967" t="str">
        <f>"622036"</f>
        <v>622036</v>
      </c>
      <c r="P967" t="str">
        <f>"ОБЛ СВЕРДЛОВСКАЯ"</f>
        <v>ОБЛ СВЕРДЛОВСКАЯ</v>
      </c>
      <c r="Q967" t="str">
        <f>""</f>
        <v/>
      </c>
      <c r="R967" t="str">
        <f>"Г НИЖНИЙ ТАГИЛ"</f>
        <v>Г НИЖНИЙ ТАГИЛ</v>
      </c>
      <c r="S967" t="str">
        <f>""</f>
        <v/>
      </c>
      <c r="T967" t="str">
        <f>"ПР-КТ ДЗЕРЖИНСКОГО"</f>
        <v>ПР-КТ ДЗЕРЖИНСКОГО</v>
      </c>
      <c r="U967" s="1" t="str">
        <f>"55"</f>
        <v>55</v>
      </c>
      <c r="V967" s="1" t="str">
        <f>""</f>
        <v/>
      </c>
      <c r="W967" s="1" t="str">
        <f>""</f>
        <v/>
      </c>
      <c r="X967" s="1" t="str">
        <f>""</f>
        <v/>
      </c>
      <c r="Y967" s="1" t="str">
        <f>"28"</f>
        <v>28</v>
      </c>
      <c r="Z967" t="str">
        <f>"3435363248"</f>
        <v>3435363248</v>
      </c>
      <c r="AA967" t="str">
        <f>"3435245272"</f>
        <v>3435245272</v>
      </c>
      <c r="AB967" t="str">
        <f>"9222043216"</f>
        <v>9222043216</v>
      </c>
      <c r="AC967" t="str">
        <f>"3435245272"</f>
        <v>3435245272</v>
      </c>
      <c r="AD967" t="str">
        <f>"9222043216"</f>
        <v>9222043216</v>
      </c>
      <c r="AE967" t="str">
        <f>"3435363248"</f>
        <v>3435363248</v>
      </c>
    </row>
    <row r="968" spans="1:31" x14ac:dyDescent="0.45">
      <c r="A968" t="str">
        <f>"РАХМАТУЛЛИН ИШМУРЗА ШАГИБАЛОВИЧ"</f>
        <v>РАХМАТУЛЛИН ИШМУРЗА ШАГИБАЛОВИЧ</v>
      </c>
      <c r="B968" t="str">
        <f>"1962-11-04"</f>
        <v>1962-11-04</v>
      </c>
      <c r="C968" t="str">
        <f>"80 12 710245"</f>
        <v>80 12 710245</v>
      </c>
      <c r="D968" t="str">
        <f>"5484011601675540"</f>
        <v>5484011601675540</v>
      </c>
      <c r="E968" t="str">
        <f t="shared" si="155"/>
        <v>2021-05-31</v>
      </c>
      <c r="F968" t="str">
        <f t="shared" si="154"/>
        <v>+</v>
      </c>
      <c r="G968" t="str">
        <f t="shared" si="154"/>
        <v>+</v>
      </c>
      <c r="H968" t="str">
        <f>"40817810116991425143"</f>
        <v>40817810116991425143</v>
      </c>
      <c r="I968" t="str">
        <f>"8598"</f>
        <v>8598</v>
      </c>
      <c r="J968" t="str">
        <f>"0724"</f>
        <v>0724</v>
      </c>
      <c r="K968" t="str">
        <f>"10000.00"</f>
        <v>10000.00</v>
      </c>
      <c r="L968" t="str">
        <f>"453832 РЕСП БАШКОРТОСТАН   Г СИБАЙ   УЛ ПИОНЕРСКАЯ д. 28"</f>
        <v>453832 РЕСП БАШКОРТОСТАН   Г СИБАЙ   УЛ ПИОНЕРСКАЯ д. 28</v>
      </c>
      <c r="M968" t="str">
        <f t="shared" si="153"/>
        <v>2019-08-24</v>
      </c>
      <c r="N968" t="str">
        <f>"ГБУ АВАРИЙНО-СПАСАТЕЛЬНАЯ СЛУЖБА РБ"</f>
        <v>ГБУ АВАРИЙНО-СПАСАТЕЛЬНАЯ СЛУЖБА РБ</v>
      </c>
      <c r="O968" t="str">
        <f>"453831"</f>
        <v>453831</v>
      </c>
      <c r="P968" t="str">
        <f>"РЕСП БАШКОРТОСТАН"</f>
        <v>РЕСП БАШКОРТОСТАН</v>
      </c>
      <c r="Q968" t="str">
        <f>""</f>
        <v/>
      </c>
      <c r="R968" t="str">
        <f>"Г СИБАЙ"</f>
        <v>Г СИБАЙ</v>
      </c>
      <c r="S968" t="str">
        <f>""</f>
        <v/>
      </c>
      <c r="T968" t="str">
        <f>"УЛ БАЙМАКСКАЯ"</f>
        <v>УЛ БАЙМАКСКАЯ</v>
      </c>
      <c r="U968" s="1" t="str">
        <f>"45"</f>
        <v>45</v>
      </c>
      <c r="V968" s="1" t="str">
        <f>""</f>
        <v/>
      </c>
      <c r="W968" s="1" t="str">
        <f>""</f>
        <v/>
      </c>
      <c r="X968" s="1" t="str">
        <f>""</f>
        <v/>
      </c>
      <c r="Y968" s="1" t="str">
        <f>""</f>
        <v/>
      </c>
      <c r="Z968" t="str">
        <f>"3477525055"</f>
        <v>3477525055</v>
      </c>
      <c r="AA968" t="str">
        <f>"9177709317"</f>
        <v>9177709317</v>
      </c>
      <c r="AB968" t="str">
        <f>"9177709317"</f>
        <v>9177709317</v>
      </c>
      <c r="AC968" t="str">
        <f>"9177709317"</f>
        <v>9177709317</v>
      </c>
      <c r="AD968" t="str">
        <f>"9177709317"</f>
        <v>9177709317</v>
      </c>
      <c r="AE968" t="str">
        <f>"3477525055"</f>
        <v>3477525055</v>
      </c>
    </row>
    <row r="969" spans="1:31" x14ac:dyDescent="0.45">
      <c r="A969" t="str">
        <f>"МАТВЕЕВСКИЙ СЕРГЕЙ АЛЕКСАНДРОВИЧ"</f>
        <v>МАТВЕЕВСКИЙ СЕРГЕЙ АЛЕКСАНДРОВИЧ</v>
      </c>
      <c r="B969" t="str">
        <f>"1958-06-13"</f>
        <v>1958-06-13</v>
      </c>
      <c r="C969" t="str">
        <f>"75 03 393149"</f>
        <v>75 03 393149</v>
      </c>
      <c r="D969" t="str">
        <f>"4279011663572561"</f>
        <v>4279011663572561</v>
      </c>
      <c r="E969" t="str">
        <f t="shared" si="155"/>
        <v>2021-05-31</v>
      </c>
      <c r="F969" t="str">
        <f t="shared" si="154"/>
        <v>+</v>
      </c>
      <c r="G969" t="str">
        <f t="shared" si="154"/>
        <v>+</v>
      </c>
      <c r="H969" t="str">
        <f>"40817810416991425144"</f>
        <v>40817810416991425144</v>
      </c>
      <c r="I969" t="str">
        <f>"8597"</f>
        <v>8597</v>
      </c>
      <c r="J969" t="str">
        <f>"7770"</f>
        <v>7770</v>
      </c>
      <c r="K969" t="str">
        <f>"45000.00"</f>
        <v>45000.00</v>
      </c>
      <c r="L969" t="str">
        <f>"454000 ОБЛ ЧЕЛЯБИНСКАЯ   Г ЧЕЛЯБИНСК   УЛ ЧИЧЕРИНА д. 36"</f>
        <v>454000 ОБЛ ЧЕЛЯБИНСКАЯ   Г ЧЕЛЯБИНСК   УЛ ЧИЧЕРИНА д. 36</v>
      </c>
      <c r="M969" t="str">
        <f t="shared" si="153"/>
        <v>2019-08-24</v>
      </c>
      <c r="N969" t="str">
        <f>"ООО ЭКОЛОГИЧЕСКИЙ ГАРАНТ"</f>
        <v>ООО ЭКОЛОГИЧЕСКИЙ ГАРАНТ</v>
      </c>
      <c r="O969" t="str">
        <f>"454000"</f>
        <v>454000</v>
      </c>
      <c r="P969" t="str">
        <f>"ОБЛ ЧЕЛЯБИНСКАЯ"</f>
        <v>ОБЛ ЧЕЛЯБИНСКАЯ</v>
      </c>
      <c r="Q969" t="str">
        <f>""</f>
        <v/>
      </c>
      <c r="R969" t="str">
        <f>"Г ЧЕЛЯБИНСК"</f>
        <v>Г ЧЕЛЯБИНСК</v>
      </c>
      <c r="S969" t="str">
        <f>""</f>
        <v/>
      </c>
      <c r="T969" t="str">
        <f>"УЛ ЧИЧЕРИНА"</f>
        <v>УЛ ЧИЧЕРИНА</v>
      </c>
      <c r="U969" s="1" t="str">
        <f>"36"</f>
        <v>36</v>
      </c>
      <c r="V969" s="1" t="str">
        <f>""</f>
        <v/>
      </c>
      <c r="W969" s="1" t="str">
        <f>""</f>
        <v/>
      </c>
      <c r="X969" s="1" t="str">
        <f>""</f>
        <v/>
      </c>
      <c r="Y969" s="1" t="str">
        <f>"252"</f>
        <v>252</v>
      </c>
      <c r="Z969" t="str">
        <f>"3517958812"</f>
        <v>3517958812</v>
      </c>
      <c r="AA969" t="str">
        <f>"0000000000"</f>
        <v>0000000000</v>
      </c>
      <c r="AB969" t="str">
        <f>"9080814362"</f>
        <v>9080814362</v>
      </c>
      <c r="AC969" t="str">
        <f>"0000000000"</f>
        <v>0000000000</v>
      </c>
      <c r="AD969" t="str">
        <f>"9080814362"</f>
        <v>9080814362</v>
      </c>
      <c r="AE969" t="str">
        <f>"3517958812"</f>
        <v>3517958812</v>
      </c>
    </row>
    <row r="970" spans="1:31" x14ac:dyDescent="0.45">
      <c r="A970" t="str">
        <f>"КАРГАПОЛЬЦЕВ ВАСИЛИЙ АЛЕКСЕЕВИЧ"</f>
        <v>КАРГАПОЛЬЦЕВ ВАСИЛИЙ АЛЕКСЕЕВИЧ</v>
      </c>
      <c r="B970" t="str">
        <f>"1972-11-11"</f>
        <v>1972-11-11</v>
      </c>
      <c r="C970" t="str">
        <f>"65 17 558007"</f>
        <v>65 17 558007</v>
      </c>
      <c r="D970" t="str">
        <f>"4279011652346738"</f>
        <v>4279011652346738</v>
      </c>
      <c r="E970" t="str">
        <f t="shared" si="155"/>
        <v>2021-05-31</v>
      </c>
      <c r="F970" t="str">
        <f t="shared" si="154"/>
        <v>+</v>
      </c>
      <c r="G970" t="str">
        <f t="shared" si="154"/>
        <v>+</v>
      </c>
      <c r="H970" t="str">
        <f>"40817810016991425146"</f>
        <v>40817810016991425146</v>
      </c>
      <c r="I970" t="str">
        <f>"7003"</f>
        <v>7003</v>
      </c>
      <c r="J970" t="str">
        <f>"0378"</f>
        <v>0378</v>
      </c>
      <c r="K970" t="str">
        <f>"60000.00"</f>
        <v>60000.00</v>
      </c>
      <c r="L970" t="str">
        <f>"620000 ОБЛ СВЕРДЛОВСКАЯ   Г ЕКАТЕРИНБУРГ   УЛ ОКРУЖНАЯ д. 3"</f>
        <v>620000 ОБЛ СВЕРДЛОВСКАЯ   Г ЕКАТЕРИНБУРГ   УЛ ОКРУЖНАЯ д. 3</v>
      </c>
      <c r="M970" t="str">
        <f t="shared" si="153"/>
        <v>2019-08-24</v>
      </c>
      <c r="N970" t="str">
        <f>"ООО АЛЬФА-МОБИЛЬ"</f>
        <v>ООО АЛЬФА-МОБИЛЬ</v>
      </c>
      <c r="O970" t="str">
        <f>"620000"</f>
        <v>620000</v>
      </c>
      <c r="P970" t="str">
        <f>"ОБЛ СВЕРДЛОВСКАЯ"</f>
        <v>ОБЛ СВЕРДЛОВСКАЯ</v>
      </c>
      <c r="Q970" t="str">
        <f>""</f>
        <v/>
      </c>
      <c r="R970" t="str">
        <f>"Г ЕКАТЕРИНБУРГ"</f>
        <v>Г ЕКАТЕРИНБУРГ</v>
      </c>
      <c r="S970" t="str">
        <f>""</f>
        <v/>
      </c>
      <c r="T970" t="str">
        <f>"УЛ НАЧДИВА ОНУФРИЕВА"</f>
        <v>УЛ НАЧДИВА ОНУФРИЕВА</v>
      </c>
      <c r="U970" s="1" t="str">
        <f>"34"</f>
        <v>34</v>
      </c>
      <c r="V970" s="1" t="str">
        <f>""</f>
        <v/>
      </c>
      <c r="W970" s="1" t="str">
        <f>""</f>
        <v/>
      </c>
      <c r="X970" s="1" t="str">
        <f>""</f>
        <v/>
      </c>
      <c r="Y970" s="1" t="str">
        <f>"50"</f>
        <v>50</v>
      </c>
      <c r="Z970" t="str">
        <f>"343 2628888"</f>
        <v>343 2628888</v>
      </c>
      <c r="AA970" t="str">
        <f>"3430000000"</f>
        <v>3430000000</v>
      </c>
      <c r="AB970" t="str">
        <f>"9530475959"</f>
        <v>9530475959</v>
      </c>
      <c r="AC970" t="str">
        <f>"3430000000"</f>
        <v>3430000000</v>
      </c>
      <c r="AD970" t="str">
        <f>"9530475959"</f>
        <v>9530475959</v>
      </c>
      <c r="AE970" t="str">
        <f>""</f>
        <v/>
      </c>
    </row>
    <row r="971" spans="1:31" x14ac:dyDescent="0.45">
      <c r="A971" t="str">
        <f>"МИРСАЕВ РАМЗИЛ РАИЛОВИЧ"</f>
        <v>МИРСАЕВ РАМЗИЛ РАИЛОВИЧ</v>
      </c>
      <c r="B971" t="str">
        <f>"1977-04-22"</f>
        <v>1977-04-22</v>
      </c>
      <c r="C971" t="str">
        <f>"80 04 252856"</f>
        <v>80 04 252856</v>
      </c>
      <c r="D971" t="str">
        <f>"5484011600722970"</f>
        <v>5484011600722970</v>
      </c>
      <c r="E971" t="str">
        <f t="shared" si="155"/>
        <v>2021-05-31</v>
      </c>
      <c r="F971" t="str">
        <f t="shared" si="154"/>
        <v>+</v>
      </c>
      <c r="G971" t="str">
        <f t="shared" si="154"/>
        <v>+</v>
      </c>
      <c r="H971" t="str">
        <f>"40817810616991425148"</f>
        <v>40817810616991425148</v>
      </c>
      <c r="I971" t="str">
        <f>"8598"</f>
        <v>8598</v>
      </c>
      <c r="J971" t="str">
        <f>"0724"</f>
        <v>0724</v>
      </c>
      <c r="K971" t="str">
        <f>"20000.00"</f>
        <v>20000.00</v>
      </c>
      <c r="L971" t="str">
        <f>"453613 РЕСП БАШКОРТОСТАН Р-Н АБЗЕЛИЛОВСКИЙ   С КУСИМОВСКОГО РУДНИКА УЛ ПОБЕДЫ д. 30"</f>
        <v>453613 РЕСП БАШКОРТОСТАН Р-Н АБЗЕЛИЛОВСКИЙ   С КУСИМОВСКОГО РУДНИКА УЛ ПОБЕДЫ д. 30</v>
      </c>
      <c r="M971" t="str">
        <f t="shared" si="153"/>
        <v>2019-08-24</v>
      </c>
      <c r="N971" t="str">
        <f>"ГБУ АВАРИЙНО-СПАСАТЕЛЬНАЯ СЛУЖБА РБ"</f>
        <v>ГБУ АВАРИЙНО-СПАСАТЕЛЬНАЯ СЛУЖБА РБ</v>
      </c>
      <c r="O971" t="str">
        <f>"453612"</f>
        <v>453612</v>
      </c>
      <c r="P971" t="str">
        <f>"РЕСП БАШКОРТОСТАН"</f>
        <v>РЕСП БАШКОРТОСТАН</v>
      </c>
      <c r="Q971" t="str">
        <f>"Р-Н АБЗЕЛИЛОВСКИЙ"</f>
        <v>Р-Н АБЗЕЛИЛОВСКИЙ</v>
      </c>
      <c r="R971" t="str">
        <f>""</f>
        <v/>
      </c>
      <c r="S971" t="str">
        <f>"С ТАШБУЛАТОВО"</f>
        <v>С ТАШБУЛАТОВО</v>
      </c>
      <c r="T971" t="str">
        <f>"УЛ МОЛОДЕЖНАЯ"</f>
        <v>УЛ МОЛОДЕЖНАЯ</v>
      </c>
      <c r="U971" s="1" t="str">
        <f>"66"</f>
        <v>66</v>
      </c>
      <c r="V971" s="1" t="str">
        <f>""</f>
        <v/>
      </c>
      <c r="W971" s="1" t="str">
        <f>""</f>
        <v/>
      </c>
      <c r="X971" s="1" t="str">
        <f>""</f>
        <v/>
      </c>
      <c r="Y971" s="1" t="str">
        <f>""</f>
        <v/>
      </c>
      <c r="Z971" t="str">
        <f>"3477223618"</f>
        <v>3477223618</v>
      </c>
      <c r="AA971" t="str">
        <f>"9068535243"</f>
        <v>9068535243</v>
      </c>
      <c r="AB971" t="str">
        <f>"9610389156"</f>
        <v>9610389156</v>
      </c>
      <c r="AC971" t="str">
        <f>"9068535243"</f>
        <v>9068535243</v>
      </c>
      <c r="AD971" t="str">
        <f>"9068535243"</f>
        <v>9068535243</v>
      </c>
      <c r="AE971" t="str">
        <f>"3477223619"</f>
        <v>3477223619</v>
      </c>
    </row>
    <row r="972" spans="1:31" x14ac:dyDescent="0.45">
      <c r="A972" t="str">
        <f>"БЫКОВ КОНСТАНТИН НИКОЛАЕВИЧ"</f>
        <v>БЫКОВ КОНСТАНТИН НИКОЛАЕВИЧ</v>
      </c>
      <c r="B972" t="str">
        <f>"1976-12-13"</f>
        <v>1976-12-13</v>
      </c>
      <c r="C972" t="str">
        <f>"65 03 665428"</f>
        <v>65 03 665428</v>
      </c>
      <c r="D972" t="str">
        <f>"4279011685865480"</f>
        <v>4279011685865480</v>
      </c>
      <c r="E972" t="str">
        <f t="shared" si="155"/>
        <v>2021-05-31</v>
      </c>
      <c r="F972" t="str">
        <f t="shared" si="154"/>
        <v>+</v>
      </c>
      <c r="G972" t="str">
        <f t="shared" si="154"/>
        <v>+</v>
      </c>
      <c r="H972" t="str">
        <f>"40817810616991425151"</f>
        <v>40817810616991425151</v>
      </c>
      <c r="I972" t="str">
        <f>"7003"</f>
        <v>7003</v>
      </c>
      <c r="J972" t="str">
        <f>"0320"</f>
        <v>0320</v>
      </c>
      <c r="K972" t="str">
        <f>"33000.00"</f>
        <v>33000.00</v>
      </c>
      <c r="L972" t="str">
        <f>"620000 ОБЛ СВЕРДЛОВСКАЯ   Г ЕКАТЕРИНБУРГ   УЛ ПЕРВОМАЙСКАЯ д. 107"</f>
        <v>620000 ОБЛ СВЕРДЛОВСКАЯ   Г ЕКАТЕРИНБУРГ   УЛ ПЕРВОМАЙСКАЯ д. 107</v>
      </c>
      <c r="M972" t="str">
        <f t="shared" si="153"/>
        <v>2019-08-24</v>
      </c>
      <c r="N972" t="str">
        <f>"ООО ТИП ТОП"</f>
        <v>ООО ТИП ТОП</v>
      </c>
      <c r="O972" t="str">
        <f>"620000"</f>
        <v>620000</v>
      </c>
      <c r="P972" t="str">
        <f>"ОБЛ СВЕРДЛОВСКАЯ"</f>
        <v>ОБЛ СВЕРДЛОВСКАЯ</v>
      </c>
      <c r="Q972" t="str">
        <f>""</f>
        <v/>
      </c>
      <c r="R972" t="str">
        <f>"Г ЕКАТЕРИНБУРГ"</f>
        <v>Г ЕКАТЕРИНБУРГ</v>
      </c>
      <c r="S972" t="str">
        <f>""</f>
        <v/>
      </c>
      <c r="T972" t="str">
        <f>"УЛ РАЕВСКОГО"</f>
        <v>УЛ РАЕВСКОГО</v>
      </c>
      <c r="U972" s="1" t="str">
        <f>"14"</f>
        <v>14</v>
      </c>
      <c r="V972" s="1" t="str">
        <f>""</f>
        <v/>
      </c>
      <c r="W972" s="1" t="str">
        <f>""</f>
        <v/>
      </c>
      <c r="X972" s="1" t="str">
        <f>""</f>
        <v/>
      </c>
      <c r="Y972" s="1" t="str">
        <f>"8"</f>
        <v>8</v>
      </c>
      <c r="Z972" t="str">
        <f>""</f>
        <v/>
      </c>
      <c r="AA972" t="str">
        <f>"9030787344"</f>
        <v>9030787344</v>
      </c>
      <c r="AB972" t="str">
        <f>"9030787344"</f>
        <v>9030787344</v>
      </c>
      <c r="AC972" t="str">
        <f>"9030787344"</f>
        <v>9030787344</v>
      </c>
      <c r="AD972" t="str">
        <f>"9030787344"</f>
        <v>9030787344</v>
      </c>
      <c r="AE972" t="str">
        <f>""</f>
        <v/>
      </c>
    </row>
    <row r="973" spans="1:31" x14ac:dyDescent="0.45">
      <c r="A973" t="str">
        <f>"ЖУКОВ ИВАН ВЛАДИМИРОВИЧ"</f>
        <v>ЖУКОВ ИВАН ВЛАДИМИРОВИЧ</v>
      </c>
      <c r="B973" t="str">
        <f>"1991-02-07"</f>
        <v>1991-02-07</v>
      </c>
      <c r="C973" t="str">
        <f>"75 10 781213"</f>
        <v>75 10 781213</v>
      </c>
      <c r="D973" t="str">
        <f>"4279011697555657"</f>
        <v>4279011697555657</v>
      </c>
      <c r="E973" t="str">
        <f t="shared" si="155"/>
        <v>2021-05-31</v>
      </c>
      <c r="F973" t="str">
        <f>"K"</f>
        <v>K</v>
      </c>
      <c r="G973" t="str">
        <f>"+"</f>
        <v>+</v>
      </c>
      <c r="H973" t="str">
        <f>"40817810216991425153"</f>
        <v>40817810216991425153</v>
      </c>
      <c r="I973" t="str">
        <f>"8597"</f>
        <v>8597</v>
      </c>
      <c r="J973" t="str">
        <f>"0274"</f>
        <v>0274</v>
      </c>
      <c r="K973" t="str">
        <f>"30000.00"</f>
        <v>30000.00</v>
      </c>
      <c r="L973" t="str">
        <f>"454000 ОБЛ ЧЕЛЯБИНСКАЯ   Г ЧЕЛЯБИНСК   УЛ МАШИНОСТРОИТЕЛЕЙ д. 21 корп. 1"</f>
        <v>454000 ОБЛ ЧЕЛЯБИНСКАЯ   Г ЧЕЛЯБИНСК   УЛ МАШИНОСТРОИТЕЛЕЙ д. 21 корп. 1</v>
      </c>
      <c r="M973" t="str">
        <f t="shared" si="153"/>
        <v>2019-08-24</v>
      </c>
      <c r="N973" t="str">
        <f>"НПО ЭЛЕТРОМАШИНА"</f>
        <v>НПО ЭЛЕТРОМАШИНА</v>
      </c>
      <c r="O973" t="str">
        <f>"454000"</f>
        <v>454000</v>
      </c>
      <c r="P973" t="str">
        <f>"ОБЛ ЧЕЛЯБИНСКАЯ"</f>
        <v>ОБЛ ЧЕЛЯБИНСКАЯ</v>
      </c>
      <c r="Q973" t="str">
        <f>""</f>
        <v/>
      </c>
      <c r="R973" t="str">
        <f>"Г АША"</f>
        <v>Г АША</v>
      </c>
      <c r="S973" t="str">
        <f>""</f>
        <v/>
      </c>
      <c r="T973" t="str">
        <f>"УЛ КРАСНОФЛОТЦЕВ"</f>
        <v>УЛ КРАСНОФЛОТЦЕВ</v>
      </c>
      <c r="U973" s="1" t="str">
        <f>"1А"</f>
        <v>1А</v>
      </c>
      <c r="V973" s="1" t="str">
        <f>""</f>
        <v/>
      </c>
      <c r="W973" s="1" t="str">
        <f>""</f>
        <v/>
      </c>
      <c r="X973" s="1" t="str">
        <f>""</f>
        <v/>
      </c>
      <c r="Y973" s="1" t="str">
        <f>"41"</f>
        <v>41</v>
      </c>
      <c r="Z973" t="str">
        <f>"+7 (351) 2552246"</f>
        <v>+7 (351) 2552246</v>
      </c>
      <c r="AA973" t="str">
        <f>"+7 (952) 5022444"</f>
        <v>+7 (952) 5022444</v>
      </c>
      <c r="AB973" t="str">
        <f>"+7 (952) 5022444"</f>
        <v>+7 (952) 5022444</v>
      </c>
      <c r="AC973" t="str">
        <f>"9525022444"</f>
        <v>9525022444</v>
      </c>
      <c r="AD973" t="str">
        <f>"9525022444"</f>
        <v>9525022444</v>
      </c>
      <c r="AE973" t="str">
        <f>""</f>
        <v/>
      </c>
    </row>
    <row r="974" spans="1:31" x14ac:dyDescent="0.45">
      <c r="A974" t="str">
        <f>"ФЕДУЛОВА ГАЛИНА АНАТОЛЬЕВНА"</f>
        <v>ФЕДУЛОВА ГАЛИНА АНАТОЛЬЕВНА</v>
      </c>
      <c r="B974" t="str">
        <f>"1968-11-11"</f>
        <v>1968-11-11</v>
      </c>
      <c r="C974" t="str">
        <f>"65 13 721889"</f>
        <v>65 13 721889</v>
      </c>
      <c r="D974" t="str">
        <f>"4279011635453734"</f>
        <v>4279011635453734</v>
      </c>
      <c r="E974" t="str">
        <f t="shared" si="155"/>
        <v>2021-05-31</v>
      </c>
      <c r="F974" t="str">
        <f>"+"</f>
        <v>+</v>
      </c>
      <c r="G974" t="str">
        <f>"+"</f>
        <v>+</v>
      </c>
      <c r="H974" t="str">
        <f>"40817810316991425163"</f>
        <v>40817810316991425163</v>
      </c>
      <c r="I974" t="str">
        <f>"7003"</f>
        <v>7003</v>
      </c>
      <c r="J974" t="str">
        <f>"0518"</f>
        <v>0518</v>
      </c>
      <c r="K974" t="str">
        <f>"15000.00"</f>
        <v>15000.00</v>
      </c>
      <c r="L974" t="str">
        <f>"620000 ОБЛ СВЕРДЛОВСКАЯ   Г РЕЖ   УЛ СВЕРДЛОВА д. 20 кв. 0"</f>
        <v>620000 ОБЛ СВЕРДЛОВСКАЯ   Г РЕЖ   УЛ СВЕРДЛОВА д. 20 кв. 0</v>
      </c>
      <c r="M974" t="str">
        <f t="shared" si="153"/>
        <v>2019-08-24</v>
      </c>
      <c r="N974" t="str">
        <f>"ФГКУ УВО ВНГ РОССИИ ПО СВЕРДЛОВСКОЙ ОБЛАСТИ"</f>
        <v>ФГКУ УВО ВНГ РОССИИ ПО СВЕРДЛОВСКОЙ ОБЛАСТИ</v>
      </c>
      <c r="O974" t="str">
        <f>"620000"</f>
        <v>620000</v>
      </c>
      <c r="P974" t="str">
        <f>"ОБЛ СВЕРДЛОВСКАЯ"</f>
        <v>ОБЛ СВЕРДЛОВСКАЯ</v>
      </c>
      <c r="Q974" t="str">
        <f>""</f>
        <v/>
      </c>
      <c r="R974" t="str">
        <f>"Г РЕЖ"</f>
        <v>Г РЕЖ</v>
      </c>
      <c r="S974" t="str">
        <f>""</f>
        <v/>
      </c>
      <c r="T974" t="str">
        <f>"УЛ ГОГОЛЯ"</f>
        <v>УЛ ГОГОЛЯ</v>
      </c>
      <c r="U974" s="1" t="str">
        <f>"24"</f>
        <v>24</v>
      </c>
      <c r="V974" s="1" t="str">
        <f>""</f>
        <v/>
      </c>
      <c r="W974" s="1" t="str">
        <f>""</f>
        <v/>
      </c>
      <c r="X974" s="1" t="str">
        <f>""</f>
        <v/>
      </c>
      <c r="Y974" s="1" t="str">
        <f>"0"</f>
        <v>0</v>
      </c>
      <c r="Z974" t="str">
        <f>""</f>
        <v/>
      </c>
      <c r="AA974" t="str">
        <f>"9506579608"</f>
        <v>9506579608</v>
      </c>
      <c r="AB974" t="str">
        <f>"9506579608"</f>
        <v>9506579608</v>
      </c>
      <c r="AC974" t="str">
        <f>"9506579608"</f>
        <v>9506579608</v>
      </c>
      <c r="AD974" t="str">
        <f>"9506579608"</f>
        <v>9506579608</v>
      </c>
      <c r="AE974" t="str">
        <f>""</f>
        <v/>
      </c>
    </row>
    <row r="975" spans="1:31" x14ac:dyDescent="0.45">
      <c r="A975" t="str">
        <f>"ШАРИФИСЛАМОВ ФАТКИНУР НИГАМАТЬЯНОВИЧ"</f>
        <v>ШАРИФИСЛАМОВ ФАТКИНУР НИГАМАТЬЯНОВИЧ</v>
      </c>
      <c r="B975" t="str">
        <f>"1963-01-14"</f>
        <v>1963-01-14</v>
      </c>
      <c r="C975" t="str">
        <f>"65 08 449760"</f>
        <v>65 08 449760</v>
      </c>
      <c r="D975" t="str">
        <f>"4279011666705705"</f>
        <v>4279011666705705</v>
      </c>
      <c r="E975" t="str">
        <f t="shared" si="155"/>
        <v>2021-05-31</v>
      </c>
      <c r="F975" t="str">
        <f>"+"</f>
        <v>+</v>
      </c>
      <c r="G975" t="str">
        <f>"+"</f>
        <v>+</v>
      </c>
      <c r="H975" t="str">
        <f>"40817810616991425164"</f>
        <v>40817810616991425164</v>
      </c>
      <c r="I975" t="str">
        <f>"7003"</f>
        <v>7003</v>
      </c>
      <c r="J975" t="str">
        <f>"7770"</f>
        <v>7770</v>
      </c>
      <c r="K975" t="str">
        <f>"63000.00"</f>
        <v>63000.00</v>
      </c>
      <c r="L975" t="str">
        <f>"620000 ОБЛ СВЕРДЛОВСКАЯ   Г ЕКАТЕРИНБУРГ   ПР-КТ КОСМОНАВТОВ д. 18"</f>
        <v>620000 ОБЛ СВЕРДЛОВСКАЯ   Г ЕКАТЕРИНБУРГ   ПР-КТ КОСМОНАВТОВ д. 18</v>
      </c>
      <c r="M975" t="str">
        <f t="shared" si="153"/>
        <v>2019-08-24</v>
      </c>
      <c r="N975" t="str">
        <f>"АО ОКБ НОВАТОР"</f>
        <v>АО ОКБ НОВАТОР</v>
      </c>
      <c r="O975" t="str">
        <f>"620000"</f>
        <v>620000</v>
      </c>
      <c r="P975" t="str">
        <f>"ОБЛ СВЕРДЛОВСКАЯ"</f>
        <v>ОБЛ СВЕРДЛОВСКАЯ</v>
      </c>
      <c r="Q975" t="str">
        <f>""</f>
        <v/>
      </c>
      <c r="R975" t="str">
        <f>"Г ЕКАТЕРИНБУРГ"</f>
        <v>Г ЕКАТЕРИНБУРГ</v>
      </c>
      <c r="S975" t="str">
        <f>""</f>
        <v/>
      </c>
      <c r="T975" t="str">
        <f>"УЛ СТАЧЕК"</f>
        <v>УЛ СТАЧЕК</v>
      </c>
      <c r="U975" s="1" t="str">
        <f>"55"</f>
        <v>55</v>
      </c>
      <c r="V975" s="1" t="str">
        <f>""</f>
        <v/>
      </c>
      <c r="W975" s="1" t="str">
        <f>""</f>
        <v/>
      </c>
      <c r="X975" s="1" t="str">
        <f>""</f>
        <v/>
      </c>
      <c r="Y975" s="1" t="str">
        <f>"337"</f>
        <v>337</v>
      </c>
      <c r="Z975" t="str">
        <f>"3433821211"</f>
        <v>3433821211</v>
      </c>
      <c r="AA975" t="str">
        <f>"9826033555"</f>
        <v>9826033555</v>
      </c>
      <c r="AB975" t="str">
        <f>"9826033555"</f>
        <v>9826033555</v>
      </c>
      <c r="AC975" t="str">
        <f>"9826033555"</f>
        <v>9826033555</v>
      </c>
      <c r="AD975" t="str">
        <f>"9826033555"</f>
        <v>9826033555</v>
      </c>
      <c r="AE975" t="str">
        <f>"3433821211"</f>
        <v>3433821211</v>
      </c>
    </row>
    <row r="976" spans="1:31" x14ac:dyDescent="0.45">
      <c r="A976" t="str">
        <f>"КОКАЯ ЛЮБОВЬ СЕРГЕЕВНА"</f>
        <v>КОКАЯ ЛЮБОВЬ СЕРГЕЕВНА</v>
      </c>
      <c r="B976" t="str">
        <f>"1963-08-16"</f>
        <v>1963-08-16</v>
      </c>
      <c r="C976" t="str">
        <f>"71 08 645693"</f>
        <v>71 08 645693</v>
      </c>
      <c r="D976" t="str">
        <f>"4854630377060689"</f>
        <v>4854630377060689</v>
      </c>
      <c r="E976" t="str">
        <f>"2021-04-30"</f>
        <v>2021-04-30</v>
      </c>
      <c r="F976" t="str">
        <f>"+"</f>
        <v>+</v>
      </c>
      <c r="G976" t="str">
        <f>"+"</f>
        <v>+</v>
      </c>
      <c r="H976" t="str">
        <f>"40817810416992244887"</f>
        <v>40817810416992244887</v>
      </c>
      <c r="I976" t="str">
        <f>"8647"</f>
        <v>8647</v>
      </c>
      <c r="J976" t="str">
        <f>"0102"</f>
        <v>0102</v>
      </c>
      <c r="K976" t="str">
        <f>"50000.00"</f>
        <v>50000.00</v>
      </c>
      <c r="L976" t="str">
        <f>"625000 ОБЛ ТЮМЕНСКАЯ   Г ТЮМЕНЬ   УЛ КУЙБЫШЕВА д. 63А"</f>
        <v>625000 ОБЛ ТЮМЕНСКАЯ   Г ТЮМЕНЬ   УЛ КУЙБЫШЕВА д. 63А</v>
      </c>
      <c r="M976" t="str">
        <f t="shared" si="153"/>
        <v>2019-08-24</v>
      </c>
      <c r="N976" t="str">
        <f>"ПЕНСИОНЕР"</f>
        <v>ПЕНСИОНЕР</v>
      </c>
      <c r="O976" t="str">
        <f>"625000"</f>
        <v>625000</v>
      </c>
      <c r="P976" t="str">
        <f>"ОБЛ ТЮМЕНСКАЯ"</f>
        <v>ОБЛ ТЮМЕНСКАЯ</v>
      </c>
      <c r="Q976" t="str">
        <f>""</f>
        <v/>
      </c>
      <c r="R976" t="str">
        <f>"Г ТЮМЕНЬ"</f>
        <v>Г ТЮМЕНЬ</v>
      </c>
      <c r="S976" t="str">
        <f>""</f>
        <v/>
      </c>
      <c r="T976" t="str">
        <f>"УЛ КУЙБЫШЕВА"</f>
        <v>УЛ КУЙБЫШЕВА</v>
      </c>
      <c r="U976" s="1" t="str">
        <f>"63А"</f>
        <v>63А</v>
      </c>
      <c r="V976" s="1" t="str">
        <f>""</f>
        <v/>
      </c>
      <c r="W976" s="1" t="str">
        <f>""</f>
        <v/>
      </c>
      <c r="X976" s="1" t="str">
        <f>""</f>
        <v/>
      </c>
      <c r="Y976" s="1" t="str">
        <f>""</f>
        <v/>
      </c>
      <c r="Z976" t="str">
        <f>"9526741076"</f>
        <v>9526741076</v>
      </c>
      <c r="AA976" t="str">
        <f>"9526741076"</f>
        <v>9526741076</v>
      </c>
      <c r="AB976" t="str">
        <f>"9068223372"</f>
        <v>9068223372</v>
      </c>
      <c r="AC976" t="str">
        <f>"9526741076"</f>
        <v>9526741076</v>
      </c>
      <c r="AD976" t="str">
        <f>"9068223372"</f>
        <v>9068223372</v>
      </c>
      <c r="AE976" t="str">
        <f>"9526741076"</f>
        <v>9526741076</v>
      </c>
    </row>
    <row r="977" spans="1:31" x14ac:dyDescent="0.45">
      <c r="A977" t="str">
        <f>"ХАНЕВСКАЯ ЕЛЕНА ГЕННАДЬЕВНА"</f>
        <v>ХАНЕВСКАЯ ЕЛЕНА ГЕННАДЬЕВНА</v>
      </c>
      <c r="B977" t="str">
        <f>"1968-06-06"</f>
        <v>1968-06-06</v>
      </c>
      <c r="C977" t="str">
        <f>"75 13 268135"</f>
        <v>75 13 268135</v>
      </c>
      <c r="D977" t="str">
        <f>"4854630221762001"</f>
        <v>4854630221762001</v>
      </c>
      <c r="E977" t="str">
        <f>"2021-04-30"</f>
        <v>2021-04-30</v>
      </c>
      <c r="F977" t="str">
        <f>"+"</f>
        <v>+</v>
      </c>
      <c r="G977" t="str">
        <f>"+"</f>
        <v>+</v>
      </c>
      <c r="H977" t="str">
        <f>"40817810716991428265"</f>
        <v>40817810716991428265</v>
      </c>
      <c r="I977" t="str">
        <f>"8597"</f>
        <v>8597</v>
      </c>
      <c r="J977" t="str">
        <f>"0528"</f>
        <v>0528</v>
      </c>
      <c r="K977" t="str">
        <f>"12000.00"</f>
        <v>12000.00</v>
      </c>
      <c r="L977" t="str">
        <f>"454000 ОБЛ ЧЕЛЯБИНСКАЯ   Г МИАСС   ПР-КТ АВТОЗАВОДЦЕВ д. 15А"</f>
        <v>454000 ОБЛ ЧЕЛЯБИНСКАЯ   Г МИАСС   ПР-КТ АВТОЗАВОДЦЕВ д. 15А</v>
      </c>
      <c r="M977" t="str">
        <f t="shared" si="153"/>
        <v>2019-08-24</v>
      </c>
      <c r="N977" t="str">
        <f>"УПФР"</f>
        <v>УПФР</v>
      </c>
      <c r="O977" t="str">
        <f>"454000"</f>
        <v>454000</v>
      </c>
      <c r="P977" t="str">
        <f>"ОБЛ ЧЕЛЯБИНСКАЯ"</f>
        <v>ОБЛ ЧЕЛЯБИНСКАЯ</v>
      </c>
      <c r="Q977" t="str">
        <f>""</f>
        <v/>
      </c>
      <c r="R977" t="str">
        <f>"Г МИАСС"</f>
        <v>Г МИАСС</v>
      </c>
      <c r="S977" t="str">
        <f>""</f>
        <v/>
      </c>
      <c r="T977" t="str">
        <f>"УЛ АКАДЕМИКА ПАВЛОВА"</f>
        <v>УЛ АКАДЕМИКА ПАВЛОВА</v>
      </c>
      <c r="U977" s="1" t="str">
        <f>"28"</f>
        <v>28</v>
      </c>
      <c r="V977" s="1" t="str">
        <f>""</f>
        <v/>
      </c>
      <c r="W977" s="1" t="str">
        <f>""</f>
        <v/>
      </c>
      <c r="X977" s="1" t="str">
        <f>""</f>
        <v/>
      </c>
      <c r="Y977" s="1" t="str">
        <f>"49"</f>
        <v>49</v>
      </c>
      <c r="Z977" t="str">
        <f>""</f>
        <v/>
      </c>
      <c r="AA977" t="str">
        <f>"9517925434"</f>
        <v>9517925434</v>
      </c>
      <c r="AB977" t="str">
        <f>"9193066136"</f>
        <v>9193066136</v>
      </c>
      <c r="AC977" t="str">
        <f>"9517925434"</f>
        <v>9517925434</v>
      </c>
      <c r="AD977" t="str">
        <f>"9193066136"</f>
        <v>9193066136</v>
      </c>
      <c r="AE977" t="str">
        <f>""</f>
        <v/>
      </c>
    </row>
    <row r="978" spans="1:31" x14ac:dyDescent="0.45">
      <c r="A978" t="str">
        <f>"СТЕПАНОВ АЛЕКСАНДР РАДИСЛАВОВИЧ"</f>
        <v>СТЕПАНОВ АЛЕКСАНДР РАДИСЛАВОВИЧ</v>
      </c>
      <c r="B978" t="str">
        <f>"1990-05-26"</f>
        <v>1990-05-26</v>
      </c>
      <c r="C978" t="str">
        <f>"80 10 069407"</f>
        <v>80 10 069407</v>
      </c>
      <c r="D978" t="str">
        <f>"4854630396700729"</f>
        <v>4854630396700729</v>
      </c>
      <c r="E978" t="str">
        <f>"2021-04-30"</f>
        <v>2021-04-30</v>
      </c>
      <c r="F978" t="str">
        <f>"Q"</f>
        <v>Q</v>
      </c>
      <c r="G978" t="str">
        <f>"Q"</f>
        <v>Q</v>
      </c>
      <c r="H978" t="str">
        <f>"40817810216991428286"</f>
        <v>40817810216991428286</v>
      </c>
      <c r="I978" t="str">
        <f>"8598"</f>
        <v>8598</v>
      </c>
      <c r="J978" t="str">
        <f>"0384"</f>
        <v>0384</v>
      </c>
      <c r="K978" t="str">
        <f>"0.00"</f>
        <v>0.00</v>
      </c>
      <c r="L978" t="str">
        <f>"453100 РЕСП БАШКОРТОСТАН   Г СТЕРЛИТАМАК   УЛ БАБУШКИНА д. 171"</f>
        <v>453100 РЕСП БАШКОРТОСТАН   Г СТЕРЛИТАМАК   УЛ БАБУШКИНА д. 171</v>
      </c>
      <c r="M978" t="str">
        <f t="shared" si="153"/>
        <v>2019-08-24</v>
      </c>
      <c r="N978" t="str">
        <f>"06600436"</f>
        <v>06600436</v>
      </c>
      <c r="O978" t="str">
        <f>"453100"</f>
        <v>453100</v>
      </c>
      <c r="P978" t="str">
        <f>"РЕСП БАШКОРТОСТАН"</f>
        <v>РЕСП БАШКОРТОСТАН</v>
      </c>
      <c r="Q978" t="str">
        <f>"Р-Н АУРГАЗИНСКИЙ"</f>
        <v>Р-Н АУРГАЗИНСКИЙ</v>
      </c>
      <c r="R978" t="str">
        <f>""</f>
        <v/>
      </c>
      <c r="S978" t="str">
        <f>"Д ТРУДОВКА"</f>
        <v>Д ТРУДОВКА</v>
      </c>
      <c r="T978" t="str">
        <f>"УЛ МАЛАХОВА"</f>
        <v>УЛ МАЛАХОВА</v>
      </c>
      <c r="U978" s="1" t="str">
        <f>"18"</f>
        <v>18</v>
      </c>
      <c r="V978" s="1" t="str">
        <f>""</f>
        <v/>
      </c>
      <c r="W978" s="1" t="str">
        <f>""</f>
        <v/>
      </c>
      <c r="X978" s="1" t="str">
        <f>""</f>
        <v/>
      </c>
      <c r="Y978" s="1" t="str">
        <f>""</f>
        <v/>
      </c>
      <c r="Z978" t="str">
        <f>"9875806775"</f>
        <v>9875806775</v>
      </c>
      <c r="AA978" t="str">
        <f>"9875806775"</f>
        <v>9875806775</v>
      </c>
      <c r="AB978" t="str">
        <f>"9875806775"</f>
        <v>9875806775</v>
      </c>
      <c r="AC978" t="str">
        <f>"9875806775"</f>
        <v>9875806775</v>
      </c>
      <c r="AD978" t="str">
        <f>"9875806775"</f>
        <v>9875806775</v>
      </c>
      <c r="AE978" t="str">
        <f>"9875806775"</f>
        <v>9875806775</v>
      </c>
    </row>
    <row r="979" spans="1:31" x14ac:dyDescent="0.45">
      <c r="A979" t="str">
        <f>"ОРЛОВА ТАТЬЯНА ЯКОВЛЕВНА"</f>
        <v>ОРЛОВА ТАТЬЯНА ЯКОВЛЕВНА</v>
      </c>
      <c r="B979" t="str">
        <f>"1956-03-04"</f>
        <v>1956-03-04</v>
      </c>
      <c r="C979" t="str">
        <f>"75 00 808117"</f>
        <v>75 00 808117</v>
      </c>
      <c r="D979" t="str">
        <f>"4854630424035726"</f>
        <v>4854630424035726</v>
      </c>
      <c r="E979" t="str">
        <f>"2021-04-30"</f>
        <v>2021-04-30</v>
      </c>
      <c r="F979" t="str">
        <f>"+"</f>
        <v>+</v>
      </c>
      <c r="G979" t="str">
        <f>"+"</f>
        <v>+</v>
      </c>
      <c r="H979" t="str">
        <f>"40817810916991428308"</f>
        <v>40817810916991428308</v>
      </c>
      <c r="I979" t="str">
        <f>"8597"</f>
        <v>8597</v>
      </c>
      <c r="J979" t="str">
        <f>"0300"</f>
        <v>0300</v>
      </c>
      <c r="K979" t="str">
        <f>"180000.00"</f>
        <v>180000.00</v>
      </c>
      <c r="L979" t="str">
        <f>"454000 ОБЛ ЧЕЛЯБИНСКАЯ   Г КОПЕЙСК   УЛ ОРДЖОНИКИДЗЕ д. 11 кв. 1"</f>
        <v>454000 ОБЛ ЧЕЛЯБИНСКАЯ   Г КОПЕЙСК   УЛ ОРДЖОНИКИДЗЕ д. 11 кв. 1</v>
      </c>
      <c r="M979" t="str">
        <f t="shared" si="153"/>
        <v>2019-08-24</v>
      </c>
      <c r="N979" t="str">
        <f>"ПЕНСИОНЕР"</f>
        <v>ПЕНСИОНЕР</v>
      </c>
      <c r="O979" t="str">
        <f>"456622"</f>
        <v>456622</v>
      </c>
      <c r="P979" t="str">
        <f>"ОБЛ ЧЕЛЯБИНСКАЯ"</f>
        <v>ОБЛ ЧЕЛЯБИНСКАЯ</v>
      </c>
      <c r="Q979" t="str">
        <f>""</f>
        <v/>
      </c>
      <c r="R979" t="str">
        <f>"Г КОПЕЙСК"</f>
        <v>Г КОПЕЙСК</v>
      </c>
      <c r="S979" t="str">
        <f>""</f>
        <v/>
      </c>
      <c r="T979" t="str">
        <f>"УЛ ОРДЖОНИКИДЗЕ"</f>
        <v>УЛ ОРДЖОНИКИДЗЕ</v>
      </c>
      <c r="U979" s="1" t="str">
        <f>"11"</f>
        <v>11</v>
      </c>
      <c r="V979" s="1" t="str">
        <f>""</f>
        <v/>
      </c>
      <c r="W979" s="1" t="str">
        <f>""</f>
        <v/>
      </c>
      <c r="X979" s="1" t="str">
        <f>""</f>
        <v/>
      </c>
      <c r="Y979" s="1" t="str">
        <f>"1"</f>
        <v>1</v>
      </c>
      <c r="Z979" t="str">
        <f>"+7 (919) 1208685"</f>
        <v>+7 (919) 1208685</v>
      </c>
      <c r="AA979" t="str">
        <f>"+7 (919) 4045449"</f>
        <v>+7 (919) 4045449</v>
      </c>
      <c r="AB979" t="str">
        <f>"+7 (919) 1208685"</f>
        <v>+7 (919) 1208685</v>
      </c>
      <c r="AC979" t="str">
        <f>"9194045449"</f>
        <v>9194045449</v>
      </c>
      <c r="AD979" t="str">
        <f>"9194045449"</f>
        <v>9194045449</v>
      </c>
      <c r="AE979" t="str">
        <f>"9191208685"</f>
        <v>9191208685</v>
      </c>
    </row>
    <row r="980" spans="1:31" x14ac:dyDescent="0.45">
      <c r="A980" t="str">
        <f>"ХОЗОВА МАРИНА НИКОЛАЕВНА"</f>
        <v>ХОЗОВА МАРИНА НИКОЛАЕВНА</v>
      </c>
      <c r="B980" t="str">
        <f>"1984-03-20"</f>
        <v>1984-03-20</v>
      </c>
      <c r="C980" t="str">
        <f>"75 04 082918"</f>
        <v>75 04 082918</v>
      </c>
      <c r="D980" t="str">
        <f>"4854630428664968"</f>
        <v>4854630428664968</v>
      </c>
      <c r="E980" t="str">
        <f>"2020-11-30"</f>
        <v>2020-11-30</v>
      </c>
      <c r="F980" t="str">
        <f>"+"</f>
        <v>+</v>
      </c>
      <c r="G980" t="str">
        <f>"+"</f>
        <v>+</v>
      </c>
      <c r="H980" t="str">
        <f>"40817810816991428330"</f>
        <v>40817810816991428330</v>
      </c>
      <c r="I980" t="str">
        <f>"8597"</f>
        <v>8597</v>
      </c>
      <c r="J980" t="str">
        <f>"0275"</f>
        <v>0275</v>
      </c>
      <c r="K980" t="str">
        <f>"20000.00"</f>
        <v>20000.00</v>
      </c>
      <c r="L980" t="str">
        <f>"454000 ОБЛ ЧЕЛЯБИНСКАЯ   Г ЧЕЛЯБИНСК   ТРАКТ ТРОИЦКИЙ д. 9"</f>
        <v>454000 ОБЛ ЧЕЛЯБИНСКАЯ   Г ЧЕЛЯБИНСК   ТРАКТ ТРОИЦКИЙ д. 9</v>
      </c>
      <c r="M980" t="str">
        <f t="shared" si="153"/>
        <v>2019-08-24</v>
      </c>
      <c r="N980" t="s">
        <v>70</v>
      </c>
      <c r="O980" t="str">
        <f>"454000"</f>
        <v>454000</v>
      </c>
      <c r="P980" t="str">
        <f>"ОБЛ ЧЕЛЯБИНСКАЯ"</f>
        <v>ОБЛ ЧЕЛЯБИНСКАЯ</v>
      </c>
      <c r="Q980" t="str">
        <f>""</f>
        <v/>
      </c>
      <c r="R980" t="str">
        <f>"Г ТРЕХГОРНЫЙ"</f>
        <v>Г ТРЕХГОРНЫЙ</v>
      </c>
      <c r="S980" t="str">
        <f>""</f>
        <v/>
      </c>
      <c r="T980" t="str">
        <f>"УЛ 60 ЛЕТ ОКТЯБРЯ"</f>
        <v>УЛ 60 ЛЕТ ОКТЯБРЯ</v>
      </c>
      <c r="U980" s="1" t="str">
        <f>"10"</f>
        <v>10</v>
      </c>
      <c r="V980" s="1" t="str">
        <f>""</f>
        <v/>
      </c>
      <c r="W980" s="1" t="str">
        <f>""</f>
        <v/>
      </c>
      <c r="X980" s="1" t="str">
        <f>""</f>
        <v/>
      </c>
      <c r="Y980" s="1" t="str">
        <f>"118"</f>
        <v>118</v>
      </c>
      <c r="Z980" t="str">
        <f>""</f>
        <v/>
      </c>
      <c r="AA980" t="str">
        <f>"9058366271"</f>
        <v>9058366271</v>
      </c>
      <c r="AB980" t="str">
        <f>"9058366271"</f>
        <v>9058366271</v>
      </c>
      <c r="AC980" t="str">
        <f>"9058366271"</f>
        <v>9058366271</v>
      </c>
      <c r="AD980" t="str">
        <f>"9058366271"</f>
        <v>9058366271</v>
      </c>
      <c r="AE980" t="str">
        <f>""</f>
        <v/>
      </c>
    </row>
    <row r="981" spans="1:31" x14ac:dyDescent="0.45">
      <c r="A981" t="str">
        <f>"АЗИЗОВА ИСПАНИЯТ АБДУРАЗАКОВНА"</f>
        <v>АЗИЗОВА ИСПАНИЯТ АБДУРАЗАКОВНА</v>
      </c>
      <c r="B981" t="str">
        <f>"1972-07-11"</f>
        <v>1972-07-11</v>
      </c>
      <c r="C981" t="str">
        <f>"67 17 657650"</f>
        <v>67 17 657650</v>
      </c>
      <c r="D981" t="str">
        <f>"4854630375830927"</f>
        <v>4854630375830927</v>
      </c>
      <c r="E981" t="str">
        <f>"2021-04-30"</f>
        <v>2021-04-30</v>
      </c>
      <c r="F981" t="str">
        <f>"Q"</f>
        <v>Q</v>
      </c>
      <c r="G981" t="str">
        <f>"Q"</f>
        <v>Q</v>
      </c>
      <c r="H981" t="str">
        <f>"40817810667720699014"</f>
        <v>40817810667720699014</v>
      </c>
      <c r="I981" t="str">
        <f>"5940"</f>
        <v>5940</v>
      </c>
      <c r="J981" t="str">
        <f>"0115"</f>
        <v>0115</v>
      </c>
      <c r="K981" t="str">
        <f>"0.00"</f>
        <v>0.00</v>
      </c>
      <c r="L981" t="str">
        <f>"628600 ОБЛ ТЮМЕНСКАЯ   Г НИЖНЕВАРТОВСК   УЛ ДЗЕРЖИНСКОГО д. 19 кв. 79"</f>
        <v>628600 ОБЛ ТЮМЕНСКАЯ   Г НИЖНЕВАРТОВСК   УЛ ДЗЕРЖИНСКОГО д. 19 кв. 79</v>
      </c>
      <c r="M981" t="str">
        <f t="shared" si="153"/>
        <v>2019-08-24</v>
      </c>
      <c r="N981" t="str">
        <f>"ИП АЗИЗОВА"</f>
        <v>ИП АЗИЗОВА</v>
      </c>
      <c r="O981" t="str">
        <f>"628600"</f>
        <v>628600</v>
      </c>
      <c r="P981" t="str">
        <f>"ОБЛ ТЮМЕНСКАЯ"</f>
        <v>ОБЛ ТЮМЕНСКАЯ</v>
      </c>
      <c r="Q981" t="str">
        <f>""</f>
        <v/>
      </c>
      <c r="R981" t="str">
        <f>"Г НИЖНЕВАРТОВСК"</f>
        <v>Г НИЖНЕВАРТОВСК</v>
      </c>
      <c r="S981" t="str">
        <f>""</f>
        <v/>
      </c>
      <c r="T981" t="str">
        <f>"УЛ ДЗЕРЖИНСКОГО"</f>
        <v>УЛ ДЗЕРЖИНСКОГО</v>
      </c>
      <c r="U981" s="1" t="str">
        <f>"19"</f>
        <v>19</v>
      </c>
      <c r="V981" s="1" t="str">
        <f>""</f>
        <v/>
      </c>
      <c r="W981" s="1" t="str">
        <f>""</f>
        <v/>
      </c>
      <c r="X981" s="1" t="str">
        <f>""</f>
        <v/>
      </c>
      <c r="Y981" s="1" t="str">
        <f>"79"</f>
        <v>79</v>
      </c>
      <c r="Z981" t="str">
        <f>""</f>
        <v/>
      </c>
      <c r="AA981" t="str">
        <f>"+7 (963) 4901180"</f>
        <v>+7 (963) 4901180</v>
      </c>
      <c r="AB981" t="str">
        <f>"+7 (963) 4901057"</f>
        <v>+7 (963) 4901057</v>
      </c>
      <c r="AC981" t="str">
        <f>"9678802158"</f>
        <v>9678802158</v>
      </c>
      <c r="AD981" t="str">
        <f>"9634901057"</f>
        <v>9634901057</v>
      </c>
      <c r="AE981" t="str">
        <f>""</f>
        <v/>
      </c>
    </row>
    <row r="982" spans="1:31" x14ac:dyDescent="0.45">
      <c r="A982" t="str">
        <f>"АНДРОСЮК ОЛЬГА БОРИСОВНА"</f>
        <v>АНДРОСЮК ОЛЬГА БОРИСОВНА</v>
      </c>
      <c r="B982" t="str">
        <f>"1982-02-10"</f>
        <v>1982-02-10</v>
      </c>
      <c r="C982" t="str">
        <f>"67 14 454590"</f>
        <v>67 14 454590</v>
      </c>
      <c r="D982" t="str">
        <f>"4854630414930399"</f>
        <v>4854630414930399</v>
      </c>
      <c r="E982" t="str">
        <f>"2021-04-30"</f>
        <v>2021-04-30</v>
      </c>
      <c r="F982" t="str">
        <f t="shared" ref="F982:G984" si="156">"+"</f>
        <v>+</v>
      </c>
      <c r="G982" t="str">
        <f t="shared" si="156"/>
        <v>+</v>
      </c>
      <c r="H982" t="str">
        <f>"40817810616992352993"</f>
        <v>40817810616992352993</v>
      </c>
      <c r="I982" t="str">
        <f>"5940"</f>
        <v>5940</v>
      </c>
      <c r="J982" t="str">
        <f>"0091"</f>
        <v>0091</v>
      </c>
      <c r="K982" t="str">
        <f>"160000.00"</f>
        <v>160000.00</v>
      </c>
      <c r="L982" t="str">
        <f>"628331 ОБЛ ТЮМЕНСКАЯ Р-Н НЕФТЕЮГАНСКИЙ   ПГТ ПОЙКОВСКИЙ МКР 1 стр. 12"</f>
        <v>628331 ОБЛ ТЮМЕНСКАЯ Р-Н НЕФТЕЮГАНСКИЙ   ПГТ ПОЙКОВСКИЙ МКР 1 стр. 12</v>
      </c>
      <c r="M982" t="str">
        <f t="shared" si="153"/>
        <v>2019-08-24</v>
      </c>
      <c r="N982" t="str">
        <f>"67355265"</f>
        <v>67355265</v>
      </c>
      <c r="O982" t="str">
        <f>"628331"</f>
        <v>628331</v>
      </c>
      <c r="P982" t="str">
        <f>"ОБЛ ТЮМЕНСКАЯ"</f>
        <v>ОБЛ ТЮМЕНСКАЯ</v>
      </c>
      <c r="Q982" t="str">
        <f>"Р-Н НЕФТЕЮГАНСКИЙ"</f>
        <v>Р-Н НЕФТЕЮГАНСКИЙ</v>
      </c>
      <c r="R982" t="str">
        <f>""</f>
        <v/>
      </c>
      <c r="S982" t="str">
        <f>"ПГТ ПОЙКОВСКИЙ"</f>
        <v>ПГТ ПОЙКОВСКИЙ</v>
      </c>
      <c r="T982" t="str">
        <f>"УЛ ТРАНСПОРТНИКОВ"</f>
        <v>УЛ ТРАНСПОРТНИКОВ</v>
      </c>
      <c r="U982" s="1" t="str">
        <f>"19"</f>
        <v>19</v>
      </c>
      <c r="V982" s="1" t="str">
        <f>""</f>
        <v/>
      </c>
      <c r="W982" s="1" t="str">
        <f>""</f>
        <v/>
      </c>
      <c r="X982" s="1" t="str">
        <f>""</f>
        <v/>
      </c>
      <c r="Y982" s="1" t="str">
        <f>""</f>
        <v/>
      </c>
      <c r="Z982" t="str">
        <f>""</f>
        <v/>
      </c>
      <c r="AA982" t="str">
        <f>"9825558484"</f>
        <v>9825558484</v>
      </c>
      <c r="AB982" t="str">
        <f>"9226562379"</f>
        <v>9226562379</v>
      </c>
      <c r="AC982" t="str">
        <f>"9825558484"</f>
        <v>9825558484</v>
      </c>
      <c r="AD982" t="str">
        <f>"9226562379"</f>
        <v>9226562379</v>
      </c>
      <c r="AE982" t="str">
        <f>""</f>
        <v/>
      </c>
    </row>
    <row r="983" spans="1:31" x14ac:dyDescent="0.45">
      <c r="A983" t="str">
        <f>"БАЙНОВА ЛАРИСА ЮРЬЕВНА"</f>
        <v>БАЙНОВА ЛАРИСА ЮРЬЕВНА</v>
      </c>
      <c r="B983" t="str">
        <f>"1969-06-22"</f>
        <v>1969-06-22</v>
      </c>
      <c r="C983" t="str">
        <f>"65 14 856762"</f>
        <v>65 14 856762</v>
      </c>
      <c r="D983" t="str">
        <f>"5313100069924669"</f>
        <v>5313100069924669</v>
      </c>
      <c r="E983" t="str">
        <f>"2020-10-31"</f>
        <v>2020-10-31</v>
      </c>
      <c r="F983" t="str">
        <f t="shared" si="156"/>
        <v>+</v>
      </c>
      <c r="G983" t="str">
        <f t="shared" si="156"/>
        <v>+</v>
      </c>
      <c r="H983" t="str">
        <f>"40817810516991428287"</f>
        <v>40817810516991428287</v>
      </c>
      <c r="I983" t="str">
        <f>"7003"</f>
        <v>7003</v>
      </c>
      <c r="J983" t="str">
        <f>"0588"</f>
        <v>0588</v>
      </c>
      <c r="K983" t="str">
        <f>"105000.00"</f>
        <v>105000.00</v>
      </c>
      <c r="L983" t="str">
        <f>"623400 ОБЛ СВЕРДЛОВСКАЯ   Г КАМЕНСК-УРАЛЬСКИЙ   УЛ ЖУКОВСКОГО д. 5"</f>
        <v>623400 ОБЛ СВЕРДЛОВСКАЯ   Г КАМЕНСК-УРАЛЬСКИЙ   УЛ ЖУКОВСКОГО д. 5</v>
      </c>
      <c r="M983" t="str">
        <f t="shared" si="153"/>
        <v>2019-08-24</v>
      </c>
      <c r="N983" t="str">
        <f>"ПЕДАГОГИЧЕСКИЙ КОЛЛЕДЖ"</f>
        <v>ПЕДАГОГИЧЕСКИЙ КОЛЛЕДЖ</v>
      </c>
      <c r="O983" t="str">
        <f>"620000"</f>
        <v>620000</v>
      </c>
      <c r="P983" t="str">
        <f>"ОБЛ СВЕРДЛОВСКАЯ"</f>
        <v>ОБЛ СВЕРДЛОВСКАЯ</v>
      </c>
      <c r="Q983" t="str">
        <f>""</f>
        <v/>
      </c>
      <c r="R983" t="str">
        <f>"Г КАМЕНСК-УРАЛЬСКИЙ"</f>
        <v>Г КАМЕНСК-УРАЛЬСКИЙ</v>
      </c>
      <c r="S983" t="str">
        <f>""</f>
        <v/>
      </c>
      <c r="T983" t="str">
        <f>"УЛ ЛЕНИНА"</f>
        <v>УЛ ЛЕНИНА</v>
      </c>
      <c r="U983" s="1" t="str">
        <f>"8"</f>
        <v>8</v>
      </c>
      <c r="V983" s="1" t="str">
        <f>""</f>
        <v/>
      </c>
      <c r="W983" s="1" t="str">
        <f>""</f>
        <v/>
      </c>
      <c r="X983" s="1" t="str">
        <f>""</f>
        <v/>
      </c>
      <c r="Y983" s="1" t="str">
        <f>"11"</f>
        <v>11</v>
      </c>
      <c r="Z983" t="str">
        <f>""</f>
        <v/>
      </c>
      <c r="AA983" t="str">
        <f>"9022649638"</f>
        <v>9022649638</v>
      </c>
      <c r="AB983" t="str">
        <f>"9022613442"</f>
        <v>9022613442</v>
      </c>
      <c r="AC983" t="str">
        <f>"9022649638"</f>
        <v>9022649638</v>
      </c>
      <c r="AD983" t="str">
        <f>"9022613442"</f>
        <v>9022613442</v>
      </c>
      <c r="AE983" t="str">
        <f>""</f>
        <v/>
      </c>
    </row>
    <row r="984" spans="1:31" x14ac:dyDescent="0.45">
      <c r="A984" t="str">
        <f>"ЧАЙКА ВАЛЕНТИНА ПЕТРОВНА"</f>
        <v>ЧАЙКА ВАЛЕНТИНА ПЕТРОВНА</v>
      </c>
      <c r="B984" t="str">
        <f>"1961-05-03"</f>
        <v>1961-05-03</v>
      </c>
      <c r="C984" t="str">
        <f>"67 14 421639"</f>
        <v>67 14 421639</v>
      </c>
      <c r="D984" t="str">
        <f>"4854630396137245"</f>
        <v>4854630396137245</v>
      </c>
      <c r="E984" t="str">
        <f>"2021-04-30"</f>
        <v>2021-04-30</v>
      </c>
      <c r="F984" t="str">
        <f t="shared" si="156"/>
        <v>+</v>
      </c>
      <c r="G984" t="str">
        <f t="shared" si="156"/>
        <v>+</v>
      </c>
      <c r="H984" t="str">
        <f>"40817810016992400186"</f>
        <v>40817810016992400186</v>
      </c>
      <c r="I984" t="str">
        <f>"5940"</f>
        <v>5940</v>
      </c>
      <c r="J984" t="str">
        <f>"0117"</f>
        <v>0117</v>
      </c>
      <c r="K984" t="str">
        <f>"50000.00"</f>
        <v>50000.00</v>
      </c>
      <c r="L984" t="str">
        <f>"628600 ОБЛ ТЮМЕНСКАЯ   Г НИЖНЕВАРТОВСК   УЛ ДРУЖБЫ НАРОДОВ д. 18А кв. 28"</f>
        <v>628600 ОБЛ ТЮМЕНСКАЯ   Г НИЖНЕВАРТОВСК   УЛ ДРУЖБЫ НАРОДОВ д. 18А кв. 28</v>
      </c>
      <c r="M984" t="str">
        <f t="shared" si="153"/>
        <v>2019-08-24</v>
      </c>
      <c r="N984" t="str">
        <f>"ПЕНСИОНЕР"</f>
        <v>ПЕНСИОНЕР</v>
      </c>
      <c r="O984" t="str">
        <f>"628600"</f>
        <v>628600</v>
      </c>
      <c r="P984" t="str">
        <f>"ОБЛ ТЮМЕНСКАЯ"</f>
        <v>ОБЛ ТЮМЕНСКАЯ</v>
      </c>
      <c r="Q984" t="str">
        <f>""</f>
        <v/>
      </c>
      <c r="R984" t="str">
        <f>"Г НИЖНЕВАРТОВСК"</f>
        <v>Г НИЖНЕВАРТОВСК</v>
      </c>
      <c r="S984" t="str">
        <f>""</f>
        <v/>
      </c>
      <c r="T984" t="str">
        <f>"УЛ ДРУЖБЫ НАРОДОВ"</f>
        <v>УЛ ДРУЖБЫ НАРОДОВ</v>
      </c>
      <c r="U984" s="1" t="str">
        <f>"18А"</f>
        <v>18А</v>
      </c>
      <c r="V984" s="1" t="str">
        <f>""</f>
        <v/>
      </c>
      <c r="W984" s="1" t="str">
        <f>""</f>
        <v/>
      </c>
      <c r="X984" s="1" t="str">
        <f>""</f>
        <v/>
      </c>
      <c r="Y984" s="1" t="str">
        <f>"28"</f>
        <v>28</v>
      </c>
      <c r="Z984" t="str">
        <f>""</f>
        <v/>
      </c>
      <c r="AA984" t="str">
        <f>"9129326922"</f>
        <v>9129326922</v>
      </c>
      <c r="AB984" t="str">
        <f>"9129326922"</f>
        <v>9129326922</v>
      </c>
      <c r="AC984" t="str">
        <f>"9129326922"</f>
        <v>9129326922</v>
      </c>
      <c r="AD984" t="str">
        <f>"9129326922"</f>
        <v>9129326922</v>
      </c>
      <c r="AE984" t="str">
        <f>""</f>
        <v/>
      </c>
    </row>
    <row r="985" spans="1:31" x14ac:dyDescent="0.45">
      <c r="A985" t="str">
        <f>"КАСИМОВ РИНАТ МУДАРИСОВИЧ"</f>
        <v>КАСИМОВ РИНАТ МУДАРИСОВИЧ</v>
      </c>
      <c r="B985" t="str">
        <f>"1981-03-29"</f>
        <v>1981-03-29</v>
      </c>
      <c r="C985" t="str">
        <f>"67 02 702890"</f>
        <v>67 02 702890</v>
      </c>
      <c r="D985" t="str">
        <f>"4279016710768997"</f>
        <v>4279016710768997</v>
      </c>
      <c r="E985" t="str">
        <f>"2021-05-31"</f>
        <v>2021-05-31</v>
      </c>
      <c r="F985" t="str">
        <f>"Y"</f>
        <v>Y</v>
      </c>
      <c r="G985" t="str">
        <f>"Q"</f>
        <v>Q</v>
      </c>
      <c r="H985" t="str">
        <f>"40817810716992551788"</f>
        <v>40817810716992551788</v>
      </c>
      <c r="I985" t="str">
        <f>"8647"</f>
        <v>8647</v>
      </c>
      <c r="J985" t="str">
        <f>"7770"</f>
        <v>7770</v>
      </c>
      <c r="K985" t="str">
        <f>"0.00"</f>
        <v>0.00</v>
      </c>
      <c r="L985" t="str">
        <f>"625000 ОБЛ ТЮМЕНСКАЯ   Г ТЮМЕНЬ   УЛ РЕСПУБЛИКИ д. 143А"</f>
        <v>625000 ОБЛ ТЮМЕНСКАЯ   Г ТЮМЕНЬ   УЛ РЕСПУБЛИКИ д. 143А</v>
      </c>
      <c r="M985" t="str">
        <f t="shared" si="153"/>
        <v>2019-08-24</v>
      </c>
      <c r="N985" t="str">
        <f>"КОГАЛЫМ НИПИ"</f>
        <v>КОГАЛЫМ НИПИ</v>
      </c>
      <c r="O985" t="str">
        <f>"625000"</f>
        <v>625000</v>
      </c>
      <c r="P985" t="str">
        <f>"ОБЛ ТЮМЕНСКАЯ"</f>
        <v>ОБЛ ТЮМЕНСКАЯ</v>
      </c>
      <c r="Q985" t="str">
        <f>""</f>
        <v/>
      </c>
      <c r="R985" t="str">
        <f>"Г ТЮМЕНЬ"</f>
        <v>Г ТЮМЕНЬ</v>
      </c>
      <c r="S985" t="str">
        <f>""</f>
        <v/>
      </c>
      <c r="T985" t="str">
        <f>"УЛ ХАРЬКОВСКАЯ"</f>
        <v>УЛ ХАРЬКОВСКАЯ</v>
      </c>
      <c r="U985" s="1" t="str">
        <f>"27"</f>
        <v>27</v>
      </c>
      <c r="V985" s="1" t="str">
        <f>""</f>
        <v/>
      </c>
      <c r="W985" s="1" t="str">
        <f>""</f>
        <v/>
      </c>
      <c r="X985" s="1" t="str">
        <f>""</f>
        <v/>
      </c>
      <c r="Y985" s="1" t="str">
        <f>"144"</f>
        <v>144</v>
      </c>
      <c r="Z985" t="str">
        <f>"3452453395"</f>
        <v>3452453395</v>
      </c>
      <c r="AA985" t="str">
        <f>"9323269577"</f>
        <v>9323269577</v>
      </c>
      <c r="AB985" t="str">
        <f>"9323269577"</f>
        <v>9323269577</v>
      </c>
      <c r="AC985" t="str">
        <f>"9323269577"</f>
        <v>9323269577</v>
      </c>
      <c r="AD985" t="str">
        <f>"9323269577"</f>
        <v>9323269577</v>
      </c>
      <c r="AE985" t="str">
        <f>"3452453395"</f>
        <v>3452453395</v>
      </c>
    </row>
    <row r="986" spans="1:31" x14ac:dyDescent="0.45">
      <c r="A986" t="str">
        <f>"ИСМАГИЛОВ АЛЬБЕРТ АЛЬМИРОВИЧ"</f>
        <v>ИСМАГИЛОВ АЛЬБЕРТ АЛЬМИРОВИЧ</v>
      </c>
      <c r="B986" t="str">
        <f>"1990-01-20"</f>
        <v>1990-01-20</v>
      </c>
      <c r="C986" t="str">
        <f>"67 09 973652"</f>
        <v>67 09 973652</v>
      </c>
      <c r="D986" t="str">
        <f>"5484016703308213"</f>
        <v>5484016703308213</v>
      </c>
      <c r="E986" t="str">
        <f>"2021-05-31"</f>
        <v>2021-05-31</v>
      </c>
      <c r="F986" t="str">
        <f t="shared" ref="F986:G994" si="157">"+"</f>
        <v>+</v>
      </c>
      <c r="G986" t="str">
        <f t="shared" si="157"/>
        <v>+</v>
      </c>
      <c r="H986" t="str">
        <f>"40817810916992551892"</f>
        <v>40817810916992551892</v>
      </c>
      <c r="I986" t="str">
        <f>"5940"</f>
        <v>5940</v>
      </c>
      <c r="J986" t="str">
        <f>"7772"</f>
        <v>7772</v>
      </c>
      <c r="K986" t="str">
        <f>"370000.00"</f>
        <v>370000.00</v>
      </c>
      <c r="L986" t="str">
        <f>"628600 ОБЛ ТЮМЕНСКАЯ   Г НИЖНЕВАРТОВСК   УЛ ИНДУСТРИАЛЬНАЯ д. 66 стр. А"</f>
        <v>628600 ОБЛ ТЮМЕНСКАЯ   Г НИЖНЕВАРТОВСК   УЛ ИНДУСТРИАЛЬНАЯ д. 66 стр. А</v>
      </c>
      <c r="M986" t="str">
        <f t="shared" si="153"/>
        <v>2019-08-24</v>
      </c>
      <c r="N986" t="str">
        <f>"ООО КАТОБЬНЕФТЬ"</f>
        <v>ООО КАТОБЬНЕФТЬ</v>
      </c>
      <c r="O986" t="str">
        <f>"628600"</f>
        <v>628600</v>
      </c>
      <c r="P986" t="str">
        <f>"ОБЛ ТЮМЕНСКАЯ"</f>
        <v>ОБЛ ТЮМЕНСКАЯ</v>
      </c>
      <c r="Q986" t="str">
        <f>"АО ХАНТЫ-МАНСИЙСКИЙ"</f>
        <v>АО ХАНТЫ-МАНСИЙСКИЙ</v>
      </c>
      <c r="R986" t="str">
        <f>"Г НИЖНЕВАРТОВСК"</f>
        <v>Г НИЖНЕВАРТОВСК</v>
      </c>
      <c r="S986" t="str">
        <f>""</f>
        <v/>
      </c>
      <c r="T986" t="str">
        <f>"УЛ ИНТЕРНАЦИОНАЛЬНАЯ"</f>
        <v>УЛ ИНТЕРНАЦИОНАЛЬНАЯ</v>
      </c>
      <c r="U986" s="1" t="str">
        <f>"30"</f>
        <v>30</v>
      </c>
      <c r="V986" s="1" t="str">
        <f>""</f>
        <v/>
      </c>
      <c r="W986" s="1" t="str">
        <f>""</f>
        <v/>
      </c>
      <c r="X986" s="1" t="str">
        <f>""</f>
        <v/>
      </c>
      <c r="Y986" s="1" t="str">
        <f>"55"</f>
        <v>55</v>
      </c>
      <c r="Z986" t="str">
        <f>"3466311628"</f>
        <v>3466311628</v>
      </c>
      <c r="AA986" t="str">
        <f>"3466454691"</f>
        <v>3466454691</v>
      </c>
      <c r="AB986" t="str">
        <f>"9195375548"</f>
        <v>9195375548</v>
      </c>
      <c r="AC986" t="str">
        <f>"9825257827"</f>
        <v>9825257827</v>
      </c>
      <c r="AD986" t="str">
        <f>"9195375548"</f>
        <v>9195375548</v>
      </c>
      <c r="AE986" t="str">
        <f>"3466311628"</f>
        <v>3466311628</v>
      </c>
    </row>
    <row r="987" spans="1:31" x14ac:dyDescent="0.45">
      <c r="A987" t="str">
        <f>"ЧЕРЕПОВА НИНА ВАСИЛЬЕВНА"</f>
        <v>ЧЕРЕПОВА НИНА ВАСИЛЬЕВНА</v>
      </c>
      <c r="B987" t="str">
        <f>"1964-08-12"</f>
        <v>1964-08-12</v>
      </c>
      <c r="C987" t="str">
        <f>"53 09 847173"</f>
        <v>53 09 847173</v>
      </c>
      <c r="D987" t="str">
        <f>"4279011640538123"</f>
        <v>4279011640538123</v>
      </c>
      <c r="E987" t="str">
        <f>"2021-05-31"</f>
        <v>2021-05-31</v>
      </c>
      <c r="F987" t="str">
        <f t="shared" si="157"/>
        <v>+</v>
      </c>
      <c r="G987" t="str">
        <f t="shared" si="157"/>
        <v>+</v>
      </c>
      <c r="H987" t="str">
        <f>"40817810816991425168"</f>
        <v>40817810816991425168</v>
      </c>
      <c r="I987" t="str">
        <f>"8597"</f>
        <v>8597</v>
      </c>
      <c r="J987" t="str">
        <f>"7770"</f>
        <v>7770</v>
      </c>
      <c r="K987" t="str">
        <f>"20000.00"</f>
        <v>20000.00</v>
      </c>
      <c r="L987" t="str">
        <f>"454000 ОБЛ ЧЕЛЯБИНСКАЯ   Г ЧЕЛЯБИНСК   УЛ ПЕРВОЙ ПЯТИЛЕТКИ д. 57"</f>
        <v>454000 ОБЛ ЧЕЛЯБИНСКАЯ   Г ЧЕЛЯБИНСК   УЛ ПЕРВОЙ ПЯТИЛЕТКИ д. 57</v>
      </c>
      <c r="M987" t="str">
        <f t="shared" si="153"/>
        <v>2019-08-24</v>
      </c>
      <c r="N987" t="str">
        <f>"МКУ КРУ"</f>
        <v>МКУ КРУ</v>
      </c>
      <c r="O987" t="str">
        <f>"454000"</f>
        <v>454000</v>
      </c>
      <c r="P987" t="str">
        <f>"ОБЛ ЧЕЛЯБИНСКАЯ"</f>
        <v>ОБЛ ЧЕЛЯБИНСКАЯ</v>
      </c>
      <c r="Q987" t="str">
        <f>""</f>
        <v/>
      </c>
      <c r="R987" t="str">
        <f>"Г ЧЕЛЯБИНСК"</f>
        <v>Г ЧЕЛЯБИНСК</v>
      </c>
      <c r="S987" t="str">
        <f>""</f>
        <v/>
      </c>
      <c r="T987" t="str">
        <f>"УЛ СОЛНЕЧНАЯ"</f>
        <v>УЛ СОЛНЕЧНАЯ</v>
      </c>
      <c r="U987" s="1" t="str">
        <f>"13"</f>
        <v>13</v>
      </c>
      <c r="V987" s="1" t="str">
        <f>""</f>
        <v/>
      </c>
      <c r="W987" s="1" t="str">
        <f>""</f>
        <v/>
      </c>
      <c r="X987" s="1" t="str">
        <f>""</f>
        <v/>
      </c>
      <c r="Y987" s="1" t="str">
        <f>"85"</f>
        <v>85</v>
      </c>
      <c r="Z987" t="str">
        <f>"3512452632"</f>
        <v>3512452632</v>
      </c>
      <c r="AA987" t="str">
        <f>"9511258287"</f>
        <v>9511258287</v>
      </c>
      <c r="AB987" t="str">
        <f>"9511258287"</f>
        <v>9511258287</v>
      </c>
      <c r="AC987" t="str">
        <f>"0000000000"</f>
        <v>0000000000</v>
      </c>
      <c r="AD987" t="str">
        <f>"9511258287"</f>
        <v>9511258287</v>
      </c>
      <c r="AE987" t="str">
        <f>"3512452632"</f>
        <v>3512452632</v>
      </c>
    </row>
    <row r="988" spans="1:31" x14ac:dyDescent="0.45">
      <c r="A988" t="str">
        <f>"ШАГИЕВ ЯМИЛ ЯНУЗАКОВИЧ"</f>
        <v>ШАГИЕВ ЯМИЛ ЯНУЗАКОВИЧ</v>
      </c>
      <c r="B988" t="str">
        <f>"1970-08-03"</f>
        <v>1970-08-03</v>
      </c>
      <c r="C988" t="str">
        <f>"80 15 207036"</f>
        <v>80 15 207036</v>
      </c>
      <c r="D988" t="str">
        <f>"5484011606485077"</f>
        <v>5484011606485077</v>
      </c>
      <c r="E988" t="str">
        <f>"2021-05-31"</f>
        <v>2021-05-31</v>
      </c>
      <c r="F988" t="str">
        <f t="shared" si="157"/>
        <v>+</v>
      </c>
      <c r="G988" t="str">
        <f t="shared" si="157"/>
        <v>+</v>
      </c>
      <c r="H988" t="str">
        <f>"40817810916991425204"</f>
        <v>40817810916991425204</v>
      </c>
      <c r="I988" t="str">
        <f>"8598"</f>
        <v>8598</v>
      </c>
      <c r="J988" t="str">
        <f>"0724"</f>
        <v>0724</v>
      </c>
      <c r="K988" t="str">
        <f>"10000.00"</f>
        <v>10000.00</v>
      </c>
      <c r="L988" t="str">
        <f>"450000 РЕСП БАШКОРТОСТАН Р-Н АБЗЕЛИЛОВСКИЙ   С КУСИМОВСКОГО РУДНИКА УЛ ПОБЕДЫ д. 30"</f>
        <v>450000 РЕСП БАШКОРТОСТАН Р-Н АБЗЕЛИЛОВСКИЙ   С КУСИМОВСКОГО РУДНИКА УЛ ПОБЕДЫ д. 30</v>
      </c>
      <c r="M988" t="str">
        <f t="shared" si="153"/>
        <v>2019-08-24</v>
      </c>
      <c r="N988" t="str">
        <f>"ГБУ АВАРИЙНО-СПАСАТЕЛЬНАЯ СЛУЖБА РБ"</f>
        <v>ГБУ АВАРИЙНО-СПАСАТЕЛЬНАЯ СЛУЖБА РБ</v>
      </c>
      <c r="O988" t="str">
        <f>"450000"</f>
        <v>450000</v>
      </c>
      <c r="P988" t="str">
        <f>"РЕСП БАШКОРТОСТАН"</f>
        <v>РЕСП БАШКОРТОСТАН</v>
      </c>
      <c r="Q988" t="str">
        <f>"Р-Н АБЗЕЛИЛОВСКИЙ"</f>
        <v>Р-Н АБЗЕЛИЛОВСКИЙ</v>
      </c>
      <c r="R988" t="str">
        <f>""</f>
        <v/>
      </c>
      <c r="S988" t="str">
        <f>"С КУСИМОВСКОГО РУДНИКА"</f>
        <v>С КУСИМОВСКОГО РУДНИКА</v>
      </c>
      <c r="T988" t="str">
        <f>"УЛ НАБЕРЕЖНАЯ"</f>
        <v>УЛ НАБЕРЕЖНАЯ</v>
      </c>
      <c r="U988" s="1" t="str">
        <f>"42"</f>
        <v>42</v>
      </c>
      <c r="V988" s="1" t="str">
        <f>""</f>
        <v/>
      </c>
      <c r="W988" s="1" t="str">
        <f>""</f>
        <v/>
      </c>
      <c r="X988" s="1" t="str">
        <f>""</f>
        <v/>
      </c>
      <c r="Y988" s="1" t="str">
        <f>""</f>
        <v/>
      </c>
      <c r="Z988" t="str">
        <f>""</f>
        <v/>
      </c>
      <c r="AA988" t="str">
        <f>"9613606677"</f>
        <v>9613606677</v>
      </c>
      <c r="AB988" t="str">
        <f>"9613606677"</f>
        <v>9613606677</v>
      </c>
      <c r="AC988" t="str">
        <f>"9613606677"</f>
        <v>9613606677</v>
      </c>
      <c r="AD988" t="str">
        <f>"9613606677"</f>
        <v>9613606677</v>
      </c>
      <c r="AE988" t="str">
        <f>""</f>
        <v/>
      </c>
    </row>
    <row r="989" spans="1:31" x14ac:dyDescent="0.45">
      <c r="A989" t="str">
        <f>"АБДРАХИМОВ ВАНИР ЗАЙНЕТДИНОВИЧ"</f>
        <v>АБДРАХИМОВ ВАНИР ЗАЙНЕТДИНОВИЧ</v>
      </c>
      <c r="B989" t="str">
        <f>"1962-01-03"</f>
        <v>1962-01-03</v>
      </c>
      <c r="C989" t="str">
        <f>"80 15 127114"</f>
        <v>80 15 127114</v>
      </c>
      <c r="D989" t="str">
        <f>"5313100202316146"</f>
        <v>5313100202316146</v>
      </c>
      <c r="E989" t="str">
        <f>"2021-03-31"</f>
        <v>2021-03-31</v>
      </c>
      <c r="F989" t="str">
        <f t="shared" si="157"/>
        <v>+</v>
      </c>
      <c r="G989" t="str">
        <f t="shared" si="157"/>
        <v>+</v>
      </c>
      <c r="H989" t="str">
        <f>"40817810016991428266"</f>
        <v>40817810016991428266</v>
      </c>
      <c r="I989" t="str">
        <f>"8598"</f>
        <v>8598</v>
      </c>
      <c r="J989" t="str">
        <f>"0595"</f>
        <v>0595</v>
      </c>
      <c r="K989" t="str">
        <f>"10000.00"</f>
        <v>10000.00</v>
      </c>
      <c r="L989" t="str">
        <f>"450000 РЕСП БАШКОРТОСТАН   Г НЕФТЕКАМСК   УЛ ТРАКТОВАЯ д. 4"</f>
        <v>450000 РЕСП БАШКОРТОСТАН   Г НЕФТЕКАМСК   УЛ ТРАКТОВАЯ д. 4</v>
      </c>
      <c r="M989" t="str">
        <f t="shared" si="153"/>
        <v>2019-08-24</v>
      </c>
      <c r="N989" t="str">
        <f>"38064932"</f>
        <v>38064932</v>
      </c>
      <c r="O989" t="str">
        <f>"450000"</f>
        <v>450000</v>
      </c>
      <c r="P989" t="str">
        <f>"РЕСП БАШКОРТОСТАН"</f>
        <v>РЕСП БАШКОРТОСТАН</v>
      </c>
      <c r="Q989" t="str">
        <f>""</f>
        <v/>
      </c>
      <c r="R989" t="str">
        <f>"Г НЕФТЕКАМСК"</f>
        <v>Г НЕФТЕКАМСК</v>
      </c>
      <c r="S989" t="str">
        <f>""</f>
        <v/>
      </c>
      <c r="T989" t="str">
        <f>"УЛ ТРАКТОВАЯ"</f>
        <v>УЛ ТРАКТОВАЯ</v>
      </c>
      <c r="U989" s="1" t="str">
        <f>"4"</f>
        <v>4</v>
      </c>
      <c r="V989" s="1" t="str">
        <f>""</f>
        <v/>
      </c>
      <c r="W989" s="1" t="str">
        <f>""</f>
        <v/>
      </c>
      <c r="X989" s="1" t="str">
        <f>""</f>
        <v/>
      </c>
      <c r="Y989" s="1" t="str">
        <f>""</f>
        <v/>
      </c>
      <c r="Z989" t="str">
        <f>""</f>
        <v/>
      </c>
      <c r="AA989" t="str">
        <f>"9689904403"</f>
        <v>9689904403</v>
      </c>
      <c r="AB989" t="str">
        <f>"9689904403"</f>
        <v>9689904403</v>
      </c>
      <c r="AC989" t="str">
        <f>"9689904403"</f>
        <v>9689904403</v>
      </c>
      <c r="AD989" t="str">
        <f>"9689904403"</f>
        <v>9689904403</v>
      </c>
      <c r="AE989" t="str">
        <f>""</f>
        <v/>
      </c>
    </row>
    <row r="990" spans="1:31" x14ac:dyDescent="0.45">
      <c r="A990" t="str">
        <f>"МИХАЙЛОВ СЕРГЕЙ АЛЕКСАНДРОВИЧ"</f>
        <v>МИХАЙЛОВ СЕРГЕЙ АЛЕКСАНДРОВИЧ</v>
      </c>
      <c r="B990" t="str">
        <f>"1955-04-06"</f>
        <v>1955-04-06</v>
      </c>
      <c r="C990" t="str">
        <f>"65 02 402703"</f>
        <v>65 02 402703</v>
      </c>
      <c r="D990" t="str">
        <f>"5313100274900637"</f>
        <v>5313100274900637</v>
      </c>
      <c r="E990" t="str">
        <f>"2021-03-31"</f>
        <v>2021-03-31</v>
      </c>
      <c r="F990" t="str">
        <f t="shared" si="157"/>
        <v>+</v>
      </c>
      <c r="G990" t="str">
        <f t="shared" si="157"/>
        <v>+</v>
      </c>
      <c r="H990" t="str">
        <f>"40817810316991428267"</f>
        <v>40817810316991428267</v>
      </c>
      <c r="I990" t="str">
        <f>"7003"</f>
        <v>7003</v>
      </c>
      <c r="J990" t="str">
        <f>"0537"</f>
        <v>0537</v>
      </c>
      <c r="K990" t="str">
        <f>"200000.00"</f>
        <v>200000.00</v>
      </c>
      <c r="L990" t="str">
        <f>"624998 ОБЛ СВЕРДЛОВСКАЯ   Г СЕРОВ   УЛ 4 ПЯТИЛЕТКИ д. 74"</f>
        <v>624998 ОБЛ СВЕРДЛОВСКАЯ   Г СЕРОВ   УЛ 4 ПЯТИЛЕТКИ д. 74</v>
      </c>
      <c r="M990" t="str">
        <f t="shared" si="153"/>
        <v>2019-08-24</v>
      </c>
      <c r="N990" t="str">
        <f>"ООО СМАЙЛ"</f>
        <v>ООО СМАЙЛ</v>
      </c>
      <c r="O990" t="str">
        <f>"624998"</f>
        <v>624998</v>
      </c>
      <c r="P990" t="str">
        <f>"ОБЛ СВЕРДЛОВСКАЯ"</f>
        <v>ОБЛ СВЕРДЛОВСКАЯ</v>
      </c>
      <c r="Q990" t="str">
        <f>""</f>
        <v/>
      </c>
      <c r="R990" t="str">
        <f>"Г СЕРОВ"</f>
        <v>Г СЕРОВ</v>
      </c>
      <c r="S990" t="str">
        <f>""</f>
        <v/>
      </c>
      <c r="T990" t="str">
        <f>"УЛ ЛУНАЧАРСКОГО"</f>
        <v>УЛ ЛУНАЧАРСКОГО</v>
      </c>
      <c r="U990" s="1" t="str">
        <f>"114"</f>
        <v>114</v>
      </c>
      <c r="V990" s="1" t="str">
        <f>""</f>
        <v/>
      </c>
      <c r="W990" s="1" t="str">
        <f>""</f>
        <v/>
      </c>
      <c r="X990" s="1" t="str">
        <f>""</f>
        <v/>
      </c>
      <c r="Y990" s="1" t="str">
        <f>"154"</f>
        <v>154</v>
      </c>
      <c r="Z990" t="str">
        <f>"9630436102"</f>
        <v>9630436102</v>
      </c>
      <c r="AA990" t="str">
        <f>"3438562190"</f>
        <v>3438562190</v>
      </c>
      <c r="AB990" t="str">
        <f>"9521376463"</f>
        <v>9521376463</v>
      </c>
      <c r="AC990" t="str">
        <f>"3438562190"</f>
        <v>3438562190</v>
      </c>
      <c r="AD990" t="str">
        <f>"9521376463"</f>
        <v>9521376463</v>
      </c>
      <c r="AE990" t="str">
        <f>"9630436102"</f>
        <v>9630436102</v>
      </c>
    </row>
    <row r="991" spans="1:31" x14ac:dyDescent="0.45">
      <c r="A991" t="str">
        <f>"ЛЮБАЙКИНА ЕКАТЕРИНА АНДРЕЕВНА"</f>
        <v>ЛЮБАЙКИНА ЕКАТЕРИНА АНДРЕЕВНА</v>
      </c>
      <c r="B991" t="str">
        <f>"1987-04-26"</f>
        <v>1987-04-26</v>
      </c>
      <c r="C991" t="str">
        <f>"65 07 274585"</f>
        <v>65 07 274585</v>
      </c>
      <c r="D991" t="str">
        <f>"4854630032599642"</f>
        <v>4854630032599642</v>
      </c>
      <c r="E991" t="str">
        <f>"2020-11-30"</f>
        <v>2020-11-30</v>
      </c>
      <c r="F991" t="str">
        <f t="shared" si="157"/>
        <v>+</v>
      </c>
      <c r="G991" t="str">
        <f t="shared" si="157"/>
        <v>+</v>
      </c>
      <c r="H991" t="str">
        <f>"40817810616991428268"</f>
        <v>40817810616991428268</v>
      </c>
      <c r="I991" t="str">
        <f>"7003"</f>
        <v>7003</v>
      </c>
      <c r="J991" t="str">
        <f>"0507"</f>
        <v>0507</v>
      </c>
      <c r="K991" t="str">
        <f>"100000.00"</f>
        <v>100000.00</v>
      </c>
      <c r="L991" t="str">
        <f>"620000 ОБЛ СВЕРДЛОВСКАЯ   Г АЛАПАЕВСК   УЛ БРАТЬЕВ СМОЛЬНИКОВЫХ д. 38"</f>
        <v>620000 ОБЛ СВЕРДЛОВСКАЯ   Г АЛАПАЕВСК   УЛ БРАТЬЕВ СМОЛЬНИКОВЫХ д. 38</v>
      </c>
      <c r="M991" t="str">
        <f t="shared" si="153"/>
        <v>2019-08-24</v>
      </c>
      <c r="N991" t="str">
        <f>"ООО ВЕГА ЖИВИКА"</f>
        <v>ООО ВЕГА ЖИВИКА</v>
      </c>
      <c r="O991" t="str">
        <f>"620000"</f>
        <v>620000</v>
      </c>
      <c r="P991" t="str">
        <f>"ОБЛ СВЕРДЛОВСКАЯ"</f>
        <v>ОБЛ СВЕРДЛОВСКАЯ</v>
      </c>
      <c r="Q991" t="str">
        <f>""</f>
        <v/>
      </c>
      <c r="R991" t="str">
        <f>"Г АЛАПАЕВСК"</f>
        <v>Г АЛАПАЕВСК</v>
      </c>
      <c r="S991" t="str">
        <f>""</f>
        <v/>
      </c>
      <c r="T991" t="str">
        <f>"УЛ ПАНФИЛОВЦЕВ"</f>
        <v>УЛ ПАНФИЛОВЦЕВ</v>
      </c>
      <c r="U991" s="1" t="str">
        <f>"44"</f>
        <v>44</v>
      </c>
      <c r="V991" s="1" t="str">
        <f>""</f>
        <v/>
      </c>
      <c r="W991" s="1" t="str">
        <f>""</f>
        <v/>
      </c>
      <c r="X991" s="1" t="str">
        <f>""</f>
        <v/>
      </c>
      <c r="Y991" s="1" t="str">
        <f>""</f>
        <v/>
      </c>
      <c r="Z991" t="str">
        <f>""</f>
        <v/>
      </c>
      <c r="AA991" t="str">
        <f>"9122131926"</f>
        <v>9122131926</v>
      </c>
      <c r="AB991" t="str">
        <f>"9122131926"</f>
        <v>9122131926</v>
      </c>
      <c r="AC991" t="str">
        <f>"9122232143"</f>
        <v>9122232143</v>
      </c>
      <c r="AD991" t="str">
        <f>"9122131926"</f>
        <v>9122131926</v>
      </c>
      <c r="AE991" t="str">
        <f>""</f>
        <v/>
      </c>
    </row>
    <row r="992" spans="1:31" x14ac:dyDescent="0.45">
      <c r="A992" t="str">
        <f>"ИГОШИНА СНЕЖАННА ВАЛЕРЬЕВНА"</f>
        <v>ИГОШИНА СНЕЖАННА ВАЛЕРЬЕВНА</v>
      </c>
      <c r="B992" t="str">
        <f>"1967-01-23"</f>
        <v>1967-01-23</v>
      </c>
      <c r="C992" t="str">
        <f>"67 11 187425"</f>
        <v>67 11 187425</v>
      </c>
      <c r="D992" t="str">
        <f>"4854630377977460"</f>
        <v>4854630377977460</v>
      </c>
      <c r="E992" t="str">
        <f>"2021-04-30"</f>
        <v>2021-04-30</v>
      </c>
      <c r="F992" t="str">
        <f t="shared" si="157"/>
        <v>+</v>
      </c>
      <c r="G992" t="str">
        <f t="shared" si="157"/>
        <v>+</v>
      </c>
      <c r="H992" t="str">
        <f>"40817810516992400220"</f>
        <v>40817810516992400220</v>
      </c>
      <c r="I992" t="str">
        <f>"5940"</f>
        <v>5940</v>
      </c>
      <c r="J992" t="str">
        <f>"0100"</f>
        <v>0100</v>
      </c>
      <c r="K992" t="str">
        <f>"90000.00"</f>
        <v>90000.00</v>
      </c>
      <c r="L992" t="str">
        <f>"628300 ОБЛ ТЮМЕНСКАЯ     Г НЕФТЕЮГАНСК МКР 16 д. 42"</f>
        <v>628300 ОБЛ ТЮМЕНСКАЯ     Г НЕФТЕЮГАНСК МКР 16 д. 42</v>
      </c>
      <c r="M992" t="str">
        <f t="shared" si="153"/>
        <v>2019-08-24</v>
      </c>
      <c r="N992" t="str">
        <f>"ОАО ЖЕУ 7"</f>
        <v>ОАО ЖЕУ 7</v>
      </c>
      <c r="O992" t="str">
        <f>"628300"</f>
        <v>628300</v>
      </c>
      <c r="P992" t="str">
        <f>"ОБЛ ТЮМЕНСКАЯ"</f>
        <v>ОБЛ ТЮМЕНСКАЯ</v>
      </c>
      <c r="Q992" t="str">
        <f>""</f>
        <v/>
      </c>
      <c r="R992" t="str">
        <f>""</f>
        <v/>
      </c>
      <c r="S992" t="str">
        <f>"Г НЕФТЕЮГАНСК"</f>
        <v>Г НЕФТЕЮГАНСК</v>
      </c>
      <c r="T992" t="str">
        <f>"МКР 14"</f>
        <v>МКР 14</v>
      </c>
      <c r="U992" s="1" t="str">
        <f>"40"</f>
        <v>40</v>
      </c>
      <c r="V992" s="1" t="str">
        <f>""</f>
        <v/>
      </c>
      <c r="W992" s="1" t="str">
        <f>""</f>
        <v/>
      </c>
      <c r="X992" s="1" t="str">
        <f>""</f>
        <v/>
      </c>
      <c r="Y992" s="1" t="str">
        <f>"182"</f>
        <v>182</v>
      </c>
      <c r="Z992" t="str">
        <f>""</f>
        <v/>
      </c>
      <c r="AA992" t="str">
        <f>"232429"</f>
        <v>232429</v>
      </c>
      <c r="AB992" t="str">
        <f>"9224170517"</f>
        <v>9224170517</v>
      </c>
      <c r="AC992" t="str">
        <f>"9224170517"</f>
        <v>9224170517</v>
      </c>
      <c r="AD992" t="str">
        <f>"9224170517"</f>
        <v>9224170517</v>
      </c>
      <c r="AE992" t="str">
        <f>""</f>
        <v/>
      </c>
    </row>
    <row r="993" spans="1:31" x14ac:dyDescent="0.45">
      <c r="A993" t="str">
        <f>"АКСАРИН РУСЛАН РИНАТОВИЧ"</f>
        <v>АКСАРИН РУСЛАН РИНАТОВИЧ</v>
      </c>
      <c r="B993" t="str">
        <f>"1987-08-17"</f>
        <v>1987-08-17</v>
      </c>
      <c r="C993" t="str">
        <f>"80 06 309689"</f>
        <v>80 06 309689</v>
      </c>
      <c r="D993" t="str">
        <f>"4854630207324693"</f>
        <v>4854630207324693</v>
      </c>
      <c r="E993" t="str">
        <f>"2021-04-30"</f>
        <v>2021-04-30</v>
      </c>
      <c r="F993" t="str">
        <f t="shared" si="157"/>
        <v>+</v>
      </c>
      <c r="G993" t="str">
        <f t="shared" si="157"/>
        <v>+</v>
      </c>
      <c r="H993" t="str">
        <f>"40817810216991428309"</f>
        <v>40817810216991428309</v>
      </c>
      <c r="I993" t="str">
        <f>"8598"</f>
        <v>8598</v>
      </c>
      <c r="J993" t="str">
        <f>"0791"</f>
        <v>0791</v>
      </c>
      <c r="K993" t="str">
        <f>"11000.00"</f>
        <v>11000.00</v>
      </c>
      <c r="L993" t="str">
        <f>"453250 РЕСП БАШКОРТОСТАН   Г САЛАВАТ   УЛ МОЛОДОГВАРДЕЙЦЕВ д. 30"</f>
        <v>453250 РЕСП БАШКОРТОСТАН   Г САЛАВАТ   УЛ МОЛОДОГВАРДЕЙЦЕВ д. 30</v>
      </c>
      <c r="M993" t="str">
        <f t="shared" si="153"/>
        <v>2019-08-24</v>
      </c>
      <c r="N993" t="str">
        <f>"ООО ГАЗПРОМ НЕФТЕХИМ САЛАВАТ"</f>
        <v>ООО ГАЗПРОМ НЕФТЕХИМ САЛАВАТ</v>
      </c>
      <c r="O993" t="str">
        <f>"453250"</f>
        <v>453250</v>
      </c>
      <c r="P993" t="str">
        <f>"РЕСП БАШКОРТОСТАН"</f>
        <v>РЕСП БАШКОРТОСТАН</v>
      </c>
      <c r="Q993" t="str">
        <f>""</f>
        <v/>
      </c>
      <c r="R993" t="str">
        <f>"Г САЛАВАТ"</f>
        <v>Г САЛАВАТ</v>
      </c>
      <c r="S993" t="str">
        <f>""</f>
        <v/>
      </c>
      <c r="T993" t="str">
        <f>"УЛ КАЛИНИНА"</f>
        <v>УЛ КАЛИНИНА</v>
      </c>
      <c r="U993" s="1" t="str">
        <f>"56"</f>
        <v>56</v>
      </c>
      <c r="V993" s="1" t="str">
        <f>""</f>
        <v/>
      </c>
      <c r="W993" s="1" t="str">
        <f>""</f>
        <v/>
      </c>
      <c r="X993" s="1" t="str">
        <f>""</f>
        <v/>
      </c>
      <c r="Y993" s="1" t="str">
        <f>"100"</f>
        <v>100</v>
      </c>
      <c r="Z993" t="str">
        <f>"3476396516"</f>
        <v>3476396516</v>
      </c>
      <c r="AA993" t="str">
        <f>"3476341935"</f>
        <v>3476341935</v>
      </c>
      <c r="AB993" t="str">
        <f>"9174552305"</f>
        <v>9174552305</v>
      </c>
      <c r="AC993" t="str">
        <f>"9173484352"</f>
        <v>9173484352</v>
      </c>
      <c r="AD993" t="str">
        <f>"9174552305"</f>
        <v>9174552305</v>
      </c>
      <c r="AE993" t="str">
        <f>"3476396516"</f>
        <v>3476396516</v>
      </c>
    </row>
    <row r="994" spans="1:31" x14ac:dyDescent="0.45">
      <c r="A994" t="str">
        <f>"ШИНКАРЕВ АНТОН СЕРГЕЕВИЧ"</f>
        <v>ШИНКАРЕВ АНТОН СЕРГЕЕВИЧ</v>
      </c>
      <c r="B994" t="str">
        <f>"1985-01-06"</f>
        <v>1985-01-06</v>
      </c>
      <c r="C994" t="str">
        <f>"65 07 155742"</f>
        <v>65 07 155742</v>
      </c>
      <c r="D994" t="str">
        <f>"4854630196661121"</f>
        <v>4854630196661121</v>
      </c>
      <c r="E994" t="str">
        <f>"2021-04-30"</f>
        <v>2021-04-30</v>
      </c>
      <c r="F994" t="str">
        <f t="shared" si="157"/>
        <v>+</v>
      </c>
      <c r="G994" t="str">
        <f t="shared" si="157"/>
        <v>+</v>
      </c>
      <c r="H994" t="str">
        <f>"40817810116991428331"</f>
        <v>40817810116991428331</v>
      </c>
      <c r="I994" t="str">
        <f>"7003"</f>
        <v>7003</v>
      </c>
      <c r="J994" t="str">
        <f>"0897"</f>
        <v>0897</v>
      </c>
      <c r="K994" t="str">
        <f>"30000.00"</f>
        <v>30000.00</v>
      </c>
      <c r="L994" t="str">
        <f>"620000 ОБЛ СВЕРДЛОВСКАЯ   Г ЕКАТЕРИНБУРГ   УЛ ЯСНАЯ д. 5"</f>
        <v>620000 ОБЛ СВЕРДЛОВСКАЯ   Г ЕКАТЕРИНБУРГ   УЛ ЯСНАЯ д. 5</v>
      </c>
      <c r="M994" t="str">
        <f t="shared" si="153"/>
        <v>2019-08-24</v>
      </c>
      <c r="N994" t="str">
        <f>"ДВОРЕЦ МОЛОДЕЖИ"</f>
        <v>ДВОРЕЦ МОЛОДЕЖИ</v>
      </c>
      <c r="O994" t="str">
        <f>"620000"</f>
        <v>620000</v>
      </c>
      <c r="P994" t="str">
        <f>"ОБЛ СВЕРДЛОВСКАЯ"</f>
        <v>ОБЛ СВЕРДЛОВСКАЯ</v>
      </c>
      <c r="Q994" t="str">
        <f>""</f>
        <v/>
      </c>
      <c r="R994" t="str">
        <f>"Г ЕКАТЕРИНБУРГ"</f>
        <v>Г ЕКАТЕРИНБУРГ</v>
      </c>
      <c r="S994" t="str">
        <f>""</f>
        <v/>
      </c>
      <c r="T994" t="str">
        <f>"УЛ ВИЛОНОВА"</f>
        <v>УЛ ВИЛОНОВА</v>
      </c>
      <c r="U994" s="1" t="str">
        <f>"8"</f>
        <v>8</v>
      </c>
      <c r="V994" s="1" t="str">
        <f>""</f>
        <v/>
      </c>
      <c r="W994" s="1" t="str">
        <f>""</f>
        <v/>
      </c>
      <c r="X994" s="1" t="str">
        <f>""</f>
        <v/>
      </c>
      <c r="Y994" s="1" t="str">
        <f>"64"</f>
        <v>64</v>
      </c>
      <c r="Z994" t="str">
        <f>""</f>
        <v/>
      </c>
      <c r="AA994" t="str">
        <f>"9000000000"</f>
        <v>9000000000</v>
      </c>
      <c r="AB994" t="str">
        <f>"9221474312"</f>
        <v>9221474312</v>
      </c>
      <c r="AC994" t="str">
        <f>"9000000000"</f>
        <v>9000000000</v>
      </c>
      <c r="AD994" t="str">
        <f>"9221474312"</f>
        <v>9221474312</v>
      </c>
      <c r="AE994" t="str">
        <f>""</f>
        <v/>
      </c>
    </row>
    <row r="995" spans="1:31" x14ac:dyDescent="0.45">
      <c r="A995" t="str">
        <f>"КЛЕЙМЕНОВА ГАЛИНА АЛЕКСАНДРОВНА"</f>
        <v>КЛЕЙМЕНОВА ГАЛИНА АЛЕКСАНДРОВНА</v>
      </c>
      <c r="B995" t="str">
        <f>"1955-07-16"</f>
        <v>1955-07-16</v>
      </c>
      <c r="C995" t="str">
        <f>"37 02 385406"</f>
        <v>37 02 385406</v>
      </c>
      <c r="D995" t="str">
        <f>"4279011690412781"</f>
        <v>4279011690412781</v>
      </c>
      <c r="E995" t="str">
        <f t="shared" ref="E995:E1002" si="158">"2021-05-31"</f>
        <v>2021-05-31</v>
      </c>
      <c r="F995" t="str">
        <f>"Q"</f>
        <v>Q</v>
      </c>
      <c r="G995" t="str">
        <f>"Q"</f>
        <v>Q</v>
      </c>
      <c r="H995" t="str">
        <f>"40817810516991425170"</f>
        <v>40817810516991425170</v>
      </c>
      <c r="I995" t="str">
        <f>"8599"</f>
        <v>8599</v>
      </c>
      <c r="J995" t="str">
        <f>"7770"</f>
        <v>7770</v>
      </c>
      <c r="K995" t="str">
        <f>"0.00"</f>
        <v>0.00</v>
      </c>
      <c r="L995" t="str">
        <f>"640000 ОБЛ КУРГАНСКАЯ   Г КУРГАН   УЛ ЧЕРНОРЕЧЕНСКАЯ д. 105 кв. 0"</f>
        <v>640000 ОБЛ КУРГАНСКАЯ   Г КУРГАН   УЛ ЧЕРНОРЕЧЕНСКАЯ д. 105 кв. 0</v>
      </c>
      <c r="M995" t="str">
        <f t="shared" si="153"/>
        <v>2019-08-24</v>
      </c>
      <c r="N995" t="str">
        <f>"ОФО МО ПО ЧЕЛЯБ., ТЮМ. И КУРГ. ОБЛ."</f>
        <v>ОФО МО ПО ЧЕЛЯБ., ТЮМ. И КУРГ. ОБЛ.</v>
      </c>
      <c r="O995" t="str">
        <f>"640000"</f>
        <v>640000</v>
      </c>
      <c r="P995" t="str">
        <f>"ОБЛ КУРГАНСКАЯ"</f>
        <v>ОБЛ КУРГАНСКАЯ</v>
      </c>
      <c r="Q995" t="str">
        <f>""</f>
        <v/>
      </c>
      <c r="R995" t="str">
        <f>"Г КУРГАН"</f>
        <v>Г КУРГАН</v>
      </c>
      <c r="S995" t="str">
        <f>""</f>
        <v/>
      </c>
      <c r="T995" t="str">
        <f>"УЛ СТАНЦИОННАЯ"</f>
        <v>УЛ СТАНЦИОННАЯ</v>
      </c>
      <c r="U995" s="1" t="str">
        <f>"68"</f>
        <v>68</v>
      </c>
      <c r="V995" s="1" t="str">
        <f>""</f>
        <v/>
      </c>
      <c r="W995" s="1" t="str">
        <f>""</f>
        <v/>
      </c>
      <c r="X995" s="1" t="str">
        <f>""</f>
        <v/>
      </c>
      <c r="Y995" s="1" t="str">
        <f>"2"</f>
        <v>2</v>
      </c>
      <c r="Z995" t="str">
        <f>"3522443218"</f>
        <v>3522443218</v>
      </c>
      <c r="AA995" t="str">
        <f>"3522236746"</f>
        <v>3522236746</v>
      </c>
      <c r="AB995" t="str">
        <f>"9003818391"</f>
        <v>9003818391</v>
      </c>
      <c r="AC995" t="str">
        <f>"9003818391"</f>
        <v>9003818391</v>
      </c>
      <c r="AD995" t="str">
        <f>"9003818391"</f>
        <v>9003818391</v>
      </c>
      <c r="AE995" t="str">
        <f>"3522443218"</f>
        <v>3522443218</v>
      </c>
    </row>
    <row r="996" spans="1:31" x14ac:dyDescent="0.45">
      <c r="A996" t="str">
        <f>"ШЕВАЛДИНА ГАЛИНА НИКОЛАЕВНА"</f>
        <v>ШЕВАЛДИНА ГАЛИНА НИКОЛАЕВНА</v>
      </c>
      <c r="B996" t="str">
        <f>"1970-02-19"</f>
        <v>1970-02-19</v>
      </c>
      <c r="C996" t="str">
        <f>"75 14 594540"</f>
        <v>75 14 594540</v>
      </c>
      <c r="D996" t="str">
        <f>"4279011633008076"</f>
        <v>4279011633008076</v>
      </c>
      <c r="E996" t="str">
        <f t="shared" si="158"/>
        <v>2021-05-31</v>
      </c>
      <c r="F996" t="str">
        <f>"+"</f>
        <v>+</v>
      </c>
      <c r="G996" t="str">
        <f>"+"</f>
        <v>+</v>
      </c>
      <c r="H996" t="str">
        <f>"40817810116991425172"</f>
        <v>40817810116991425172</v>
      </c>
      <c r="I996" t="str">
        <f>"8597"</f>
        <v>8597</v>
      </c>
      <c r="J996" t="str">
        <f>"7770"</f>
        <v>7770</v>
      </c>
      <c r="K996" t="str">
        <f>"19000.00"</f>
        <v>19000.00</v>
      </c>
      <c r="L996" t="str">
        <f>"454000 ОБЛ ЧЕЛЯБИНСКАЯ   Г ЧЕЛЯБИНСК   УЛ ПЕРВОЙ ПЯТИЛЕТКИ д. 57"</f>
        <v>454000 ОБЛ ЧЕЛЯБИНСКАЯ   Г ЧЕЛЯБИНСК   УЛ ПЕРВОЙ ПЯТИЛЕТКИ д. 57</v>
      </c>
      <c r="M996" t="str">
        <f t="shared" si="153"/>
        <v>2019-08-24</v>
      </c>
      <c r="N996" t="str">
        <f>"МКУ КРУ"</f>
        <v>МКУ КРУ</v>
      </c>
      <c r="O996" t="str">
        <f>"454000"</f>
        <v>454000</v>
      </c>
      <c r="P996" t="str">
        <f>"ОБЛ ЧЕЛЯБИНСКАЯ"</f>
        <v>ОБЛ ЧЕЛЯБИНСКАЯ</v>
      </c>
      <c r="Q996" t="str">
        <f>""</f>
        <v/>
      </c>
      <c r="R996" t="str">
        <f>"Г ЧЕЛЯБИНСК"</f>
        <v>Г ЧЕЛЯБИНСК</v>
      </c>
      <c r="S996" t="str">
        <f>""</f>
        <v/>
      </c>
      <c r="T996" t="str">
        <f>"УЛ ШАДРИНСКАЯ"</f>
        <v>УЛ ШАДРИНСКАЯ</v>
      </c>
      <c r="U996" s="1" t="str">
        <f>"66"</f>
        <v>66</v>
      </c>
      <c r="V996" s="1" t="str">
        <f>""</f>
        <v/>
      </c>
      <c r="W996" s="1" t="str">
        <f>""</f>
        <v/>
      </c>
      <c r="X996" s="1" t="str">
        <f>""</f>
        <v/>
      </c>
      <c r="Y996" s="1" t="str">
        <f>""</f>
        <v/>
      </c>
      <c r="Z996" t="str">
        <f>"3512452632"</f>
        <v>3512452632</v>
      </c>
      <c r="AA996" t="str">
        <f>"0000000000"</f>
        <v>0000000000</v>
      </c>
      <c r="AB996" t="str">
        <f>"9080567997"</f>
        <v>9080567997</v>
      </c>
      <c r="AC996" t="str">
        <f>"0000000000"</f>
        <v>0000000000</v>
      </c>
      <c r="AD996" t="str">
        <f>"9080567997"</f>
        <v>9080567997</v>
      </c>
      <c r="AE996" t="str">
        <f>"3512452632"</f>
        <v>3512452632</v>
      </c>
    </row>
    <row r="997" spans="1:31" x14ac:dyDescent="0.45">
      <c r="A997" t="str">
        <f>"ЖУКОВСКАЯ НАТАЛЬЯ ВЛАДИМИРОВНА"</f>
        <v>ЖУКОВСКАЯ НАТАЛЬЯ ВЛАДИМИРОВНА</v>
      </c>
      <c r="B997" t="str">
        <f>"1971-03-15"</f>
        <v>1971-03-15</v>
      </c>
      <c r="C997" t="str">
        <f>"65 15 168420"</f>
        <v>65 15 168420</v>
      </c>
      <c r="D997" t="str">
        <f>"4279011650168316"</f>
        <v>4279011650168316</v>
      </c>
      <c r="E997" t="str">
        <f t="shared" si="158"/>
        <v>2021-05-31</v>
      </c>
      <c r="F997" t="str">
        <f>"+"</f>
        <v>+</v>
      </c>
      <c r="G997" t="str">
        <f>"+"</f>
        <v>+</v>
      </c>
      <c r="H997" t="str">
        <f>"40817810116991425208"</f>
        <v>40817810116991425208</v>
      </c>
      <c r="I997" t="str">
        <f>"7003"</f>
        <v>7003</v>
      </c>
      <c r="J997" t="str">
        <f>"0453"</f>
        <v>0453</v>
      </c>
      <c r="K997" t="str">
        <f>"300000.00"</f>
        <v>300000.00</v>
      </c>
      <c r="L997" t="str">
        <f>"620000 ОБЛ СВЕРДЛОВСКАЯ   Г ЕКАТЕРИНБУРГ   ПЕР КОРОТКИЙ д. 5 корп. 1 кв. 10"</f>
        <v>620000 ОБЛ СВЕРДЛОВСКАЯ   Г ЕКАТЕРИНБУРГ   ПЕР КОРОТКИЙ д. 5 корп. 1 кв. 10</v>
      </c>
      <c r="M997" t="str">
        <f t="shared" si="153"/>
        <v>2019-08-24</v>
      </c>
      <c r="N997" t="str">
        <f>"ИП ЖУКОВСКАЯ Н.В."</f>
        <v>ИП ЖУКОВСКАЯ Н.В.</v>
      </c>
      <c r="O997" t="str">
        <f>"620000"</f>
        <v>620000</v>
      </c>
      <c r="P997" t="str">
        <f>"ОБЛ СВЕРДЛОВСКАЯ"</f>
        <v>ОБЛ СВЕРДЛОВСКАЯ</v>
      </c>
      <c r="Q997" t="str">
        <f>""</f>
        <v/>
      </c>
      <c r="R997" t="str">
        <f>"Г ЕКАТЕРИНБУРГ"</f>
        <v>Г ЕКАТЕРИНБУРГ</v>
      </c>
      <c r="S997" t="str">
        <f>""</f>
        <v/>
      </c>
      <c r="T997" t="str">
        <f>"ПЕР КОРОТКИЙ"</f>
        <v>ПЕР КОРОТКИЙ</v>
      </c>
      <c r="U997" s="1" t="str">
        <f>"5"</f>
        <v>5</v>
      </c>
      <c r="V997" s="1" t="str">
        <f>""</f>
        <v/>
      </c>
      <c r="W997" s="1" t="str">
        <f>"1"</f>
        <v>1</v>
      </c>
      <c r="X997" s="1" t="str">
        <f>""</f>
        <v/>
      </c>
      <c r="Y997" s="1" t="str">
        <f>"10"</f>
        <v>10</v>
      </c>
      <c r="Z997" t="str">
        <f>""</f>
        <v/>
      </c>
      <c r="AA997" t="str">
        <f>"9220365031"</f>
        <v>9220365031</v>
      </c>
      <c r="AB997" t="str">
        <f>"9220365031"</f>
        <v>9220365031</v>
      </c>
      <c r="AC997" t="str">
        <f>"9220365031"</f>
        <v>9220365031</v>
      </c>
      <c r="AD997" t="str">
        <f>"9220365031"</f>
        <v>9220365031</v>
      </c>
      <c r="AE997" t="str">
        <f>""</f>
        <v/>
      </c>
    </row>
    <row r="998" spans="1:31" x14ac:dyDescent="0.45">
      <c r="A998" t="str">
        <f>"АСФАНДИЯРОВА ФИРДАУС РАМАЗАНОВНА"</f>
        <v>АСФАНДИЯРОВА ФИРДАУС РАМАЗАНОВНА</v>
      </c>
      <c r="B998" t="str">
        <f>"1966-03-16"</f>
        <v>1966-03-16</v>
      </c>
      <c r="C998" t="str">
        <f>"80 10 283300"</f>
        <v>80 10 283300</v>
      </c>
      <c r="D998" t="str">
        <f>"4279011657416858"</f>
        <v>4279011657416858</v>
      </c>
      <c r="E998" t="str">
        <f t="shared" si="158"/>
        <v>2021-05-31</v>
      </c>
      <c r="F998" t="str">
        <f>"K"</f>
        <v>K</v>
      </c>
      <c r="G998" t="str">
        <f>"+"</f>
        <v>+</v>
      </c>
      <c r="H998" t="str">
        <f>"40817810716991425213"</f>
        <v>40817810716991425213</v>
      </c>
      <c r="I998" t="str">
        <f>"8598"</f>
        <v>8598</v>
      </c>
      <c r="J998" t="str">
        <f>"7771"</f>
        <v>7771</v>
      </c>
      <c r="K998" t="str">
        <f>"50000.00"</f>
        <v>50000.00</v>
      </c>
      <c r="L998" t="str">
        <f>"450000 РЕСП БАШКОРТОСТАН Р-Н ГАФУРИЙСКИЙ   С КРАСНОУСОЛЬСКИЙ УЛ ОКТЯБРЬСКАЯ д. 2А"</f>
        <v>450000 РЕСП БАШКОРТОСТАН Р-Н ГАФУРИЙСКИЙ   С КРАСНОУСОЛЬСКИЙ УЛ ОКТЯБРЬСКАЯ д. 2А</v>
      </c>
      <c r="M998" t="str">
        <f t="shared" si="153"/>
        <v>2019-08-24</v>
      </c>
      <c r="N998" t="str">
        <f>"АДМИНИСТРАЦИЯ МР ГАФУРИЙСКОГО РАЙОНА"</f>
        <v>АДМИНИСТРАЦИЯ МР ГАФУРИЙСКОГО РАЙОНА</v>
      </c>
      <c r="O998" t="str">
        <f>"450000"</f>
        <v>450000</v>
      </c>
      <c r="P998" t="str">
        <f>"РЕСП БАШКОРТОСТАН"</f>
        <v>РЕСП БАШКОРТОСТАН</v>
      </c>
      <c r="Q998" t="str">
        <f>"Р-Н ГАФУРИЙСКИЙ"</f>
        <v>Р-Н ГАФУРИЙСКИЙ</v>
      </c>
      <c r="R998" t="str">
        <f>""</f>
        <v/>
      </c>
      <c r="S998" t="str">
        <f>"С Н.ТАШБУКАН"</f>
        <v>С Н.ТАШБУКАН</v>
      </c>
      <c r="T998" t="str">
        <f>"УЛ М.ГАФУРИ"</f>
        <v>УЛ М.ГАФУРИ</v>
      </c>
      <c r="U998" s="1" t="str">
        <f>"58"</f>
        <v>58</v>
      </c>
      <c r="V998" s="1" t="str">
        <f>""</f>
        <v/>
      </c>
      <c r="W998" s="1" t="str">
        <f>""</f>
        <v/>
      </c>
      <c r="X998" s="1" t="str">
        <f>""</f>
        <v/>
      </c>
      <c r="Y998" s="1" t="str">
        <f>""</f>
        <v/>
      </c>
      <c r="Z998" t="str">
        <f>""</f>
        <v/>
      </c>
      <c r="AA998" t="str">
        <f>"9876153680"</f>
        <v>9876153680</v>
      </c>
      <c r="AB998" t="str">
        <f>"9876153680"</f>
        <v>9876153680</v>
      </c>
      <c r="AC998" t="str">
        <f>"3474020000"</f>
        <v>3474020000</v>
      </c>
      <c r="AD998" t="str">
        <f>"9876153680"</f>
        <v>9876153680</v>
      </c>
      <c r="AE998" t="str">
        <f>""</f>
        <v/>
      </c>
    </row>
    <row r="999" spans="1:31" x14ac:dyDescent="0.45">
      <c r="A999" t="str">
        <f>"ЛУХУТАШВИЛИ ЕЛЕНА МИХАЙЛОВНА"</f>
        <v>ЛУХУТАШВИЛИ ЕЛЕНА МИХАЙЛОВНА</v>
      </c>
      <c r="B999" t="str">
        <f>"1971-01-05"</f>
        <v>1971-01-05</v>
      </c>
      <c r="C999" t="str">
        <f>"75 15 728764"</f>
        <v>75 15 728764</v>
      </c>
      <c r="D999" t="str">
        <f>"4279011658550242"</f>
        <v>4279011658550242</v>
      </c>
      <c r="E999" t="str">
        <f t="shared" si="158"/>
        <v>2021-05-31</v>
      </c>
      <c r="F999" t="str">
        <f>"Q"</f>
        <v>Q</v>
      </c>
      <c r="G999" t="str">
        <f>"Q"</f>
        <v>Q</v>
      </c>
      <c r="H999" t="str">
        <f>"40817810616991425216"</f>
        <v>40817810616991425216</v>
      </c>
      <c r="I999" t="str">
        <f>"8597"</f>
        <v>8597</v>
      </c>
      <c r="J999" t="str">
        <f>"0295"</f>
        <v>0295</v>
      </c>
      <c r="K999" t="str">
        <f>"0.00"</f>
        <v>0.00</v>
      </c>
      <c r="L999" t="str">
        <f>"456600 ОБЛ ЧЕЛЯБИНСКАЯ   Г КОПЕЙСК   УЛ БОРЬБЫ д. 34"</f>
        <v>456600 ОБЛ ЧЕЛЯБИНСКАЯ   Г КОПЕЙСК   УЛ БОРЬБЫ д. 34</v>
      </c>
      <c r="M999" t="str">
        <f t="shared" si="153"/>
        <v>2019-08-24</v>
      </c>
      <c r="N999" t="str">
        <f>"МЛПУЗ ГОР. БОЛЬНИЦА №1"</f>
        <v>МЛПУЗ ГОР. БОЛЬНИЦА №1</v>
      </c>
      <c r="O999" t="str">
        <f>"456600"</f>
        <v>456600</v>
      </c>
      <c r="P999" t="str">
        <f>"ОБЛ ЧЕЛЯБИНСКАЯ"</f>
        <v>ОБЛ ЧЕЛЯБИНСКАЯ</v>
      </c>
      <c r="Q999" t="str">
        <f>""</f>
        <v/>
      </c>
      <c r="R999" t="str">
        <f>"Г КОПЕЙСК"</f>
        <v>Г КОПЕЙСК</v>
      </c>
      <c r="S999" t="str">
        <f>""</f>
        <v/>
      </c>
      <c r="T999" t="str">
        <f>"УЛ КОРОЛЕНКО"</f>
        <v>УЛ КОРОЛЕНКО</v>
      </c>
      <c r="U999" s="1" t="str">
        <f>"4 А"</f>
        <v>4 А</v>
      </c>
      <c r="V999" s="1" t="str">
        <f>""</f>
        <v/>
      </c>
      <c r="W999" s="1" t="str">
        <f>""</f>
        <v/>
      </c>
      <c r="X999" s="1" t="str">
        <f>""</f>
        <v/>
      </c>
      <c r="Y999" s="1" t="str">
        <f>"110"</f>
        <v>110</v>
      </c>
      <c r="Z999" t="str">
        <f>"+7 (3519) 327703"</f>
        <v>+7 (3519) 327703</v>
      </c>
      <c r="AA999" t="str">
        <f>"+7 (902) 8978827"</f>
        <v>+7 (902) 8978827</v>
      </c>
      <c r="AB999" t="str">
        <f>"+7 (902) 8978827"</f>
        <v>+7 (902) 8978827</v>
      </c>
      <c r="AC999" t="str">
        <f>"9028978827"</f>
        <v>9028978827</v>
      </c>
      <c r="AD999" t="str">
        <f>"9028978827"</f>
        <v>9028978827</v>
      </c>
      <c r="AE999" t="str">
        <f>"3519327703"</f>
        <v>3519327703</v>
      </c>
    </row>
    <row r="1000" spans="1:31" x14ac:dyDescent="0.45">
      <c r="A1000" t="str">
        <f>"САЙФУЛЛИНА ЭЛЬЗА ФРАНИСОВНА"</f>
        <v>САЙФУЛЛИНА ЭЛЬЗА ФРАНИСОВНА</v>
      </c>
      <c r="B1000" t="str">
        <f>"1979-10-31"</f>
        <v>1979-10-31</v>
      </c>
      <c r="C1000" t="str">
        <f>"80 03 276503"</f>
        <v>80 03 276503</v>
      </c>
      <c r="D1000" t="str">
        <f>"4276011672312911"</f>
        <v>4276011672312911</v>
      </c>
      <c r="E1000" t="str">
        <f t="shared" si="158"/>
        <v>2021-05-31</v>
      </c>
      <c r="F1000" t="str">
        <f>"+"</f>
        <v>+</v>
      </c>
      <c r="G1000" t="str">
        <f>"+"</f>
        <v>+</v>
      </c>
      <c r="H1000" t="str">
        <f>"40817810516991425219"</f>
        <v>40817810516991425219</v>
      </c>
      <c r="I1000" t="str">
        <f>"8598"</f>
        <v>8598</v>
      </c>
      <c r="J1000" t="str">
        <f>"0165"</f>
        <v>0165</v>
      </c>
      <c r="K1000" t="str">
        <f>"60000.00"</f>
        <v>60000.00</v>
      </c>
      <c r="L1000" t="str">
        <f>"450008 РЕСП БАШКОРТОСТАН   Г УФА   УЛ ПУШКИНА д. 95"</f>
        <v>450008 РЕСП БАШКОРТОСТАН   Г УФА   УЛ ПУШКИНА д. 95</v>
      </c>
      <c r="M1000" t="str">
        <f t="shared" si="153"/>
        <v>2019-08-24</v>
      </c>
      <c r="N1000" t="str">
        <f>"ГКУЗ РКБ №2"</f>
        <v>ГКУЗ РКБ №2</v>
      </c>
      <c r="O1000" t="str">
        <f>"450080"</f>
        <v>450080</v>
      </c>
      <c r="P1000" t="str">
        <f>"РЕСП БАШКОРТОСТАН"</f>
        <v>РЕСП БАШКОРТОСТАН</v>
      </c>
      <c r="Q1000" t="str">
        <f>""</f>
        <v/>
      </c>
      <c r="R1000" t="str">
        <f>"Г УФА"</f>
        <v>Г УФА</v>
      </c>
      <c r="S1000" t="str">
        <f>""</f>
        <v/>
      </c>
      <c r="T1000" t="str">
        <f>"УЛ МЕНДЕЛЕЕВА"</f>
        <v>УЛ МЕНДЕЛЕЕВА</v>
      </c>
      <c r="U1000" s="1" t="str">
        <f>"150"</f>
        <v>150</v>
      </c>
      <c r="V1000" s="1" t="str">
        <f>""</f>
        <v/>
      </c>
      <c r="W1000" s="1" t="str">
        <f>"4"</f>
        <v>4</v>
      </c>
      <c r="X1000" s="1" t="str">
        <f>""</f>
        <v/>
      </c>
      <c r="Y1000" s="1" t="str">
        <f>"147"</f>
        <v>147</v>
      </c>
      <c r="Z1000" t="str">
        <f>"+7 (347) 2728346"</f>
        <v>+7 (347) 2728346</v>
      </c>
      <c r="AA1000" t="str">
        <f>"+7 (917) 7598052"</f>
        <v>+7 (917) 7598052</v>
      </c>
      <c r="AB1000" t="str">
        <f>"+7 (917) 7598052"</f>
        <v>+7 (917) 7598052</v>
      </c>
      <c r="AC1000" t="str">
        <f>""</f>
        <v/>
      </c>
      <c r="AD1000" t="str">
        <f>"9177598052"</f>
        <v>9177598052</v>
      </c>
      <c r="AE1000" t="str">
        <f>""</f>
        <v/>
      </c>
    </row>
    <row r="1001" spans="1:31" x14ac:dyDescent="0.45">
      <c r="A1001" t="str">
        <f>"РЫБАКОВ ИЛЬЯ ПЕТРОВИЧ"</f>
        <v>РЫБАКОВ ИЛЬЯ ПЕТРОВИЧ</v>
      </c>
      <c r="B1001" t="str">
        <f>"1964-04-13"</f>
        <v>1964-04-13</v>
      </c>
      <c r="C1001" t="str">
        <f>"80 08 744858"</f>
        <v>80 08 744858</v>
      </c>
      <c r="D1001" t="str">
        <f>"4279011684421467"</f>
        <v>4279011684421467</v>
      </c>
      <c r="E1001" t="str">
        <f t="shared" si="158"/>
        <v>2021-05-31</v>
      </c>
      <c r="F1001" t="str">
        <f>"Y"</f>
        <v>Y</v>
      </c>
      <c r="G1001" t="str">
        <f>"Q"</f>
        <v>Q</v>
      </c>
      <c r="H1001" t="str">
        <f>"40817810116991425224"</f>
        <v>40817810116991425224</v>
      </c>
      <c r="I1001" t="str">
        <f>"8598"</f>
        <v>8598</v>
      </c>
      <c r="J1001" t="str">
        <f>"0768"</f>
        <v>0768</v>
      </c>
      <c r="K1001" t="str">
        <f>"0.00"</f>
        <v>0.00</v>
      </c>
      <c r="L1001" t="str">
        <f>"450000 РЕСП БАШКОРТОСТАН   Г МЕЛЕУЗ   УЛ ПЕРВОМАЙСКАЯ д. 16 кв. 16"</f>
        <v>450000 РЕСП БАШКОРТОСТАН   Г МЕЛЕУЗ   УЛ ПЕРВОМАЙСКАЯ д. 16 кв. 16</v>
      </c>
      <c r="M1001" t="str">
        <f t="shared" si="153"/>
        <v>2019-08-24</v>
      </c>
      <c r="N1001" t="str">
        <f>"НЕ РАБОТАЕТ"</f>
        <v>НЕ РАБОТАЕТ</v>
      </c>
      <c r="O1001" t="str">
        <f>"450000"</f>
        <v>450000</v>
      </c>
      <c r="P1001" t="str">
        <f>"РЕСП БАШКОРТОСТАН"</f>
        <v>РЕСП БАШКОРТОСТАН</v>
      </c>
      <c r="Q1001" t="str">
        <f>""</f>
        <v/>
      </c>
      <c r="R1001" t="str">
        <f>"Г МЕЛЕУЗ"</f>
        <v>Г МЕЛЕУЗ</v>
      </c>
      <c r="S1001" t="str">
        <f>""</f>
        <v/>
      </c>
      <c r="T1001" t="str">
        <f>"УЛ ПЕРВОМАЙСКАЯ"</f>
        <v>УЛ ПЕРВОМАЙСКАЯ</v>
      </c>
      <c r="U1001" s="1" t="str">
        <f>"16"</f>
        <v>16</v>
      </c>
      <c r="V1001" s="1" t="str">
        <f>""</f>
        <v/>
      </c>
      <c r="W1001" s="1" t="str">
        <f>""</f>
        <v/>
      </c>
      <c r="X1001" s="1" t="str">
        <f>""</f>
        <v/>
      </c>
      <c r="Y1001" s="1" t="str">
        <f>"16"</f>
        <v>16</v>
      </c>
      <c r="Z1001" t="str">
        <f>"+7 (34764) 33584"</f>
        <v>+7 (34764) 33584</v>
      </c>
      <c r="AA1001" t="str">
        <f>"+7 (34767) 41837"</f>
        <v>+7 (34767) 41837</v>
      </c>
      <c r="AB1001" t="str">
        <f>"9033551020"</f>
        <v>9033551020</v>
      </c>
      <c r="AC1001" t="str">
        <f>"9033551020"</f>
        <v>9033551020</v>
      </c>
      <c r="AD1001" t="str">
        <f>"9033551020"</f>
        <v>9033551020</v>
      </c>
      <c r="AE1001" t="str">
        <f>""</f>
        <v/>
      </c>
    </row>
    <row r="1002" spans="1:31" x14ac:dyDescent="0.45">
      <c r="A1002" t="str">
        <f>"САУКОВ СЕРГЕЙ ИВАНОВИЧ"</f>
        <v>САУКОВ СЕРГЕЙ ИВАНОВИЧ</v>
      </c>
      <c r="B1002" t="str">
        <f>"1981-10-24"</f>
        <v>1981-10-24</v>
      </c>
      <c r="C1002" t="str">
        <f>"65 04 762405"</f>
        <v>65 04 762405</v>
      </c>
      <c r="D1002" t="str">
        <f>"4279011695396633"</f>
        <v>4279011695396633</v>
      </c>
      <c r="E1002" t="str">
        <f t="shared" si="158"/>
        <v>2021-05-31</v>
      </c>
      <c r="F1002" t="str">
        <f t="shared" ref="F1002:G1005" si="159">"+"</f>
        <v>+</v>
      </c>
      <c r="G1002" t="str">
        <f t="shared" si="159"/>
        <v>+</v>
      </c>
      <c r="H1002" t="str">
        <f>"40817810016991425227"</f>
        <v>40817810016991425227</v>
      </c>
      <c r="I1002" t="str">
        <f>"7003"</f>
        <v>7003</v>
      </c>
      <c r="J1002" t="str">
        <f>"7777"</f>
        <v>7777</v>
      </c>
      <c r="K1002" t="str">
        <f>"135000.00"</f>
        <v>135000.00</v>
      </c>
      <c r="L1002" t="str">
        <f>"623650 ОБЛ СВЕРДЛОВСКАЯ     П ТУГУЛЫМ УЛ ФЕДЮНИНСКОГО д. 1"</f>
        <v>623650 ОБЛ СВЕРДЛОВСКАЯ     П ТУГУЛЫМ УЛ ФЕДЮНИНСКОГО д. 1</v>
      </c>
      <c r="M1002" t="str">
        <f t="shared" si="153"/>
        <v>2019-08-24</v>
      </c>
      <c r="N1002" t="str">
        <f>"ГКПТУ СО ОПС ПЧ 13"</f>
        <v>ГКПТУ СО ОПС ПЧ 13</v>
      </c>
      <c r="O1002" t="str">
        <f>"623660"</f>
        <v>623660</v>
      </c>
      <c r="P1002" t="str">
        <f>"ОБЛ СВЕРДЛОВСКАЯ"</f>
        <v>ОБЛ СВЕРДЛОВСКАЯ</v>
      </c>
      <c r="Q1002" t="str">
        <f>"Р-Н ТУГУЛЫМСКИЙ"</f>
        <v>Р-Н ТУГУЛЫМСКИЙ</v>
      </c>
      <c r="R1002" t="str">
        <f>""</f>
        <v/>
      </c>
      <c r="S1002" t="str">
        <f>"Д ЛУГОВАЯ"</f>
        <v>Д ЛУГОВАЯ</v>
      </c>
      <c r="T1002" t="str">
        <f>"УЛ МОЛОДЕЖНАЯ"</f>
        <v>УЛ МОЛОДЕЖНАЯ</v>
      </c>
      <c r="U1002" s="1" t="str">
        <f>"9"</f>
        <v>9</v>
      </c>
      <c r="V1002" s="1" t="str">
        <f>""</f>
        <v/>
      </c>
      <c r="W1002" s="1" t="str">
        <f>""</f>
        <v/>
      </c>
      <c r="X1002" s="1" t="str">
        <f>""</f>
        <v/>
      </c>
      <c r="Y1002" s="1" t="str">
        <f>"1"</f>
        <v>1</v>
      </c>
      <c r="Z1002" t="str">
        <f>"3436721446"</f>
        <v>3436721446</v>
      </c>
      <c r="AA1002" t="str">
        <f>"9221152083"</f>
        <v>9221152083</v>
      </c>
      <c r="AB1002" t="str">
        <f>"9221152083"</f>
        <v>9221152083</v>
      </c>
      <c r="AC1002" t="str">
        <f>"9221152083"</f>
        <v>9221152083</v>
      </c>
      <c r="AD1002" t="str">
        <f>"9221152083"</f>
        <v>9221152083</v>
      </c>
      <c r="AE1002" t="str">
        <f>"3436721446"</f>
        <v>3436721446</v>
      </c>
    </row>
    <row r="1003" spans="1:31" x14ac:dyDescent="0.45">
      <c r="A1003" t="str">
        <f>"ИБРАГИМОВ АЗИМХОДЖА ОКИЛДЖОНОВИЧ"</f>
        <v>ИБРАГИМОВ АЗИМХОДЖА ОКИЛДЖОНОВИЧ</v>
      </c>
      <c r="B1003" t="str">
        <f>"1981-09-18"</f>
        <v>1981-09-18</v>
      </c>
      <c r="C1003" t="str">
        <f>"67 17 659216"</f>
        <v>67 17 659216</v>
      </c>
      <c r="D1003" t="str">
        <f>"4854630374716283"</f>
        <v>4854630374716283</v>
      </c>
      <c r="E1003" t="str">
        <f t="shared" ref="E1003:E1010" si="160">"2021-04-30"</f>
        <v>2021-04-30</v>
      </c>
      <c r="F1003" t="str">
        <f t="shared" si="159"/>
        <v>+</v>
      </c>
      <c r="G1003" t="str">
        <f t="shared" si="159"/>
        <v>+</v>
      </c>
      <c r="H1003" t="str">
        <f>"40817810716992245311"</f>
        <v>40817810716992245311</v>
      </c>
      <c r="I1003" t="str">
        <f>"5940"</f>
        <v>5940</v>
      </c>
      <c r="J1003" t="str">
        <f>"0138"</f>
        <v>0138</v>
      </c>
      <c r="K1003" t="str">
        <f>"26000.00"</f>
        <v>26000.00</v>
      </c>
      <c r="L1003" t="str">
        <f>"628600 ОБЛ ТЮМЕНСКАЯ   Г НИЖНЕВАРТОВСК   УЛ КУЗАВАТКИНА д. 26"</f>
        <v>628600 ОБЛ ТЮМЕНСКАЯ   Г НИЖНЕВАРТОВСК   УЛ КУЗАВАТКИНА д. 26</v>
      </c>
      <c r="M1003" t="str">
        <f t="shared" si="153"/>
        <v>2019-08-24</v>
      </c>
      <c r="N1003" t="str">
        <f>"ООО НИЖНЕВАРТОВСКИЙСТРОЙСНАБ"</f>
        <v>ООО НИЖНЕВАРТОВСКИЙСТРОЙСНАБ</v>
      </c>
      <c r="O1003" t="str">
        <f>"628600"</f>
        <v>628600</v>
      </c>
      <c r="P1003" t="str">
        <f>"ОБЛ ТЮМЕНСКАЯ"</f>
        <v>ОБЛ ТЮМЕНСКАЯ</v>
      </c>
      <c r="Q1003" t="str">
        <f>""</f>
        <v/>
      </c>
      <c r="R1003" t="str">
        <f>"Г НИЖНЕВАРТОВСК"</f>
        <v>Г НИЖНЕВАРТОВСК</v>
      </c>
      <c r="S1003" t="str">
        <f>""</f>
        <v/>
      </c>
      <c r="T1003" t="str">
        <f>"УЛ ПИОНЕРСКАЯ"</f>
        <v>УЛ ПИОНЕРСКАЯ</v>
      </c>
      <c r="U1003" s="1" t="str">
        <f>"3"</f>
        <v>3</v>
      </c>
      <c r="V1003" s="1" t="str">
        <f>""</f>
        <v/>
      </c>
      <c r="W1003" s="1" t="str">
        <f>""</f>
        <v/>
      </c>
      <c r="X1003" s="1" t="str">
        <f>""</f>
        <v/>
      </c>
      <c r="Y1003" s="1" t="str">
        <f>"68"</f>
        <v>68</v>
      </c>
      <c r="Z1003" t="str">
        <f>"9678823083"</f>
        <v>9678823083</v>
      </c>
      <c r="AA1003" t="str">
        <f>"9825659810"</f>
        <v>9825659810</v>
      </c>
      <c r="AB1003" t="str">
        <f>"9641700711"</f>
        <v>9641700711</v>
      </c>
      <c r="AC1003" t="str">
        <f>"9825659810"</f>
        <v>9825659810</v>
      </c>
      <c r="AD1003" t="str">
        <f>"9824168109"</f>
        <v>9824168109</v>
      </c>
      <c r="AE1003" t="str">
        <f>""</f>
        <v/>
      </c>
    </row>
    <row r="1004" spans="1:31" x14ac:dyDescent="0.45">
      <c r="A1004" t="str">
        <f>"АРАПОВА НАТАЛИЯ МИХАЙЛОВНА"</f>
        <v>АРАПОВА НАТАЛИЯ МИХАЙЛОВНА</v>
      </c>
      <c r="B1004" t="str">
        <f>"1983-06-24"</f>
        <v>1983-06-24</v>
      </c>
      <c r="C1004" t="str">
        <f>"65 04 205738"</f>
        <v>65 04 205738</v>
      </c>
      <c r="D1004" t="str">
        <f>"4854630196573094"</f>
        <v>4854630196573094</v>
      </c>
      <c r="E1004" t="str">
        <f t="shared" si="160"/>
        <v>2021-04-30</v>
      </c>
      <c r="F1004" t="str">
        <f t="shared" si="159"/>
        <v>+</v>
      </c>
      <c r="G1004" t="str">
        <f t="shared" si="159"/>
        <v>+</v>
      </c>
      <c r="H1004" t="str">
        <f>"40817810916991428269"</f>
        <v>40817810916991428269</v>
      </c>
      <c r="I1004" t="str">
        <f>"7003"</f>
        <v>7003</v>
      </c>
      <c r="J1004" t="str">
        <f>"0897"</f>
        <v>0897</v>
      </c>
      <c r="K1004" t="str">
        <f>"200000.00"</f>
        <v>200000.00</v>
      </c>
      <c r="L1004" t="str">
        <f>"620000 АО ЯМАЛО-НЕНЕЦКИЙ   Г НОЯБРЬСК   УЛ ИЗЫСКАТЕЛЕЙ д. 13"</f>
        <v>620000 АО ЯМАЛО-НЕНЕЦКИЙ   Г НОЯБРЬСК   УЛ ИЗЫСКАТЕЛЕЙ д. 13</v>
      </c>
      <c r="M1004" t="str">
        <f t="shared" si="153"/>
        <v>2019-08-24</v>
      </c>
      <c r="N1004" t="str">
        <f>"МТС ФИЛИАЛ В ЯНАО"</f>
        <v>МТС ФИЛИАЛ В ЯНАО</v>
      </c>
      <c r="O1004" t="str">
        <f>"620000"</f>
        <v>620000</v>
      </c>
      <c r="P1004" t="str">
        <f>"ОБЛ СВЕРДЛОВСКАЯ"</f>
        <v>ОБЛ СВЕРДЛОВСКАЯ</v>
      </c>
      <c r="Q1004" t="str">
        <f>""</f>
        <v/>
      </c>
      <c r="R1004" t="str">
        <f>"ПГТ В. НЕЙВИНСКИЙ"</f>
        <v>ПГТ В. НЕЙВИНСКИЙ</v>
      </c>
      <c r="S1004" t="str">
        <f>""</f>
        <v/>
      </c>
      <c r="T1004" t="str">
        <f>"УЛ НАГОРНАЯ"</f>
        <v>УЛ НАГОРНАЯ</v>
      </c>
      <c r="U1004" s="1" t="str">
        <f>"52"</f>
        <v>52</v>
      </c>
      <c r="V1004" s="1" t="str">
        <f>""</f>
        <v/>
      </c>
      <c r="W1004" s="1" t="str">
        <f>""</f>
        <v/>
      </c>
      <c r="X1004" s="1" t="str">
        <f>""</f>
        <v/>
      </c>
      <c r="Y1004" s="1" t="str">
        <f>""</f>
        <v/>
      </c>
      <c r="Z1004" t="str">
        <f>""</f>
        <v/>
      </c>
      <c r="AA1004" t="str">
        <f>"9122221502"</f>
        <v>9122221502</v>
      </c>
      <c r="AB1004" t="str">
        <f>"9122221502"</f>
        <v>9122221502</v>
      </c>
      <c r="AC1004" t="str">
        <f>"3430000000"</f>
        <v>3430000000</v>
      </c>
      <c r="AD1004" t="str">
        <f>"9122221502"</f>
        <v>9122221502</v>
      </c>
      <c r="AE1004" t="str">
        <f>""</f>
        <v/>
      </c>
    </row>
    <row r="1005" spans="1:31" x14ac:dyDescent="0.45">
      <c r="A1005" t="str">
        <f>"РОМАНОВА ЕЛЕНА НИКОЛАЕВНА"</f>
        <v>РОМАНОВА ЕЛЕНА НИКОЛАЕВНА</v>
      </c>
      <c r="B1005" t="str">
        <f>"1985-06-03"</f>
        <v>1985-06-03</v>
      </c>
      <c r="C1005" t="str">
        <f>"65 14 901698"</f>
        <v>65 14 901698</v>
      </c>
      <c r="D1005" t="str">
        <f>"4854630400826403"</f>
        <v>4854630400826403</v>
      </c>
      <c r="E1005" t="str">
        <f t="shared" si="160"/>
        <v>2021-04-30</v>
      </c>
      <c r="F1005" t="str">
        <f t="shared" si="159"/>
        <v>+</v>
      </c>
      <c r="G1005" t="str">
        <f t="shared" si="159"/>
        <v>+</v>
      </c>
      <c r="H1005" t="str">
        <f>"40817810816991428288"</f>
        <v>40817810816991428288</v>
      </c>
      <c r="I1005" t="str">
        <f>"7003"</f>
        <v>7003</v>
      </c>
      <c r="J1005" t="str">
        <f>"0408"</f>
        <v>0408</v>
      </c>
      <c r="K1005" t="str">
        <f>"30000.00"</f>
        <v>30000.00</v>
      </c>
      <c r="L1005" t="str">
        <f>"620000 ОБЛ СВЕРДЛОВСКАЯ   Г ЕКАТЕРИНБУРГ   УЛ БАУМАНА д. 46"</f>
        <v>620000 ОБЛ СВЕРДЛОВСКАЯ   Г ЕКАТЕРИНБУРГ   УЛ БАУМАНА д. 46</v>
      </c>
      <c r="M1005" t="str">
        <f t="shared" si="153"/>
        <v>2019-08-24</v>
      </c>
      <c r="N1005" t="str">
        <f>"В ДЕКРЕТЕ"</f>
        <v>В ДЕКРЕТЕ</v>
      </c>
      <c r="O1005" t="str">
        <f>"190000"</f>
        <v>190000</v>
      </c>
      <c r="P1005" t="str">
        <f>"Г САНКТ-ПЕТЕРБУРГ"</f>
        <v>Г САНКТ-ПЕТЕРБУРГ</v>
      </c>
      <c r="Q1005" t="str">
        <f>""</f>
        <v/>
      </c>
      <c r="R1005" t="str">
        <f>"Г ПУШКИН"</f>
        <v>Г ПУШКИН</v>
      </c>
      <c r="S1005" t="str">
        <f>""</f>
        <v/>
      </c>
      <c r="T1005" t="str">
        <f>"УЛ Ш. КРАСНОСЕЛЬСКОЕ"</f>
        <v>УЛ Ш. КРАСНОСЕЛЬСКОЕ</v>
      </c>
      <c r="U1005" s="1" t="str">
        <f>"14"</f>
        <v>14</v>
      </c>
      <c r="V1005" s="1" t="str">
        <f>""</f>
        <v/>
      </c>
      <c r="W1005" s="1" t="str">
        <f>""</f>
        <v/>
      </c>
      <c r="X1005" s="1" t="str">
        <f>""</f>
        <v/>
      </c>
      <c r="Y1005" s="1" t="str">
        <f>""</f>
        <v/>
      </c>
      <c r="Z1005" t="str">
        <f>""</f>
        <v/>
      </c>
      <c r="AA1005" t="str">
        <f>"9817379227"</f>
        <v>9817379227</v>
      </c>
      <c r="AB1005" t="str">
        <f>"9817379227"</f>
        <v>9817379227</v>
      </c>
      <c r="AC1005" t="str">
        <f>"9817379227"</f>
        <v>9817379227</v>
      </c>
      <c r="AD1005" t="str">
        <f>"9817379227"</f>
        <v>9817379227</v>
      </c>
      <c r="AE1005" t="str">
        <f>""</f>
        <v/>
      </c>
    </row>
    <row r="1006" spans="1:31" x14ac:dyDescent="0.45">
      <c r="A1006" t="str">
        <f>"ХАННАНОВ РАФАИЛЬ НАИЛЕВИЧ"</f>
        <v>ХАННАНОВ РАФАИЛЬ НАИЛЕВИЧ</v>
      </c>
      <c r="B1006" t="str">
        <f>"1958-09-17"</f>
        <v>1958-09-17</v>
      </c>
      <c r="C1006" t="str">
        <f>"80 04 839256"</f>
        <v>80 04 839256</v>
      </c>
      <c r="D1006" t="str">
        <f>"4854630358333535"</f>
        <v>4854630358333535</v>
      </c>
      <c r="E1006" t="str">
        <f t="shared" si="160"/>
        <v>2021-04-30</v>
      </c>
      <c r="F1006" t="str">
        <f>"Q"</f>
        <v>Q</v>
      </c>
      <c r="G1006" t="str">
        <f>"Q"</f>
        <v>Q</v>
      </c>
      <c r="H1006" t="str">
        <f>"40817810616991428310"</f>
        <v>40817810616991428310</v>
      </c>
      <c r="I1006" t="str">
        <f>"8598"</f>
        <v>8598</v>
      </c>
      <c r="J1006" t="str">
        <f>"0212"</f>
        <v>0212</v>
      </c>
      <c r="K1006" t="str">
        <f>"0.00"</f>
        <v>0.00</v>
      </c>
      <c r="L1006" t="str">
        <f>"450000 РЕСП БАШКОРТОСТАН   Г УФА   УЛ КАВКАЗСКАЯ д. 12 кв. 0"</f>
        <v>450000 РЕСП БАШКОРТОСТАН   Г УФА   УЛ КАВКАЗСКАЯ д. 12 кв. 0</v>
      </c>
      <c r="M1006" t="str">
        <f t="shared" si="153"/>
        <v>2019-08-24</v>
      </c>
      <c r="N1006" t="s">
        <v>71</v>
      </c>
      <c r="O1006" t="str">
        <f>"450071"</f>
        <v>450071</v>
      </c>
      <c r="P1006" t="str">
        <f>"РЕСП БАШКОРТОСТАН"</f>
        <v>РЕСП БАШКОРТОСТАН</v>
      </c>
      <c r="Q1006" t="str">
        <f>""</f>
        <v/>
      </c>
      <c r="R1006" t="str">
        <f>"Г УФА"</f>
        <v>Г УФА</v>
      </c>
      <c r="S1006" t="str">
        <f>""</f>
        <v/>
      </c>
      <c r="T1006" t="str">
        <f>"УЛ ЛЕСНОЙ ПРОЕЗД"</f>
        <v>УЛ ЛЕСНОЙ ПРОЕЗД</v>
      </c>
      <c r="U1006" s="1" t="str">
        <f>"8"</f>
        <v>8</v>
      </c>
      <c r="V1006" s="1" t="str">
        <f>""</f>
        <v/>
      </c>
      <c r="W1006" s="1" t="str">
        <f>"2"</f>
        <v>2</v>
      </c>
      <c r="X1006" s="1" t="str">
        <f>""</f>
        <v/>
      </c>
      <c r="Y1006" s="1" t="str">
        <f>"63"</f>
        <v>63</v>
      </c>
      <c r="Z1006" t="str">
        <f>"3472484800"</f>
        <v>3472484800</v>
      </c>
      <c r="AA1006" t="str">
        <f>"9639067916"</f>
        <v>9639067916</v>
      </c>
      <c r="AB1006" t="str">
        <f>"9639067916"</f>
        <v>9639067916</v>
      </c>
      <c r="AC1006" t="str">
        <f>"9639067916"</f>
        <v>9639067916</v>
      </c>
      <c r="AD1006" t="str">
        <f>"9639067916"</f>
        <v>9639067916</v>
      </c>
      <c r="AE1006" t="str">
        <f>""</f>
        <v/>
      </c>
    </row>
    <row r="1007" spans="1:31" x14ac:dyDescent="0.45">
      <c r="A1007" t="str">
        <f>"СЫЧЕВА НАТАЛЬЯ ВИКТОРОВНА"</f>
        <v>СЫЧЕВА НАТАЛЬЯ ВИКТОРОВНА</v>
      </c>
      <c r="B1007" t="str">
        <f>"1959-07-07"</f>
        <v>1959-07-07</v>
      </c>
      <c r="C1007" t="str">
        <f>"65 05 183205"</f>
        <v>65 05 183205</v>
      </c>
      <c r="D1007" t="str">
        <f>"4854630398747645"</f>
        <v>4854630398747645</v>
      </c>
      <c r="E1007" t="str">
        <f t="shared" si="160"/>
        <v>2021-04-30</v>
      </c>
      <c r="F1007" t="str">
        <f>"+"</f>
        <v>+</v>
      </c>
      <c r="G1007" t="str">
        <f>"+"</f>
        <v>+</v>
      </c>
      <c r="H1007" t="str">
        <f>"40817810916991428311"</f>
        <v>40817810916991428311</v>
      </c>
      <c r="I1007" t="str">
        <f>"7003"</f>
        <v>7003</v>
      </c>
      <c r="J1007" t="str">
        <f>"0391"</f>
        <v>0391</v>
      </c>
      <c r="K1007" t="str">
        <f>"40000.00"</f>
        <v>40000.00</v>
      </c>
      <c r="L1007" t="str">
        <f>"620000 ОБЛ СВЕРДЛОВСКАЯ   Г ЕКАТЕРИНБУРГ   УЛ ДЕНИСОВА УРАЛЬСКОГО д. 8"</f>
        <v>620000 ОБЛ СВЕРДЛОВСКАЯ   Г ЕКАТЕРИНБУРГ   УЛ ДЕНИСОВА УРАЛЬСКОГО д. 8</v>
      </c>
      <c r="M1007" t="str">
        <f t="shared" si="153"/>
        <v>2019-08-24</v>
      </c>
      <c r="N1007" t="str">
        <f>"АО ЕКАТЕРИНБУРГГАЗ"</f>
        <v>АО ЕКАТЕРИНБУРГГАЗ</v>
      </c>
      <c r="O1007" t="str">
        <f>"620000"</f>
        <v>620000</v>
      </c>
      <c r="P1007" t="str">
        <f>"ОБЛ СВЕРДЛОВСКАЯ"</f>
        <v>ОБЛ СВЕРДЛОВСКАЯ</v>
      </c>
      <c r="Q1007" t="str">
        <f>""</f>
        <v/>
      </c>
      <c r="R1007" t="str">
        <f>"Г ЕКАТЕРИНБУРГ"</f>
        <v>Г ЕКАТЕРИНБУРГ</v>
      </c>
      <c r="S1007" t="str">
        <f>""</f>
        <v/>
      </c>
      <c r="T1007" t="str">
        <f>"УЛ ДЕНИСОВА УРАЛЬСКОГО"</f>
        <v>УЛ ДЕНИСОВА УРАЛЬСКОГО</v>
      </c>
      <c r="U1007" s="1" t="str">
        <f>"8"</f>
        <v>8</v>
      </c>
      <c r="V1007" s="1" t="str">
        <f>""</f>
        <v/>
      </c>
      <c r="W1007" s="1" t="str">
        <f>""</f>
        <v/>
      </c>
      <c r="X1007" s="1" t="str">
        <f>""</f>
        <v/>
      </c>
      <c r="Y1007" s="1" t="str">
        <f>"70"</f>
        <v>70</v>
      </c>
      <c r="Z1007" t="str">
        <f>"+7 (912) 2649906"</f>
        <v>+7 (912) 2649906</v>
      </c>
      <c r="AA1007" t="str">
        <f>"+7 (912) 2649906"</f>
        <v>+7 (912) 2649906</v>
      </c>
      <c r="AB1007" t="str">
        <f>"+7 (912) 2649906"</f>
        <v>+7 (912) 2649906</v>
      </c>
      <c r="AC1007" t="str">
        <f>"9122649906"</f>
        <v>9122649906</v>
      </c>
      <c r="AD1007" t="str">
        <f>"9122649906"</f>
        <v>9122649906</v>
      </c>
      <c r="AE1007" t="str">
        <f>"9122649906"</f>
        <v>9122649906</v>
      </c>
    </row>
    <row r="1008" spans="1:31" x14ac:dyDescent="0.45">
      <c r="A1008" t="str">
        <f>"СТАХЕЕВА НАДЕЖДА АЛЕКСАНДРОВНА"</f>
        <v>СТАХЕЕВА НАДЕЖДА АЛЕКСАНДРОВНА</v>
      </c>
      <c r="B1008" t="str">
        <f>"1988-04-29"</f>
        <v>1988-04-29</v>
      </c>
      <c r="C1008" t="str">
        <f>"80 07 540382"</f>
        <v>80 07 540382</v>
      </c>
      <c r="D1008" t="str">
        <f>"4854630358790874"</f>
        <v>4854630358790874</v>
      </c>
      <c r="E1008" t="str">
        <f t="shared" si="160"/>
        <v>2021-04-30</v>
      </c>
      <c r="F1008" t="str">
        <f>"+"</f>
        <v>+</v>
      </c>
      <c r="G1008" t="str">
        <f>"W"</f>
        <v>W</v>
      </c>
      <c r="H1008" t="str">
        <f>"40817810416991428332"</f>
        <v>40817810416991428332</v>
      </c>
      <c r="I1008" t="str">
        <f>"8598"</f>
        <v>8598</v>
      </c>
      <c r="J1008" t="str">
        <f>"0214"</f>
        <v>0214</v>
      </c>
      <c r="K1008" t="str">
        <f>"155000.00"</f>
        <v>155000.00</v>
      </c>
      <c r="L1008" t="str">
        <f>"450000 РЕСП БАШКОРТОСТАН   Г УФА   УЛ ЮРИЯ ГАГАРИНА"</f>
        <v>450000 РЕСП БАШКОРТОСТАН   Г УФА   УЛ ЮРИЯ ГАГАРИНА</v>
      </c>
      <c r="M1008" t="str">
        <f t="shared" si="153"/>
        <v>2019-08-24</v>
      </c>
      <c r="N1008" t="str">
        <f>"ПАПА ГРИЛЬ"</f>
        <v>ПАПА ГРИЛЬ</v>
      </c>
      <c r="O1008" t="str">
        <f>"450000"</f>
        <v>450000</v>
      </c>
      <c r="P1008" t="str">
        <f>"РЕСП БАШКОРТОСТАН"</f>
        <v>РЕСП БАШКОРТОСТАН</v>
      </c>
      <c r="Q1008" t="str">
        <f>""</f>
        <v/>
      </c>
      <c r="R1008" t="str">
        <f>"Г УФА"</f>
        <v>Г УФА</v>
      </c>
      <c r="S1008" t="str">
        <f>""</f>
        <v/>
      </c>
      <c r="T1008" t="str">
        <f>"УЛ НАБЕРЕЖНАЯ Р. УФЫ"</f>
        <v>УЛ НАБЕРЕЖНАЯ Р. УФЫ</v>
      </c>
      <c r="U1008" s="1" t="str">
        <f>"51"</f>
        <v>51</v>
      </c>
      <c r="V1008" s="1" t="str">
        <f>""</f>
        <v/>
      </c>
      <c r="W1008" s="1" t="str">
        <f>""</f>
        <v/>
      </c>
      <c r="X1008" s="1" t="str">
        <f>""</f>
        <v/>
      </c>
      <c r="Y1008" s="1" t="str">
        <f>"3А"</f>
        <v>3А</v>
      </c>
      <c r="Z1008" t="str">
        <f>""</f>
        <v/>
      </c>
      <c r="AA1008" t="str">
        <f>"9872482201"</f>
        <v>9872482201</v>
      </c>
      <c r="AB1008" t="str">
        <f>"9177917628"</f>
        <v>9177917628</v>
      </c>
      <c r="AC1008" t="str">
        <f>"9872482201"</f>
        <v>9872482201</v>
      </c>
      <c r="AD1008" t="str">
        <f>"9177917628"</f>
        <v>9177917628</v>
      </c>
      <c r="AE1008" t="str">
        <f>""</f>
        <v/>
      </c>
    </row>
    <row r="1009" spans="1:31" x14ac:dyDescent="0.45">
      <c r="A1009" t="str">
        <f>"САИТОВА РАМЗИЯ ХАМИТОВНА"</f>
        <v>САИТОВА РАМЗИЯ ХАМИТОВНА</v>
      </c>
      <c r="B1009" t="str">
        <f>"1962-01-31"</f>
        <v>1962-01-31</v>
      </c>
      <c r="C1009" t="str">
        <f>"80 06 159289"</f>
        <v>80 06 159289</v>
      </c>
      <c r="D1009" t="str">
        <f>"4854630355769871"</f>
        <v>4854630355769871</v>
      </c>
      <c r="E1009" t="str">
        <f t="shared" si="160"/>
        <v>2021-04-30</v>
      </c>
      <c r="F1009" t="str">
        <f>"K"</f>
        <v>K</v>
      </c>
      <c r="G1009" t="str">
        <f>"+"</f>
        <v>+</v>
      </c>
      <c r="H1009" t="str">
        <f>"40817810716991428333"</f>
        <v>40817810716991428333</v>
      </c>
      <c r="I1009" t="str">
        <f>"8598"</f>
        <v>8598</v>
      </c>
      <c r="J1009" t="str">
        <f>"0190"</f>
        <v>0190</v>
      </c>
      <c r="K1009" t="str">
        <f>"50000.00"</f>
        <v>50000.00</v>
      </c>
      <c r="L1009" t="str">
        <f>"450000 РЕСП БАШКОРТОСТАН   Г УФА   УЛ ФЕРИНА д. 2"</f>
        <v>450000 РЕСП БАШКОРТОСТАН   Г УФА   УЛ ФЕРИНА д. 2</v>
      </c>
      <c r="M1009" t="str">
        <f t="shared" si="153"/>
        <v>2019-08-24</v>
      </c>
      <c r="N1009" t="s">
        <v>72</v>
      </c>
      <c r="O1009" t="str">
        <f>"450112"</f>
        <v>450112</v>
      </c>
      <c r="P1009" t="str">
        <f>"РЕСП БАШКОРТОСТАН"</f>
        <v>РЕСП БАШКОРТОСТАН</v>
      </c>
      <c r="Q1009" t="str">
        <f>""</f>
        <v/>
      </c>
      <c r="R1009" t="str">
        <f>"Г УФА"</f>
        <v>Г УФА</v>
      </c>
      <c r="S1009" t="str">
        <f>""</f>
        <v/>
      </c>
      <c r="T1009" t="str">
        <f>"УЛ НЕЖИНСКАЯ"</f>
        <v>УЛ НЕЖИНСКАЯ</v>
      </c>
      <c r="U1009" s="1" t="str">
        <f>"39"</f>
        <v>39</v>
      </c>
      <c r="V1009" s="1" t="str">
        <f>""</f>
        <v/>
      </c>
      <c r="W1009" s="1" t="str">
        <f>""</f>
        <v/>
      </c>
      <c r="X1009" s="1" t="str">
        <f>""</f>
        <v/>
      </c>
      <c r="Y1009" s="1" t="str">
        <f>"25"</f>
        <v>25</v>
      </c>
      <c r="Z1009" t="str">
        <f>"+7 (347) 2383366"</f>
        <v>+7 (347) 2383366</v>
      </c>
      <c r="AA1009" t="str">
        <f>"+7 (347) 2647930"</f>
        <v>+7 (347) 2647930</v>
      </c>
      <c r="AB1009" t="str">
        <f>"+7 (937) 1653694"</f>
        <v>+7 (937) 1653694</v>
      </c>
      <c r="AC1009" t="str">
        <f>"9875903824"</f>
        <v>9875903824</v>
      </c>
      <c r="AD1009" t="str">
        <f>"9371653694"</f>
        <v>9371653694</v>
      </c>
      <c r="AE1009" t="str">
        <f>"9875903824"</f>
        <v>9875903824</v>
      </c>
    </row>
    <row r="1010" spans="1:31" x14ac:dyDescent="0.45">
      <c r="A1010" t="str">
        <f>"ИСРАФИЛОВ ВАДИМ ИСРАФИЛОВИЧ"</f>
        <v>ИСРАФИЛОВ ВАДИМ ИСРАФИЛОВИЧ</v>
      </c>
      <c r="B1010" t="str">
        <f>"1990-11-02"</f>
        <v>1990-11-02</v>
      </c>
      <c r="C1010" t="str">
        <f>"74 11 786717"</f>
        <v>74 11 786717</v>
      </c>
      <c r="D1010" t="str">
        <f>"4854630214718507"</f>
        <v>4854630214718507</v>
      </c>
      <c r="E1010" t="str">
        <f t="shared" si="160"/>
        <v>2021-04-30</v>
      </c>
      <c r="F1010" t="str">
        <f>"+"</f>
        <v>+</v>
      </c>
      <c r="G1010" t="str">
        <f>"+"</f>
        <v>+</v>
      </c>
      <c r="H1010" t="str">
        <f>"40817810016992400636"</f>
        <v>40817810016992400636</v>
      </c>
      <c r="I1010" t="str">
        <f>"8369"</f>
        <v>8369</v>
      </c>
      <c r="J1010" t="str">
        <f>"0050"</f>
        <v>0050</v>
      </c>
      <c r="K1010" t="str">
        <f>"15000.00"</f>
        <v>15000.00</v>
      </c>
      <c r="L1010" t="str">
        <f>"629730 ОБЛ ТЮМЕНСКАЯ   Г НАДЫМ   УЛ ЯМАЛЬСКАЯ"</f>
        <v>629730 ОБЛ ТЮМЕНСКАЯ   Г НАДЫМ   УЛ ЯМАЛЬСКАЯ</v>
      </c>
      <c r="M1010" t="str">
        <f t="shared" si="153"/>
        <v>2019-08-24</v>
      </c>
      <c r="N1010" t="str">
        <f>"СУМУО"</f>
        <v>СУМУО</v>
      </c>
      <c r="O1010" t="str">
        <f>"629730"</f>
        <v>629730</v>
      </c>
      <c r="P1010" t="str">
        <f>"ОБЛ ТЮМЕНСКАЯ"</f>
        <v>ОБЛ ТЮМЕНСКАЯ</v>
      </c>
      <c r="Q1010" t="str">
        <f>""</f>
        <v/>
      </c>
      <c r="R1010" t="str">
        <f>"Г НАДЫМ"</f>
        <v>Г НАДЫМ</v>
      </c>
      <c r="S1010" t="str">
        <f>""</f>
        <v/>
      </c>
      <c r="T1010" t="str">
        <f>"УЛ ПОС. ЛЕСНОЙ"</f>
        <v>УЛ ПОС. ЛЕСНОЙ</v>
      </c>
      <c r="U1010" s="1" t="str">
        <f>"1/23"</f>
        <v>1/23</v>
      </c>
      <c r="V1010" s="1" t="str">
        <f>""</f>
        <v/>
      </c>
      <c r="W1010" s="1" t="str">
        <f>""</f>
        <v/>
      </c>
      <c r="X1010" s="1" t="str">
        <f>""</f>
        <v/>
      </c>
      <c r="Y1010" s="1" t="str">
        <f>"7"</f>
        <v>7</v>
      </c>
      <c r="Z1010" t="str">
        <f>"+7 (3499) 514358"</f>
        <v>+7 (3499) 514358</v>
      </c>
      <c r="AA1010" t="str">
        <f>"+7 (922) 0904709"</f>
        <v>+7 (922) 0904709</v>
      </c>
      <c r="AB1010" t="str">
        <f>"+7 (922) 0904709"</f>
        <v>+7 (922) 0904709</v>
      </c>
      <c r="AC1010" t="str">
        <f>"9222884332"</f>
        <v>9222884332</v>
      </c>
      <c r="AD1010" t="str">
        <f>"9220904709"</f>
        <v>9220904709</v>
      </c>
      <c r="AE1010" t="str">
        <f>"9292513615"</f>
        <v>9292513615</v>
      </c>
    </row>
    <row r="1011" spans="1:31" x14ac:dyDescent="0.45">
      <c r="A1011" t="str">
        <f>"КОРОВИН АЛЕКСАНДР КЛЕМЕНТЬЕВИЧ"</f>
        <v>КОРОВИН АЛЕКСАНДР КЛЕМЕНТЬЕВИЧ</v>
      </c>
      <c r="B1011" t="str">
        <f>"1962-03-19"</f>
        <v>1962-03-19</v>
      </c>
      <c r="C1011" t="str">
        <f>"65 07 081824"</f>
        <v>65 07 081824</v>
      </c>
      <c r="D1011" t="str">
        <f>"4279011697140583"</f>
        <v>4279011697140583</v>
      </c>
      <c r="E1011" t="str">
        <f t="shared" ref="E1011:E1017" si="161">"2021-05-31"</f>
        <v>2021-05-31</v>
      </c>
      <c r="F1011" t="str">
        <f>"+"</f>
        <v>+</v>
      </c>
      <c r="G1011" t="str">
        <f>"+"</f>
        <v>+</v>
      </c>
      <c r="H1011" t="str">
        <f>"40817810916991425178"</f>
        <v>40817810916991425178</v>
      </c>
      <c r="I1011" t="str">
        <f>"7003"</f>
        <v>7003</v>
      </c>
      <c r="J1011" t="str">
        <f>"7770"</f>
        <v>7770</v>
      </c>
      <c r="K1011" t="str">
        <f>"140000.00"</f>
        <v>140000.00</v>
      </c>
      <c r="L1011" t="str">
        <f>"620000 ОБЛ СВЕРДЛОВСКАЯ   Г ЕКАТЕРИНБУРГ   ПР-КТ КОСМОНАВТОВ д. 18"</f>
        <v>620000 ОБЛ СВЕРДЛОВСКАЯ   Г ЕКАТЕРИНБУРГ   ПР-КТ КОСМОНАВТОВ д. 18</v>
      </c>
      <c r="M1011" t="str">
        <f t="shared" si="153"/>
        <v>2019-08-24</v>
      </c>
      <c r="N1011" t="str">
        <f>"АО ОКБ НОВАТОР"</f>
        <v>АО ОКБ НОВАТОР</v>
      </c>
      <c r="O1011" t="str">
        <f>"620000"</f>
        <v>620000</v>
      </c>
      <c r="P1011" t="str">
        <f>"ОБЛ СВЕРДЛОВСКАЯ"</f>
        <v>ОБЛ СВЕРДЛОВСКАЯ</v>
      </c>
      <c r="Q1011" t="str">
        <f>""</f>
        <v/>
      </c>
      <c r="R1011" t="str">
        <f>"Г ЕКАТЕРИНБУРГ"</f>
        <v>Г ЕКАТЕРИНБУРГ</v>
      </c>
      <c r="S1011" t="str">
        <f>""</f>
        <v/>
      </c>
      <c r="T1011" t="str">
        <f>"УЛ ШЕФСКАЯ"</f>
        <v>УЛ ШЕФСКАЯ</v>
      </c>
      <c r="U1011" s="1" t="str">
        <f>"89"</f>
        <v>89</v>
      </c>
      <c r="V1011" s="1" t="str">
        <f>""</f>
        <v/>
      </c>
      <c r="W1011" s="1" t="str">
        <f>"1"</f>
        <v>1</v>
      </c>
      <c r="X1011" s="1" t="str">
        <f>""</f>
        <v/>
      </c>
      <c r="Y1011" s="1" t="str">
        <f>"140"</f>
        <v>140</v>
      </c>
      <c r="Z1011" t="str">
        <f>"3432641025"</f>
        <v>3432641025</v>
      </c>
      <c r="AA1011" t="str">
        <f>"9126155040"</f>
        <v>9126155040</v>
      </c>
      <c r="AB1011" t="str">
        <f>"9126155040"</f>
        <v>9126155040</v>
      </c>
      <c r="AC1011" t="str">
        <f>"9126155040"</f>
        <v>9126155040</v>
      </c>
      <c r="AD1011" t="str">
        <f>"9126155040"</f>
        <v>9126155040</v>
      </c>
      <c r="AE1011" t="str">
        <f>"3432641025"</f>
        <v>3432641025</v>
      </c>
    </row>
    <row r="1012" spans="1:31" x14ac:dyDescent="0.45">
      <c r="A1012" t="str">
        <f>"ЛУБОШНИКОВА ТАТЬЯНА ТИМОФЕЕВНА"</f>
        <v>ЛУБОШНИКОВА ТАТЬЯНА ТИМОФЕЕВНА</v>
      </c>
      <c r="B1012" t="str">
        <f>"1958-03-05"</f>
        <v>1958-03-05</v>
      </c>
      <c r="C1012" t="str">
        <f>"75 04 286312"</f>
        <v>75 04 286312</v>
      </c>
      <c r="D1012" t="str">
        <f>"4279011610336565"</f>
        <v>4279011610336565</v>
      </c>
      <c r="E1012" t="str">
        <f t="shared" si="161"/>
        <v>2021-05-31</v>
      </c>
      <c r="F1012" t="str">
        <f>"Y"</f>
        <v>Y</v>
      </c>
      <c r="G1012" t="str">
        <f>"Q"</f>
        <v>Q</v>
      </c>
      <c r="H1012" t="str">
        <f>"40817810216991425179"</f>
        <v>40817810216991425179</v>
      </c>
      <c r="I1012" t="str">
        <f>"8597"</f>
        <v>8597</v>
      </c>
      <c r="J1012" t="str">
        <f>"0295"</f>
        <v>0295</v>
      </c>
      <c r="K1012" t="str">
        <f>"0.00"</f>
        <v>0.00</v>
      </c>
      <c r="L1012" t="str">
        <f>"454000 ОБЛ ЧЕЛЯБИНСКАЯ   Г КОПЕЙСК   УЛ БОРЬБЫ д. 34"</f>
        <v>454000 ОБЛ ЧЕЛЯБИНСКАЯ   Г КОПЕЙСК   УЛ БОРЬБЫ д. 34</v>
      </c>
      <c r="M1012" t="str">
        <f t="shared" si="153"/>
        <v>2019-08-24</v>
      </c>
      <c r="N1012" t="str">
        <f>"МЛПУЗ ГОР. БОЛЬНИЦА №1"</f>
        <v>МЛПУЗ ГОР. БОЛЬНИЦА №1</v>
      </c>
      <c r="O1012" t="str">
        <f>"454000"</f>
        <v>454000</v>
      </c>
      <c r="P1012" t="str">
        <f>"ОБЛ ЧЕЛЯБИНСКАЯ"</f>
        <v>ОБЛ ЧЕЛЯБИНСКАЯ</v>
      </c>
      <c r="Q1012" t="str">
        <f>""</f>
        <v/>
      </c>
      <c r="R1012" t="str">
        <f>"Г КОПЕЙСК"</f>
        <v>Г КОПЕЙСК</v>
      </c>
      <c r="S1012" t="str">
        <f>""</f>
        <v/>
      </c>
      <c r="T1012" t="str">
        <f>"УЛ ГАСТЕЛЛО"</f>
        <v>УЛ ГАСТЕЛЛО</v>
      </c>
      <c r="U1012" s="1" t="str">
        <f>"30"</f>
        <v>30</v>
      </c>
      <c r="V1012" s="1" t="str">
        <f>""</f>
        <v/>
      </c>
      <c r="W1012" s="1" t="str">
        <f>""</f>
        <v/>
      </c>
      <c r="X1012" s="1" t="str">
        <f>""</f>
        <v/>
      </c>
      <c r="Y1012" s="1" t="str">
        <f>"36"</f>
        <v>36</v>
      </c>
      <c r="Z1012" t="str">
        <f>"3513938018"</f>
        <v>3513938018</v>
      </c>
      <c r="AA1012" t="str">
        <f>"9525142886"</f>
        <v>9525142886</v>
      </c>
      <c r="AB1012" t="str">
        <f>"9525142886"</f>
        <v>9525142886</v>
      </c>
      <c r="AC1012" t="str">
        <f>"9525142886"</f>
        <v>9525142886</v>
      </c>
      <c r="AD1012" t="str">
        <f>"9525142886"</f>
        <v>9525142886</v>
      </c>
      <c r="AE1012" t="str">
        <f>"3513927703"</f>
        <v>3513927703</v>
      </c>
    </row>
    <row r="1013" spans="1:31" x14ac:dyDescent="0.45">
      <c r="A1013" t="str">
        <f>"ЩЕГЛОВ МИХАИЛ ВЛАДИМИРОВИЧ"</f>
        <v>ЩЕГЛОВ МИХАИЛ ВЛАДИМИРОВИЧ</v>
      </c>
      <c r="B1013" t="str">
        <f>"1983-11-27"</f>
        <v>1983-11-27</v>
      </c>
      <c r="C1013" t="str">
        <f>"65 09 738155"</f>
        <v>65 09 738155</v>
      </c>
      <c r="D1013" t="str">
        <f>"4279011694470546"</f>
        <v>4279011694470546</v>
      </c>
      <c r="E1013" t="str">
        <f t="shared" si="161"/>
        <v>2021-05-31</v>
      </c>
      <c r="F1013" t="str">
        <f>"Q"</f>
        <v>Q</v>
      </c>
      <c r="G1013" t="str">
        <f>"Q"</f>
        <v>Q</v>
      </c>
      <c r="H1013" t="str">
        <f>"40817810616991425180"</f>
        <v>40817810616991425180</v>
      </c>
      <c r="I1013" t="str">
        <f>"7003"</f>
        <v>7003</v>
      </c>
      <c r="J1013" t="str">
        <f>"7777"</f>
        <v>7777</v>
      </c>
      <c r="K1013" t="str">
        <f>"0.00"</f>
        <v>0.00</v>
      </c>
      <c r="L1013" t="str">
        <f>"623950 ОБЛ СВЕРДЛОВСКАЯ   Г ТАВДА   УЛ ЛЕНИНА д. 83 корп. А"</f>
        <v>623950 ОБЛ СВЕРДЛОВСКАЯ   Г ТАВДА   УЛ ЛЕНИНА д. 83 корп. А</v>
      </c>
      <c r="M1013" t="str">
        <f t="shared" si="153"/>
        <v>2019-08-24</v>
      </c>
      <c r="N1013" t="str">
        <f>"ТАВДИНСКИЙ МВД"</f>
        <v>ТАВДИНСКИЙ МВД</v>
      </c>
      <c r="O1013" t="str">
        <f>"620000"</f>
        <v>620000</v>
      </c>
      <c r="P1013" t="str">
        <f>"ОБЛ СВЕРДЛОВСКАЯ"</f>
        <v>ОБЛ СВЕРДЛОВСКАЯ</v>
      </c>
      <c r="Q1013" t="str">
        <f>"Р-Н ТАБОРИНСКИЙ"</f>
        <v>Р-Н ТАБОРИНСКИЙ</v>
      </c>
      <c r="R1013" t="str">
        <f>""</f>
        <v/>
      </c>
      <c r="S1013" t="str">
        <f>"Д ЕРМАКОВО"</f>
        <v>Д ЕРМАКОВО</v>
      </c>
      <c r="T1013" t="str">
        <f>"УЛ ЦЕНТРАЛЬНАЯ"</f>
        <v>УЛ ЦЕНТРАЛЬНАЯ</v>
      </c>
      <c r="U1013" s="1" t="str">
        <f>"9"</f>
        <v>9</v>
      </c>
      <c r="V1013" s="1" t="str">
        <f>""</f>
        <v/>
      </c>
      <c r="W1013" s="1" t="str">
        <f>""</f>
        <v/>
      </c>
      <c r="X1013" s="1" t="str">
        <f>""</f>
        <v/>
      </c>
      <c r="Y1013" s="1" t="str">
        <f>""</f>
        <v/>
      </c>
      <c r="Z1013" t="str">
        <f>"3436050141"</f>
        <v>3436050141</v>
      </c>
      <c r="AA1013" t="str">
        <f>"9501999297"</f>
        <v>9501999297</v>
      </c>
      <c r="AB1013" t="str">
        <f>"9501999297"</f>
        <v>9501999297</v>
      </c>
      <c r="AC1013" t="str">
        <f>"9501999297"</f>
        <v>9501999297</v>
      </c>
      <c r="AD1013" t="str">
        <f>"9501999297"</f>
        <v>9501999297</v>
      </c>
      <c r="AE1013" t="str">
        <f>"3436050141"</f>
        <v>3436050141</v>
      </c>
    </row>
    <row r="1014" spans="1:31" x14ac:dyDescent="0.45">
      <c r="A1014" t="str">
        <f>"ЧЕТВЕРИКОВ СЕРГЕЙ АЛЕКСАНДРОВИЧ"</f>
        <v>ЧЕТВЕРИКОВ СЕРГЕЙ АЛЕКСАНДРОВИЧ</v>
      </c>
      <c r="B1014" t="str">
        <f>"1961-09-22"</f>
        <v>1961-09-22</v>
      </c>
      <c r="C1014" t="str">
        <f>"65 05 738819"</f>
        <v>65 05 738819</v>
      </c>
      <c r="D1014" t="str">
        <f>"4279011660777924"</f>
        <v>4279011660777924</v>
      </c>
      <c r="E1014" t="str">
        <f t="shared" si="161"/>
        <v>2021-05-31</v>
      </c>
      <c r="F1014" t="str">
        <f t="shared" ref="F1014:G1016" si="162">"+"</f>
        <v>+</v>
      </c>
      <c r="G1014" t="str">
        <f t="shared" si="162"/>
        <v>+</v>
      </c>
      <c r="H1014" t="str">
        <f>"40817810916991425181"</f>
        <v>40817810916991425181</v>
      </c>
      <c r="I1014" t="str">
        <f>"7003"</f>
        <v>7003</v>
      </c>
      <c r="J1014" t="str">
        <f>"0650"</f>
        <v>0650</v>
      </c>
      <c r="K1014" t="str">
        <f>"73000.00"</f>
        <v>73000.00</v>
      </c>
      <c r="L1014" t="str">
        <f>"620000 ОБЛ СВЕРДЛОВСКАЯ Р-Н БОГДАНОВИЧСКИЙ Г БОГДАНОВИЧ   УЛ ПИОНЕРСКАЯ д. 1"</f>
        <v>620000 ОБЛ СВЕРДЛОВСКАЯ Р-Н БОГДАНОВИЧСКИЙ Г БОГДАНОВИЧ   УЛ ПИОНЕРСКАЯ д. 1</v>
      </c>
      <c r="M1014" t="str">
        <f t="shared" si="153"/>
        <v>2019-08-24</v>
      </c>
      <c r="N1014" t="str">
        <f>"СВИНОКОМПЛЕКС"</f>
        <v>СВИНОКОМПЛЕКС</v>
      </c>
      <c r="O1014" t="str">
        <f>"620000"</f>
        <v>620000</v>
      </c>
      <c r="P1014" t="str">
        <f>"ОБЛ СВЕРДЛОВСКАЯ"</f>
        <v>ОБЛ СВЕРДЛОВСКАЯ</v>
      </c>
      <c r="Q1014" t="str">
        <f>"Р-Н БОГДАНОВИЧСКИЙ"</f>
        <v>Р-Н БОГДАНОВИЧСКИЙ</v>
      </c>
      <c r="R1014" t="str">
        <f>"Г БОГДАНОВИЧ"</f>
        <v>Г БОГДАНОВИЧ</v>
      </c>
      <c r="S1014" t="str">
        <f>""</f>
        <v/>
      </c>
      <c r="T1014" t="str">
        <f>"УЛ КРЫЛОВА"</f>
        <v>УЛ КРЫЛОВА</v>
      </c>
      <c r="U1014" s="1" t="str">
        <f>"55"</f>
        <v>55</v>
      </c>
      <c r="V1014" s="1" t="str">
        <f>""</f>
        <v/>
      </c>
      <c r="W1014" s="1" t="str">
        <f>""</f>
        <v/>
      </c>
      <c r="X1014" s="1" t="str">
        <f>""</f>
        <v/>
      </c>
      <c r="Y1014" s="1" t="str">
        <f>"2"</f>
        <v>2</v>
      </c>
      <c r="Z1014" t="str">
        <f>"9222089294"</f>
        <v>9222089294</v>
      </c>
      <c r="AA1014" t="str">
        <f>"9222089294"</f>
        <v>9222089294</v>
      </c>
      <c r="AB1014" t="str">
        <f>"9222089294"</f>
        <v>9222089294</v>
      </c>
      <c r="AC1014" t="str">
        <f>"9222089294"</f>
        <v>9222089294</v>
      </c>
      <c r="AD1014" t="str">
        <f>"9222089294"</f>
        <v>9222089294</v>
      </c>
      <c r="AE1014" t="str">
        <f>"9222089294"</f>
        <v>9222089294</v>
      </c>
    </row>
    <row r="1015" spans="1:31" x14ac:dyDescent="0.45">
      <c r="A1015" t="str">
        <f>"КОРОБЕЙНИКОВА НАТАЛЬЯ АЛЕКСАНДРОВНА"</f>
        <v>КОРОБЕЙНИКОВА НАТАЛЬЯ АЛЕКСАНДРОВНА</v>
      </c>
      <c r="B1015" t="str">
        <f>"1962-06-01"</f>
        <v>1962-06-01</v>
      </c>
      <c r="C1015" t="str">
        <f>"37 07 202786"</f>
        <v>37 07 202786</v>
      </c>
      <c r="D1015" t="str">
        <f>"4279011637861918"</f>
        <v>4279011637861918</v>
      </c>
      <c r="E1015" t="str">
        <f t="shared" si="161"/>
        <v>2021-05-31</v>
      </c>
      <c r="F1015" t="str">
        <f t="shared" si="162"/>
        <v>+</v>
      </c>
      <c r="G1015" t="str">
        <f t="shared" si="162"/>
        <v>+</v>
      </c>
      <c r="H1015" t="str">
        <f>"40817810216991425182"</f>
        <v>40817810216991425182</v>
      </c>
      <c r="I1015" t="str">
        <f>"8599"</f>
        <v>8599</v>
      </c>
      <c r="J1015" t="str">
        <f>"7770"</f>
        <v>7770</v>
      </c>
      <c r="K1015" t="str">
        <f>"120000.00"</f>
        <v>120000.00</v>
      </c>
      <c r="L1015" t="str">
        <f>"640000 ОБЛ КУРГАНСКАЯ   Г КУРГАН   УЛ М.ГОРЬКОГО д. 133-4"</f>
        <v>640000 ОБЛ КУРГАНСКАЯ   Г КУРГАН   УЛ М.ГОРЬКОГО д. 133-4</v>
      </c>
      <c r="M1015" t="str">
        <f t="shared" si="153"/>
        <v>2019-08-24</v>
      </c>
      <c r="N1015" t="str">
        <f>"Д/С №6 ЗОЛОТАЯ РЫБКА"</f>
        <v>Д/С №6 ЗОЛОТАЯ РЫБКА</v>
      </c>
      <c r="O1015" t="str">
        <f>"640011"</f>
        <v>640011</v>
      </c>
      <c r="P1015" t="str">
        <f>"ОБЛ КУРГАНСКАЯ"</f>
        <v>ОБЛ КУРГАНСКАЯ</v>
      </c>
      <c r="Q1015" t="str">
        <f>""</f>
        <v/>
      </c>
      <c r="R1015" t="str">
        <f>"Г КУРГАН"</f>
        <v>Г КУРГАН</v>
      </c>
      <c r="S1015" t="str">
        <f>""</f>
        <v/>
      </c>
      <c r="T1015" t="str">
        <f>"УЛ ГАГАРИНА"</f>
        <v>УЛ ГАГАРИНА</v>
      </c>
      <c r="U1015" s="1" t="str">
        <f>"62"</f>
        <v>62</v>
      </c>
      <c r="V1015" s="1" t="str">
        <f>""</f>
        <v/>
      </c>
      <c r="W1015" s="1" t="str">
        <f>""</f>
        <v/>
      </c>
      <c r="X1015" s="1" t="str">
        <f>""</f>
        <v/>
      </c>
      <c r="Y1015" s="1" t="str">
        <f>"17"</f>
        <v>17</v>
      </c>
      <c r="Z1015" t="str">
        <f>"+7 (3522) 461254"</f>
        <v>+7 (3522) 461254</v>
      </c>
      <c r="AA1015" t="str">
        <f>"+7 (963) 0048354"</f>
        <v>+7 (963) 0048354</v>
      </c>
      <c r="AB1015" t="str">
        <f>"+7 (963) 0048354"</f>
        <v>+7 (963) 0048354</v>
      </c>
      <c r="AC1015" t="str">
        <f>"9630048354"</f>
        <v>9630048354</v>
      </c>
      <c r="AD1015" t="str">
        <f>"9630048354"</f>
        <v>9630048354</v>
      </c>
      <c r="AE1015" t="str">
        <f>"3522461254"</f>
        <v>3522461254</v>
      </c>
    </row>
    <row r="1016" spans="1:31" x14ac:dyDescent="0.45">
      <c r="A1016" t="str">
        <f>"ЛОБАНОВА ТАТЬЯНА АНАТОЛЬЕВНА"</f>
        <v>ЛОБАНОВА ТАТЬЯНА АНАТОЛЬЕВНА</v>
      </c>
      <c r="B1016" t="str">
        <f>"1974-04-06"</f>
        <v>1974-04-06</v>
      </c>
      <c r="C1016" t="str">
        <f>"65 18 792327"</f>
        <v>65 18 792327</v>
      </c>
      <c r="D1016" t="str">
        <f>"4279011694875892"</f>
        <v>4279011694875892</v>
      </c>
      <c r="E1016" t="str">
        <f t="shared" si="161"/>
        <v>2021-05-31</v>
      </c>
      <c r="F1016" t="str">
        <f t="shared" si="162"/>
        <v>+</v>
      </c>
      <c r="G1016" t="str">
        <f t="shared" si="162"/>
        <v>+</v>
      </c>
      <c r="H1016" t="str">
        <f>"40817810016991425230"</f>
        <v>40817810016991425230</v>
      </c>
      <c r="I1016" t="str">
        <f>"7003"</f>
        <v>7003</v>
      </c>
      <c r="J1016" t="str">
        <f>"0558"</f>
        <v>0558</v>
      </c>
      <c r="K1016" t="str">
        <f>"170000.00"</f>
        <v>170000.00</v>
      </c>
      <c r="L1016" t="str">
        <f>"620000 ОБЛ СВЕРДЛОВСКАЯ   Г СЕРОВ   УЛ КИРОВА д. 130"</f>
        <v>620000 ОБЛ СВЕРДЛОВСКАЯ   Г СЕРОВ   УЛ КИРОВА д. 130</v>
      </c>
      <c r="M1016" t="str">
        <f t="shared" si="153"/>
        <v>2019-08-24</v>
      </c>
      <c r="N1016" t="str">
        <f>"МРСК УРАЛА"</f>
        <v>МРСК УРАЛА</v>
      </c>
      <c r="O1016" t="str">
        <f>"620000"</f>
        <v>620000</v>
      </c>
      <c r="P1016" t="str">
        <f>"ОБЛ СВЕРДЛОВСКАЯ"</f>
        <v>ОБЛ СВЕРДЛОВСКАЯ</v>
      </c>
      <c r="Q1016" t="str">
        <f>""</f>
        <v/>
      </c>
      <c r="R1016" t="str">
        <f>"Г СЕРОВ"</f>
        <v>Г СЕРОВ</v>
      </c>
      <c r="S1016" t="str">
        <f>""</f>
        <v/>
      </c>
      <c r="T1016" t="str">
        <f>"УЛ ЛЕНИНА"</f>
        <v>УЛ ЛЕНИНА</v>
      </c>
      <c r="U1016" s="1" t="str">
        <f>"238"</f>
        <v>238</v>
      </c>
      <c r="V1016" s="1" t="str">
        <f>""</f>
        <v/>
      </c>
      <c r="W1016" s="1" t="str">
        <f>""</f>
        <v/>
      </c>
      <c r="X1016" s="1" t="str">
        <f>""</f>
        <v/>
      </c>
      <c r="Y1016" s="1" t="str">
        <f>"90"</f>
        <v>90</v>
      </c>
      <c r="Z1016" t="str">
        <f>""</f>
        <v/>
      </c>
      <c r="AA1016" t="str">
        <f>"9506522531"</f>
        <v>9506522531</v>
      </c>
      <c r="AB1016" t="str">
        <f>"9506522531"</f>
        <v>9506522531</v>
      </c>
      <c r="AC1016" t="str">
        <f>"9506522531"</f>
        <v>9506522531</v>
      </c>
      <c r="AD1016" t="str">
        <f>"9506522531"</f>
        <v>9506522531</v>
      </c>
      <c r="AE1016" t="str">
        <f>""</f>
        <v/>
      </c>
    </row>
    <row r="1017" spans="1:31" x14ac:dyDescent="0.45">
      <c r="A1017" t="str">
        <f>"ПЛЮСНИНА МАРИНА ВЛАДИМИРОВНА"</f>
        <v>ПЛЮСНИНА МАРИНА ВЛАДИМИРОВНА</v>
      </c>
      <c r="B1017" t="str">
        <f>"1966-06-13"</f>
        <v>1966-06-13</v>
      </c>
      <c r="C1017" t="str">
        <f>"37 10 429430"</f>
        <v>37 10 429430</v>
      </c>
      <c r="D1017" t="str">
        <f>"4279011622401241"</f>
        <v>4279011622401241</v>
      </c>
      <c r="E1017" t="str">
        <f t="shared" si="161"/>
        <v>2021-05-31</v>
      </c>
      <c r="F1017" t="str">
        <f>"K"</f>
        <v>K</v>
      </c>
      <c r="G1017" t="str">
        <f>"+"</f>
        <v>+</v>
      </c>
      <c r="H1017" t="str">
        <f>"40817810616991425232"</f>
        <v>40817810616991425232</v>
      </c>
      <c r="I1017" t="str">
        <f>"8599"</f>
        <v>8599</v>
      </c>
      <c r="J1017" t="str">
        <f>"7770"</f>
        <v>7770</v>
      </c>
      <c r="K1017" t="str">
        <f>"165000.00"</f>
        <v>165000.00</v>
      </c>
      <c r="L1017" t="str">
        <f>"641000 ОБЛ КУРГАНСКАЯ   Г КУРГАН   УЛ М.ГОРЬКОГО д. 133 корп. 4"</f>
        <v>641000 ОБЛ КУРГАНСКАЯ   Г КУРГАН   УЛ М.ГОРЬКОГО д. 133 корп. 4</v>
      </c>
      <c r="M1017" t="str">
        <f t="shared" si="153"/>
        <v>2019-08-24</v>
      </c>
      <c r="N1017" t="str">
        <f>"Д/С №6 ЗОЛОТАЯ РЫБКА"</f>
        <v>Д/С №6 ЗОЛОТАЯ РЫБКА</v>
      </c>
      <c r="O1017" t="str">
        <f>"641000"</f>
        <v>641000</v>
      </c>
      <c r="P1017" t="str">
        <f>"ОБЛ КУРГАНСКАЯ"</f>
        <v>ОБЛ КУРГАНСКАЯ</v>
      </c>
      <c r="Q1017" t="str">
        <f>""</f>
        <v/>
      </c>
      <c r="R1017" t="str">
        <f>"Г КУРГАН"</f>
        <v>Г КУРГАН</v>
      </c>
      <c r="S1017" t="str">
        <f>""</f>
        <v/>
      </c>
      <c r="T1017" t="str">
        <f>"УЛ КОНСТИТУЦИИ ПР."</f>
        <v>УЛ КОНСТИТУЦИИ ПР.</v>
      </c>
      <c r="U1017" s="1" t="str">
        <f>"38А"</f>
        <v>38А</v>
      </c>
      <c r="V1017" s="1" t="str">
        <f>""</f>
        <v/>
      </c>
      <c r="W1017" s="1" t="str">
        <f>""</f>
        <v/>
      </c>
      <c r="X1017" s="1" t="str">
        <f>""</f>
        <v/>
      </c>
      <c r="Y1017" s="1" t="str">
        <f>"100"</f>
        <v>100</v>
      </c>
      <c r="Z1017" t="str">
        <f>"3522460312"</f>
        <v>3522460312</v>
      </c>
      <c r="AA1017" t="str">
        <f>"89125724868"</f>
        <v>89125724868</v>
      </c>
      <c r="AB1017" t="str">
        <f>"9125724868"</f>
        <v>9125724868</v>
      </c>
      <c r="AC1017" t="str">
        <f>"9125724868"</f>
        <v>9125724868</v>
      </c>
      <c r="AD1017" t="str">
        <f>"9125724868"</f>
        <v>9125724868</v>
      </c>
      <c r="AE1017" t="str">
        <f>"3522460312"</f>
        <v>3522460312</v>
      </c>
    </row>
    <row r="1018" spans="1:31" x14ac:dyDescent="0.45">
      <c r="A1018" t="str">
        <f>"КОЗЛОВА НАДЕЖДА ВИКТОРОВНА"</f>
        <v>КОЗЛОВА НАДЕЖДА ВИКТОРОВНА</v>
      </c>
      <c r="B1018" t="str">
        <f>"1960-04-17"</f>
        <v>1960-04-17</v>
      </c>
      <c r="C1018" t="str">
        <f>"65 05 370721"</f>
        <v>65 05 370721</v>
      </c>
      <c r="D1018" t="str">
        <f>"4854630299948854"</f>
        <v>4854630299948854</v>
      </c>
      <c r="E1018" t="str">
        <f>"2020-11-30"</f>
        <v>2020-11-30</v>
      </c>
      <c r="F1018" t="str">
        <f>"Q"</f>
        <v>Q</v>
      </c>
      <c r="G1018" t="str">
        <f>"Q"</f>
        <v>Q</v>
      </c>
      <c r="H1018" t="str">
        <f>"40817810316991428270"</f>
        <v>40817810316991428270</v>
      </c>
      <c r="I1018" t="str">
        <f>"7003"</f>
        <v>7003</v>
      </c>
      <c r="J1018" t="str">
        <f>"0858"</f>
        <v>0858</v>
      </c>
      <c r="K1018" t="str">
        <f>"0.00"</f>
        <v>0.00</v>
      </c>
      <c r="L1018" t="str">
        <f>"624200 ОБЛ СВЕРДЛОВСКАЯ   Г ЛЕСНОЙ   УЛ ЛЕНИНА д. 92 кв. 157"</f>
        <v>624200 ОБЛ СВЕРДЛОВСКАЯ   Г ЛЕСНОЙ   УЛ ЛЕНИНА д. 92 кв. 157</v>
      </c>
      <c r="M1018" t="str">
        <f t="shared" si="153"/>
        <v>2019-08-24</v>
      </c>
      <c r="N1018" t="str">
        <f>"ПЕНСИОНЕР"</f>
        <v>ПЕНСИОНЕР</v>
      </c>
      <c r="O1018" t="str">
        <f>"620000"</f>
        <v>620000</v>
      </c>
      <c r="P1018" t="str">
        <f>"ОБЛ СВЕРДЛОВСКАЯ"</f>
        <v>ОБЛ СВЕРДЛОВСКАЯ</v>
      </c>
      <c r="Q1018" t="str">
        <f>""</f>
        <v/>
      </c>
      <c r="R1018" t="str">
        <f>"Г ЛЕСНОЙ"</f>
        <v>Г ЛЕСНОЙ</v>
      </c>
      <c r="S1018" t="str">
        <f>""</f>
        <v/>
      </c>
      <c r="T1018" t="str">
        <f>"УЛ ЛЕНИНА"</f>
        <v>УЛ ЛЕНИНА</v>
      </c>
      <c r="U1018" s="1" t="str">
        <f>"92"</f>
        <v>92</v>
      </c>
      <c r="V1018" s="1" t="str">
        <f>""</f>
        <v/>
      </c>
      <c r="W1018" s="1" t="str">
        <f>""</f>
        <v/>
      </c>
      <c r="X1018" s="1" t="str">
        <f>""</f>
        <v/>
      </c>
      <c r="Y1018" s="1" t="str">
        <f>"157"</f>
        <v>157</v>
      </c>
      <c r="Z1018" t="str">
        <f>"3434232282"</f>
        <v>3434232282</v>
      </c>
      <c r="AA1018" t="str">
        <f>"3434269765"</f>
        <v>3434269765</v>
      </c>
      <c r="AB1018" t="str">
        <f>"9089256713"</f>
        <v>9089256713</v>
      </c>
      <c r="AC1018" t="str">
        <f>"3434269765"</f>
        <v>3434269765</v>
      </c>
      <c r="AD1018" t="str">
        <f>"9089256713"</f>
        <v>9089256713</v>
      </c>
      <c r="AE1018" t="str">
        <f>"3434232282"</f>
        <v>3434232282</v>
      </c>
    </row>
    <row r="1019" spans="1:31" x14ac:dyDescent="0.45">
      <c r="A1019" t="str">
        <f>"ШАКИРОВА СВЕТЛАНА ИДРИСОВНА"</f>
        <v>ШАКИРОВА СВЕТЛАНА ИДРИСОВНА</v>
      </c>
      <c r="B1019" t="str">
        <f>"1963-06-25"</f>
        <v>1963-06-25</v>
      </c>
      <c r="C1019" t="str">
        <f>"80 07 476784"</f>
        <v>80 07 476784</v>
      </c>
      <c r="D1019" t="str">
        <f>"4854630356946528"</f>
        <v>4854630356946528</v>
      </c>
      <c r="E1019" t="str">
        <f>"2021-04-30"</f>
        <v>2021-04-30</v>
      </c>
      <c r="F1019" t="str">
        <f t="shared" ref="F1019:G1021" si="163">"+"</f>
        <v>+</v>
      </c>
      <c r="G1019" t="str">
        <f t="shared" si="163"/>
        <v>+</v>
      </c>
      <c r="H1019" t="str">
        <f>"40817810616991428271"</f>
        <v>40817810616991428271</v>
      </c>
      <c r="I1019" t="str">
        <f>"8598"</f>
        <v>8598</v>
      </c>
      <c r="J1019" t="str">
        <f>"0196"</f>
        <v>0196</v>
      </c>
      <c r="K1019" t="str">
        <f>"145000.00"</f>
        <v>145000.00</v>
      </c>
      <c r="L1019" t="str">
        <f>"450000 РЕСП БАШКОРТОСТАН   Г УФА   УЛ САРАПУЛЬСКАЯ д. 62 корп. А"</f>
        <v>450000 РЕСП БАШКОРТОСТАН   Г УФА   УЛ САРАПУЛЬСКАЯ д. 62 корп. А</v>
      </c>
      <c r="M1019" t="str">
        <f t="shared" si="153"/>
        <v>2019-08-24</v>
      </c>
      <c r="N1019" t="str">
        <f>"ПЕНСИОНЕР"</f>
        <v>ПЕНСИОНЕР</v>
      </c>
      <c r="O1019" t="str">
        <f>"450000"</f>
        <v>450000</v>
      </c>
      <c r="P1019" t="str">
        <f>"РЕСП БАШКОРТОСТАН"</f>
        <v>РЕСП БАШКОРТОСТАН</v>
      </c>
      <c r="Q1019" t="str">
        <f>""</f>
        <v/>
      </c>
      <c r="R1019" t="str">
        <f>"Г УФА"</f>
        <v>Г УФА</v>
      </c>
      <c r="S1019" t="str">
        <f>""</f>
        <v/>
      </c>
      <c r="T1019" t="str">
        <f>"УЛ САРАПУЛЬСКАЯ"</f>
        <v>УЛ САРАПУЛЬСКАЯ</v>
      </c>
      <c r="U1019" s="1" t="str">
        <f>"62"</f>
        <v>62</v>
      </c>
      <c r="V1019" s="1" t="str">
        <f>""</f>
        <v/>
      </c>
      <c r="W1019" s="1" t="str">
        <f>"А"</f>
        <v>А</v>
      </c>
      <c r="X1019" s="1" t="str">
        <f>""</f>
        <v/>
      </c>
      <c r="Y1019" s="1" t="str">
        <f>""</f>
        <v/>
      </c>
      <c r="Z1019" t="str">
        <f>""</f>
        <v/>
      </c>
      <c r="AA1019" t="str">
        <f>"9196125543"</f>
        <v>9196125543</v>
      </c>
      <c r="AB1019" t="str">
        <f>"9196125543"</f>
        <v>9196125543</v>
      </c>
      <c r="AC1019" t="str">
        <f>"9196125543"</f>
        <v>9196125543</v>
      </c>
      <c r="AD1019" t="str">
        <f>"9196125543"</f>
        <v>9196125543</v>
      </c>
      <c r="AE1019" t="str">
        <f>""</f>
        <v/>
      </c>
    </row>
    <row r="1020" spans="1:31" x14ac:dyDescent="0.45">
      <c r="A1020" t="str">
        <f>"БАЛУКОВ ВИКТОР НИКОЛАЕВИЧ"</f>
        <v>БАЛУКОВ ВИКТОР НИКОЛАЕВИЧ</v>
      </c>
      <c r="B1020" t="str">
        <f>"1954-06-03"</f>
        <v>1954-06-03</v>
      </c>
      <c r="C1020" t="str">
        <f>"71 02 617592"</f>
        <v>71 02 617592</v>
      </c>
      <c r="D1020" t="str">
        <f>"5313100758006448"</f>
        <v>5313100758006448</v>
      </c>
      <c r="E1020" t="str">
        <f>"2020-10-31"</f>
        <v>2020-10-31</v>
      </c>
      <c r="F1020" t="str">
        <f t="shared" si="163"/>
        <v>+</v>
      </c>
      <c r="G1020" t="str">
        <f t="shared" si="163"/>
        <v>+</v>
      </c>
      <c r="H1020" t="str">
        <f>"40817810616992353015"</f>
        <v>40817810616992353015</v>
      </c>
      <c r="I1020" t="str">
        <f>"8647"</f>
        <v>8647</v>
      </c>
      <c r="J1020" t="str">
        <f>"0158"</f>
        <v>0158</v>
      </c>
      <c r="K1020" t="str">
        <f>"15000.00"</f>
        <v>15000.00</v>
      </c>
      <c r="L1020" t="str">
        <f>"625520 ОБЛ ТЮМЕНСКАЯ Р-Н ТЮМЕНСКИЙ   П БОГАНДИНСКИЙ УЛ ЭНЕРГЕТИКОВ д. 6 кв. 18"</f>
        <v>625520 ОБЛ ТЮМЕНСКАЯ Р-Н ТЮМЕНСКИЙ   П БОГАНДИНСКИЙ УЛ ЭНЕРГЕТИКОВ д. 6 кв. 18</v>
      </c>
      <c r="M1020" t="str">
        <f t="shared" si="153"/>
        <v>2019-08-24</v>
      </c>
      <c r="N1020" t="str">
        <f>"ПЕНСИОНЕР"</f>
        <v>ПЕНСИОНЕР</v>
      </c>
      <c r="O1020" t="str">
        <f>"625520"</f>
        <v>625520</v>
      </c>
      <c r="P1020" t="str">
        <f>"ОБЛ ТЮМЕНСКАЯ"</f>
        <v>ОБЛ ТЮМЕНСКАЯ</v>
      </c>
      <c r="Q1020" t="str">
        <f>"Р-Н ТЮМЕНСКИЙ"</f>
        <v>Р-Н ТЮМЕНСКИЙ</v>
      </c>
      <c r="R1020" t="str">
        <f>""</f>
        <v/>
      </c>
      <c r="S1020" t="str">
        <f>"П БОГАНДИНСКИЙ"</f>
        <v>П БОГАНДИНСКИЙ</v>
      </c>
      <c r="T1020" t="str">
        <f>"УЛ ЭНЕРГЕТИКОВ"</f>
        <v>УЛ ЭНЕРГЕТИКОВ</v>
      </c>
      <c r="U1020" s="1" t="str">
        <f>"6"</f>
        <v>6</v>
      </c>
      <c r="V1020" s="1" t="str">
        <f>""</f>
        <v/>
      </c>
      <c r="W1020" s="1" t="str">
        <f>""</f>
        <v/>
      </c>
      <c r="X1020" s="1" t="str">
        <f>""</f>
        <v/>
      </c>
      <c r="Y1020" s="1" t="str">
        <f>"18"</f>
        <v>18</v>
      </c>
      <c r="Z1020" t="str">
        <f>"9224700773"</f>
        <v>9224700773</v>
      </c>
      <c r="AA1020" t="str">
        <f>"9224755910"</f>
        <v>9224755910</v>
      </c>
      <c r="AB1020" t="str">
        <f>"9220401494"</f>
        <v>9220401494</v>
      </c>
      <c r="AC1020" t="str">
        <f>"9224755910"</f>
        <v>9224755910</v>
      </c>
      <c r="AD1020" t="str">
        <f>"9220401494"</f>
        <v>9220401494</v>
      </c>
      <c r="AE1020" t="str">
        <f>"9224700773"</f>
        <v>9224700773</v>
      </c>
    </row>
    <row r="1021" spans="1:31" x14ac:dyDescent="0.45">
      <c r="A1021" t="str">
        <f>"РАССОМАХИН ИВАН ПАВЛОВИЧ"</f>
        <v>РАССОМАХИН ИВАН ПАВЛОВИЧ</v>
      </c>
      <c r="B1021" t="str">
        <f>"1983-03-08"</f>
        <v>1983-03-08</v>
      </c>
      <c r="C1021" t="str">
        <f>"37 03 938060"</f>
        <v>37 03 938060</v>
      </c>
      <c r="D1021" t="str">
        <f>"4854630411662516"</f>
        <v>4854630411662516</v>
      </c>
      <c r="E1021" t="str">
        <f>"2021-04-30"</f>
        <v>2021-04-30</v>
      </c>
      <c r="F1021" t="str">
        <f t="shared" si="163"/>
        <v>+</v>
      </c>
      <c r="G1021" t="str">
        <f t="shared" si="163"/>
        <v>+</v>
      </c>
      <c r="H1021" t="str">
        <f>"40817810116991428289"</f>
        <v>40817810116991428289</v>
      </c>
      <c r="I1021" t="str">
        <f>"8599"</f>
        <v>8599</v>
      </c>
      <c r="J1021" t="str">
        <f>"0045"</f>
        <v>0045</v>
      </c>
      <c r="K1021" t="str">
        <f>"95000.00"</f>
        <v>95000.00</v>
      </c>
      <c r="L1021" t="str">
        <f>"640000 ОБЛ КУРГАНСКАЯ   Г КУРГАН   УЛ ДОСТОЕВСКОГО д. 67"</f>
        <v>640000 ОБЛ КУРГАНСКАЯ   Г КУРГАН   УЛ ДОСТОЕВСКОГО д. 67</v>
      </c>
      <c r="M1021" t="str">
        <f t="shared" si="153"/>
        <v>2019-08-24</v>
      </c>
      <c r="N1021" t="str">
        <f>"ООО ИПП ЗАУРАЛГИДРОМАШ"</f>
        <v>ООО ИПП ЗАУРАЛГИДРОМАШ</v>
      </c>
      <c r="O1021" t="str">
        <f>"641000"</f>
        <v>641000</v>
      </c>
      <c r="P1021" t="str">
        <f>"ОБЛ КУРГАНСКАЯ"</f>
        <v>ОБЛ КУРГАНСКАЯ</v>
      </c>
      <c r="Q1021" t="str">
        <f>"Р-Н КУРГАН"</f>
        <v>Р-Н КУРГАН</v>
      </c>
      <c r="R1021" t="str">
        <f>"Г С СКОПИНО"</f>
        <v>Г С СКОПИНО</v>
      </c>
      <c r="S1021" t="str">
        <f>"С СКОПИНО"</f>
        <v>С СКОПИНО</v>
      </c>
      <c r="T1021" t="str">
        <f>""</f>
        <v/>
      </c>
      <c r="U1021" s="1" t="str">
        <f>"15"</f>
        <v>15</v>
      </c>
      <c r="V1021" s="1" t="str">
        <f>""</f>
        <v/>
      </c>
      <c r="W1021" s="1" t="str">
        <f>""</f>
        <v/>
      </c>
      <c r="X1021" s="1" t="str">
        <f>""</f>
        <v/>
      </c>
      <c r="Y1021" s="1" t="str">
        <f>""</f>
        <v/>
      </c>
      <c r="Z1021" t="str">
        <f>"3522235233"</f>
        <v>3522235233</v>
      </c>
      <c r="AA1021" t="str">
        <f>"9191692956"</f>
        <v>9191692956</v>
      </c>
      <c r="AB1021" t="str">
        <f>"9195692956"</f>
        <v>9195692956</v>
      </c>
      <c r="AC1021" t="str">
        <f>"9191692956"</f>
        <v>9191692956</v>
      </c>
      <c r="AD1021" t="str">
        <f>"9195692956"</f>
        <v>9195692956</v>
      </c>
      <c r="AE1021" t="str">
        <f>"3522235233"</f>
        <v>3522235233</v>
      </c>
    </row>
    <row r="1022" spans="1:31" x14ac:dyDescent="0.45">
      <c r="A1022" t="str">
        <f>"ЕНИКЕЕВА ЛИЛИЯ ХАДЫЕВНА"</f>
        <v>ЕНИКЕЕВА ЛИЛИЯ ХАДЫЕВНА</v>
      </c>
      <c r="B1022" t="str">
        <f>"1952-12-19"</f>
        <v>1952-12-19</v>
      </c>
      <c r="C1022" t="str">
        <f>"80 04 440621"</f>
        <v>80 04 440621</v>
      </c>
      <c r="D1022" t="str">
        <f>"4854630384883206"</f>
        <v>4854630384883206</v>
      </c>
      <c r="E1022" t="str">
        <f>"2021-04-30"</f>
        <v>2021-04-30</v>
      </c>
      <c r="F1022" t="str">
        <f>"Q"</f>
        <v>Q</v>
      </c>
      <c r="G1022" t="str">
        <f>"Q"</f>
        <v>Q</v>
      </c>
      <c r="H1022" t="str">
        <f>"40817810516991428290"</f>
        <v>40817810516991428290</v>
      </c>
      <c r="I1022" t="str">
        <f>"8598"</f>
        <v>8598</v>
      </c>
      <c r="J1022" t="str">
        <f>"0139"</f>
        <v>0139</v>
      </c>
      <c r="K1022" t="str">
        <f>"0.00"</f>
        <v>0.00</v>
      </c>
      <c r="L1022" t="str">
        <f>"450000 РЕСП БАШКОРТОСТАН   Г УФА   УЛ РОССИЙСКАЯ д. 161 кв. 53"</f>
        <v>450000 РЕСП БАШКОРТОСТАН   Г УФА   УЛ РОССИЙСКАЯ д. 161 кв. 53</v>
      </c>
      <c r="M1022" t="str">
        <f t="shared" si="153"/>
        <v>2019-08-24</v>
      </c>
      <c r="N1022" t="str">
        <f>"ПЕНСИОННЫЙ ФОНД"</f>
        <v>ПЕНСИОННЫЙ ФОНД</v>
      </c>
      <c r="O1022" t="str">
        <f>"450000"</f>
        <v>450000</v>
      </c>
      <c r="P1022" t="str">
        <f>"РЕСП БАШКОРТОСТАН"</f>
        <v>РЕСП БАШКОРТОСТАН</v>
      </c>
      <c r="Q1022" t="str">
        <f>""</f>
        <v/>
      </c>
      <c r="R1022" t="str">
        <f>"Г УФА"</f>
        <v>Г УФА</v>
      </c>
      <c r="S1022" t="str">
        <f>""</f>
        <v/>
      </c>
      <c r="T1022" t="str">
        <f>"УЛ РОССИЙСКАЯ"</f>
        <v>УЛ РОССИЙСКАЯ</v>
      </c>
      <c r="U1022" s="1" t="str">
        <f>"161"</f>
        <v>161</v>
      </c>
      <c r="V1022" s="1" t="str">
        <f>""</f>
        <v/>
      </c>
      <c r="W1022" s="1" t="str">
        <f>""</f>
        <v/>
      </c>
      <c r="X1022" s="1" t="str">
        <f>""</f>
        <v/>
      </c>
      <c r="Y1022" s="1" t="str">
        <f>"53"</f>
        <v>53</v>
      </c>
      <c r="Z1022" t="str">
        <f>""</f>
        <v/>
      </c>
      <c r="AA1022" t="str">
        <f>"9177922071"</f>
        <v>9177922071</v>
      </c>
      <c r="AB1022" t="str">
        <f>"9177922071"</f>
        <v>9177922071</v>
      </c>
      <c r="AC1022" t="str">
        <f>"9177922071"</f>
        <v>9177922071</v>
      </c>
      <c r="AD1022" t="str">
        <f>"9177922071"</f>
        <v>9177922071</v>
      </c>
      <c r="AE1022" t="str">
        <f>""</f>
        <v/>
      </c>
    </row>
    <row r="1023" spans="1:31" x14ac:dyDescent="0.45">
      <c r="A1023" t="str">
        <f>"ГАЛИНА НАТАЛЬЯ МИХАЙЛОВНА"</f>
        <v>ГАЛИНА НАТАЛЬЯ МИХАЙЛОВНА</v>
      </c>
      <c r="B1023" t="str">
        <f>"1972-12-28"</f>
        <v>1972-12-28</v>
      </c>
      <c r="C1023" t="str">
        <f>"80 17 714745"</f>
        <v>80 17 714745</v>
      </c>
      <c r="D1023" t="str">
        <f>"4854630205997656"</f>
        <v>4854630205997656</v>
      </c>
      <c r="E1023" t="str">
        <f>"2021-04-30"</f>
        <v>2021-04-30</v>
      </c>
      <c r="F1023" t="str">
        <f>"Q"</f>
        <v>Q</v>
      </c>
      <c r="G1023" t="str">
        <f>"Q"</f>
        <v>Q</v>
      </c>
      <c r="H1023" t="str">
        <f>"40817810216991428312"</f>
        <v>40817810216991428312</v>
      </c>
      <c r="I1023" t="str">
        <f>"8598"</f>
        <v>8598</v>
      </c>
      <c r="J1023" t="str">
        <f>"0769"</f>
        <v>0769</v>
      </c>
      <c r="K1023" t="str">
        <f>"0.00"</f>
        <v>0.00</v>
      </c>
      <c r="L1023" t="str">
        <f>"453850 РЕСП БАШКОРТОСТАН   Г МЕЛЕУЗ   УЛ ПЛ. ХИМЗАВОДА"</f>
        <v>453850 РЕСП БАШКОРТОСТАН   Г МЕЛЕУЗ   УЛ ПЛ. ХИМЗАВОДА</v>
      </c>
      <c r="M1023" t="str">
        <f t="shared" si="153"/>
        <v>2019-08-24</v>
      </c>
      <c r="N1023" t="str">
        <f>"ШП ДЕЛЬТА"</f>
        <v>ШП ДЕЛЬТА</v>
      </c>
      <c r="O1023" t="str">
        <f>"453850"</f>
        <v>453850</v>
      </c>
      <c r="P1023" t="str">
        <f>"РЕСП БАШКОРТОСТАН"</f>
        <v>РЕСП БАШКОРТОСТАН</v>
      </c>
      <c r="Q1023" t="str">
        <f>""</f>
        <v/>
      </c>
      <c r="R1023" t="str">
        <f>"Г МЕЛЕУЗ"</f>
        <v>Г МЕЛЕУЗ</v>
      </c>
      <c r="S1023" t="str">
        <f>""</f>
        <v/>
      </c>
      <c r="T1023" t="str">
        <f>"УЛ ИНТЕРНАЦИОНАЛЬНЯ"</f>
        <v>УЛ ИНТЕРНАЦИОНАЛЬНЯ</v>
      </c>
      <c r="U1023" s="1" t="str">
        <f>"71"</f>
        <v>71</v>
      </c>
      <c r="V1023" s="1" t="str">
        <f>""</f>
        <v/>
      </c>
      <c r="W1023" s="1" t="str">
        <f>""</f>
        <v/>
      </c>
      <c r="X1023" s="1" t="str">
        <f>""</f>
        <v/>
      </c>
      <c r="Y1023" s="1" t="str">
        <f>""</f>
        <v/>
      </c>
      <c r="Z1023" t="str">
        <f>"3476452067"</f>
        <v>3476452067</v>
      </c>
      <c r="AA1023" t="str">
        <f>"9273121902"</f>
        <v>9273121902</v>
      </c>
      <c r="AB1023" t="str">
        <f>"9273121902"</f>
        <v>9273121902</v>
      </c>
      <c r="AC1023" t="str">
        <f>"9273121902"</f>
        <v>9273121902</v>
      </c>
      <c r="AD1023" t="str">
        <f>"9273121902"</f>
        <v>9273121902</v>
      </c>
      <c r="AE1023" t="str">
        <f>""</f>
        <v/>
      </c>
    </row>
    <row r="1024" spans="1:31" x14ac:dyDescent="0.45">
      <c r="A1024" t="str">
        <f>"ХАЛИУЛЛИН ФАНИЛЬ МАГДАНОВИЧ"</f>
        <v>ХАЛИУЛЛИН ФАНИЛЬ МАГДАНОВИЧ</v>
      </c>
      <c r="B1024" t="str">
        <f>"1966-01-09"</f>
        <v>1966-01-09</v>
      </c>
      <c r="C1024" t="str">
        <f>"80 10 216594"</f>
        <v>80 10 216594</v>
      </c>
      <c r="D1024" t="str">
        <f>"5313100715067012"</f>
        <v>5313100715067012</v>
      </c>
      <c r="E1024" t="str">
        <f>"2020-10-31"</f>
        <v>2020-10-31</v>
      </c>
      <c r="F1024" t="str">
        <f>"+"</f>
        <v>+</v>
      </c>
      <c r="G1024" t="str">
        <f>"+"</f>
        <v>+</v>
      </c>
      <c r="H1024" t="str">
        <f>"40817810516991428313"</f>
        <v>40817810516991428313</v>
      </c>
      <c r="I1024" t="str">
        <f>"8598"</f>
        <v>8598</v>
      </c>
      <c r="J1024" t="str">
        <f>"0630"</f>
        <v>0630</v>
      </c>
      <c r="K1024" t="str">
        <f>"63000.00"</f>
        <v>63000.00</v>
      </c>
      <c r="L1024" t="str">
        <f>"450000 РЕСП БАШКОРТОСТАН   Г ОКТЯБРЬСКИЙ   УЛ КООПЕРАТИВНА д. 115"</f>
        <v>450000 РЕСП БАШКОРТОСТАН   Г ОКТЯБРЬСКИЙ   УЛ КООПЕРАТИВНА д. 115</v>
      </c>
      <c r="M1024" t="str">
        <f t="shared" si="153"/>
        <v>2019-08-24</v>
      </c>
      <c r="N1024" t="str">
        <f>"ИП ЛУТФУЛЛИН"</f>
        <v>ИП ЛУТФУЛЛИН</v>
      </c>
      <c r="O1024" t="str">
        <f>"450000"</f>
        <v>450000</v>
      </c>
      <c r="P1024" t="str">
        <f>"РЕСП БАШКОРТОСТАН"</f>
        <v>РЕСП БАШКОРТОСТАН</v>
      </c>
      <c r="Q1024" t="str">
        <f>""</f>
        <v/>
      </c>
      <c r="R1024" t="str">
        <f>"Г ОКТЯБРЬСКИЙ"</f>
        <v>Г ОКТЯБРЬСКИЙ</v>
      </c>
      <c r="S1024" t="str">
        <f>""</f>
        <v/>
      </c>
      <c r="T1024" t="str">
        <f>"МКР 35"</f>
        <v>МКР 35</v>
      </c>
      <c r="U1024" s="1" t="str">
        <f>"6"</f>
        <v>6</v>
      </c>
      <c r="V1024" s="1" t="str">
        <f>""</f>
        <v/>
      </c>
      <c r="W1024" s="1" t="str">
        <f>""</f>
        <v/>
      </c>
      <c r="X1024" s="1" t="str">
        <f>""</f>
        <v/>
      </c>
      <c r="Y1024" s="1" t="str">
        <f>"36"</f>
        <v>36</v>
      </c>
      <c r="Z1024" t="str">
        <f>"34767 36400"</f>
        <v>34767 36400</v>
      </c>
      <c r="AA1024" t="str">
        <f>"9273053821"</f>
        <v>9273053821</v>
      </c>
      <c r="AB1024" t="str">
        <f>"9273053821"</f>
        <v>9273053821</v>
      </c>
      <c r="AC1024" t="str">
        <f>"9273053821"</f>
        <v>9273053821</v>
      </c>
      <c r="AD1024" t="str">
        <f>"9273053821"</f>
        <v>9273053821</v>
      </c>
      <c r="AE1024" t="str">
        <f>""</f>
        <v/>
      </c>
    </row>
    <row r="1025" spans="1:31" x14ac:dyDescent="0.45">
      <c r="A1025" t="str">
        <f>"САДРОВА ГАДИЛЯ НАСИХОВНА"</f>
        <v>САДРОВА ГАДИЛЯ НАСИХОВНА</v>
      </c>
      <c r="B1025" t="str">
        <f>"1961-04-08"</f>
        <v>1961-04-08</v>
      </c>
      <c r="C1025" t="str">
        <f>"65 05 784157"</f>
        <v>65 05 784157</v>
      </c>
      <c r="D1025" t="str">
        <f>"5313100675445331"</f>
        <v>5313100675445331</v>
      </c>
      <c r="E1025" t="str">
        <f>"2021-03-31"</f>
        <v>2021-03-31</v>
      </c>
      <c r="F1025" t="str">
        <f>"+"</f>
        <v>+</v>
      </c>
      <c r="G1025" t="str">
        <f>"+"</f>
        <v>+</v>
      </c>
      <c r="H1025" t="str">
        <f>"40817810016991460871"</f>
        <v>40817810016991460871</v>
      </c>
      <c r="I1025" t="str">
        <f>"7003"</f>
        <v>7003</v>
      </c>
      <c r="J1025" t="str">
        <f>"0430"</f>
        <v>0430</v>
      </c>
      <c r="K1025" t="str">
        <f>"60000.00"</f>
        <v>60000.00</v>
      </c>
      <c r="L1025" t="str">
        <f>"620025 ОБЛ СВЕРДЛОВСКАЯ   Г ЕКАТЕРИНБУРГ   УЛ БАХЧИВАНДЖИ д. 2Г"</f>
        <v>620025 ОБЛ СВЕРДЛОВСКАЯ   Г ЕКАТЕРИНБУРГ   УЛ БАХЧИВАНДЖИ д. 2Г</v>
      </c>
      <c r="M1025" t="str">
        <f t="shared" si="153"/>
        <v>2019-08-24</v>
      </c>
      <c r="N1025" t="str">
        <f>"ООО УЗГА"</f>
        <v>ООО УЗГА</v>
      </c>
      <c r="O1025" t="str">
        <f>"620010"</f>
        <v>620010</v>
      </c>
      <c r="P1025" t="str">
        <f>"ОБЛ СВЕРДЛОВСКАЯ"</f>
        <v>ОБЛ СВЕРДЛОВСКАЯ</v>
      </c>
      <c r="Q1025" t="str">
        <f>""</f>
        <v/>
      </c>
      <c r="R1025" t="str">
        <f>"Г ЕКАТЕРИНБУРГ"</f>
        <v>Г ЕКАТЕРИНБУРГ</v>
      </c>
      <c r="S1025" t="str">
        <f>""</f>
        <v/>
      </c>
      <c r="T1025" t="str">
        <f>"УЛ МНОГОСТАНОЧНИКОВ"</f>
        <v>УЛ МНОГОСТАНОЧНИКОВ</v>
      </c>
      <c r="U1025" s="1" t="str">
        <f>"15"</f>
        <v>15</v>
      </c>
      <c r="V1025" s="1" t="str">
        <f>""</f>
        <v/>
      </c>
      <c r="W1025" s="1" t="str">
        <f>""</f>
        <v/>
      </c>
      <c r="X1025" s="1" t="str">
        <f>""</f>
        <v/>
      </c>
      <c r="Y1025" s="1" t="str">
        <f>"1"</f>
        <v>1</v>
      </c>
      <c r="Z1025" t="str">
        <f>"3433803694"</f>
        <v>3433803694</v>
      </c>
      <c r="AA1025" t="str">
        <f>"9505430861"</f>
        <v>9505430861</v>
      </c>
      <c r="AB1025" t="str">
        <f>"9505430861"</f>
        <v>9505430861</v>
      </c>
      <c r="AC1025" t="str">
        <f>"9505430861"</f>
        <v>9505430861</v>
      </c>
      <c r="AD1025" t="str">
        <f>"9505430861"</f>
        <v>9505430861</v>
      </c>
      <c r="AE1025" t="str">
        <f>""</f>
        <v/>
      </c>
    </row>
    <row r="1026" spans="1:31" x14ac:dyDescent="0.45">
      <c r="A1026" t="str">
        <f>"ИБРАГИМОВ НЕГМАТУЛЛО УБАЙДУЛЛАЕВИЧ"</f>
        <v>ИБРАГИМОВ НЕГМАТУЛЛО УБАЙДУЛЛАЕВИЧ</v>
      </c>
      <c r="B1026" t="str">
        <f>"1974-10-31"</f>
        <v>1974-10-31</v>
      </c>
      <c r="C1026" t="str">
        <f>"67 01 389220"</f>
        <v>67 01 389220</v>
      </c>
      <c r="D1026" t="str">
        <f>"4854630364635154"</f>
        <v>4854630364635154</v>
      </c>
      <c r="E1026" t="str">
        <f>"2021-04-30"</f>
        <v>2021-04-30</v>
      </c>
      <c r="F1026" t="str">
        <f>"M"</f>
        <v>M</v>
      </c>
      <c r="G1026" t="str">
        <f t="shared" ref="G1026:G1031" si="164">"+"</f>
        <v>+</v>
      </c>
      <c r="H1026" t="str">
        <f>"40817810316992652032"</f>
        <v>40817810316992652032</v>
      </c>
      <c r="I1026" t="str">
        <f>"5940"</f>
        <v>5940</v>
      </c>
      <c r="J1026" t="str">
        <f>"0138"</f>
        <v>0138</v>
      </c>
      <c r="K1026" t="str">
        <f>"50000.00"</f>
        <v>50000.00</v>
      </c>
      <c r="L1026" t="str">
        <f>"628600 АО ХАНТЫ-МАНСИЙСКИЙ АВТОНОМНЫЙ ОКРУГ-ЮГРА   Г НИЖНЕВАРТОВСК   УЛ ИНДУСТРИАЛЬНАЯ д. 5"</f>
        <v>628600 АО ХАНТЫ-МАНСИЙСКИЙ АВТОНОМНЫЙ ОКРУГ-ЮГРА   Г НИЖНЕВАРТОВСК   УЛ ИНДУСТРИАЛЬНАЯ д. 5</v>
      </c>
      <c r="M1026" t="str">
        <f t="shared" ref="M1026:M1089" si="165">"2019-08-24"</f>
        <v>2019-08-24</v>
      </c>
      <c r="N1026" t="str">
        <f>"ООО ТАРХОВСКОЕ"</f>
        <v>ООО ТАРХОВСКОЕ</v>
      </c>
      <c r="O1026" t="str">
        <f>"628600"</f>
        <v>628600</v>
      </c>
      <c r="P1026" t="str">
        <f>"ОБЛ ТЮМЕНСКАЯ"</f>
        <v>ОБЛ ТЮМЕНСКАЯ</v>
      </c>
      <c r="Q1026" t="str">
        <f>""</f>
        <v/>
      </c>
      <c r="R1026" t="str">
        <f>"Г НИЖНЕВАРТОВСК"</f>
        <v>Г НИЖНЕВАРТОВСК</v>
      </c>
      <c r="S1026" t="str">
        <f>""</f>
        <v/>
      </c>
      <c r="T1026" t="str">
        <f>"УЛ ХАНТЫ-МАНСИЙСКАЯ"</f>
        <v>УЛ ХАНТЫ-МАНСИЙСКАЯ</v>
      </c>
      <c r="U1026" s="1" t="str">
        <f>"29"</f>
        <v>29</v>
      </c>
      <c r="V1026" s="1" t="str">
        <f>"Б"</f>
        <v>Б</v>
      </c>
      <c r="W1026" s="1" t="str">
        <f>""</f>
        <v/>
      </c>
      <c r="X1026" s="1" t="str">
        <f>""</f>
        <v/>
      </c>
      <c r="Y1026" s="1" t="str">
        <f>"70"</f>
        <v>70</v>
      </c>
      <c r="Z1026" t="str">
        <f>"9195301852"</f>
        <v>9195301852</v>
      </c>
      <c r="AA1026" t="str">
        <f>"89195301852"</f>
        <v>89195301852</v>
      </c>
      <c r="AB1026" t="str">
        <f>"9195301852"</f>
        <v>9195301852</v>
      </c>
      <c r="AC1026" t="str">
        <f>"9825528140"</f>
        <v>9825528140</v>
      </c>
      <c r="AD1026" t="str">
        <f>"9195301852"</f>
        <v>9195301852</v>
      </c>
      <c r="AE1026" t="str">
        <f>"9195301852"</f>
        <v>9195301852</v>
      </c>
    </row>
    <row r="1027" spans="1:31" x14ac:dyDescent="0.45">
      <c r="A1027" t="str">
        <f>"МАРТЫНОВСКАЯ СВЕТЛАНА ВАСИЛЬЕВНА"</f>
        <v>МАРТЫНОВСКАЯ СВЕТЛАНА ВАСИЛЬЕВНА</v>
      </c>
      <c r="B1027" t="str">
        <f>"1972-05-05"</f>
        <v>1972-05-05</v>
      </c>
      <c r="C1027" t="str">
        <f>"65 17 442500"</f>
        <v>65 17 442500</v>
      </c>
      <c r="D1027" t="str">
        <f>"4854630220727591"</f>
        <v>4854630220727591</v>
      </c>
      <c r="E1027" t="str">
        <f>"2021-04-30"</f>
        <v>2021-04-30</v>
      </c>
      <c r="F1027" t="str">
        <f>"+"</f>
        <v>+</v>
      </c>
      <c r="G1027" t="str">
        <f t="shared" si="164"/>
        <v>+</v>
      </c>
      <c r="H1027" t="str">
        <f>"40817810416991424718"</f>
        <v>40817810416991424718</v>
      </c>
      <c r="I1027" t="str">
        <f>"7003"</f>
        <v>7003</v>
      </c>
      <c r="J1027" t="str">
        <f>"0226"</f>
        <v>0226</v>
      </c>
      <c r="K1027" t="str">
        <f>"50000.00"</f>
        <v>50000.00</v>
      </c>
      <c r="L1027" t="str">
        <f>"620000 ОБЛ СВЕРДЛОВСКАЯ   Г ЕКАТЕРИНБУРГ   УЛ СТАРЫХ БОЛЬШЕВИКОВ д. 33"</f>
        <v>620000 ОБЛ СВЕРДЛОВСКАЯ   Г ЕКАТЕРИНБУРГ   УЛ СТАРЫХ БОЛЬШЕВИКОВ д. 33</v>
      </c>
      <c r="M1027" t="str">
        <f t="shared" si="165"/>
        <v>2019-08-24</v>
      </c>
      <c r="N1027" t="str">
        <f>"ПФР"</f>
        <v>ПФР</v>
      </c>
      <c r="O1027" t="str">
        <f>"620000"</f>
        <v>620000</v>
      </c>
      <c r="P1027" t="str">
        <f>"ОБЛ СВЕРДЛОВСКАЯ"</f>
        <v>ОБЛ СВЕРДЛОВСКАЯ</v>
      </c>
      <c r="Q1027" t="str">
        <f>""</f>
        <v/>
      </c>
      <c r="R1027" t="str">
        <f>"Г ЕКАТЕРИНБУРГ"</f>
        <v>Г ЕКАТЕРИНБУРГ</v>
      </c>
      <c r="S1027" t="str">
        <f>""</f>
        <v/>
      </c>
      <c r="T1027" t="str">
        <f>"УЛ СТАРЫХ БОЛЬШЕВИКОВ"</f>
        <v>УЛ СТАРЫХ БОЛЬШЕВИКОВ</v>
      </c>
      <c r="U1027" s="1" t="str">
        <f>"33"</f>
        <v>33</v>
      </c>
      <c r="V1027" s="1" t="str">
        <f>""</f>
        <v/>
      </c>
      <c r="W1027" s="1" t="str">
        <f>""</f>
        <v/>
      </c>
      <c r="X1027" s="1" t="str">
        <f>""</f>
        <v/>
      </c>
      <c r="Y1027" s="1" t="str">
        <f>"7"</f>
        <v>7</v>
      </c>
      <c r="Z1027" t="str">
        <f>"3433690272"</f>
        <v>3433690272</v>
      </c>
      <c r="AA1027" t="str">
        <f>"3433383149"</f>
        <v>3433383149</v>
      </c>
      <c r="AB1027" t="str">
        <f>"9122316613"</f>
        <v>9122316613</v>
      </c>
      <c r="AC1027" t="str">
        <f>"9090184812"</f>
        <v>9090184812</v>
      </c>
      <c r="AD1027" t="str">
        <f>"9122316613"</f>
        <v>9122316613</v>
      </c>
      <c r="AE1027" t="str">
        <f>""</f>
        <v/>
      </c>
    </row>
    <row r="1028" spans="1:31" x14ac:dyDescent="0.45">
      <c r="A1028" t="str">
        <f>"ГРАЩЕНКО ОЛЬГА НИКОЛАЕВНА"</f>
        <v>ГРАЩЕНКО ОЛЬГА НИКОЛАЕВНА</v>
      </c>
      <c r="B1028" t="str">
        <f>"1961-08-11"</f>
        <v>1961-08-11</v>
      </c>
      <c r="C1028" t="str">
        <f>"71 06 432517"</f>
        <v>71 06 432517</v>
      </c>
      <c r="D1028" t="str">
        <f>"4854630418090810"</f>
        <v>4854630418090810</v>
      </c>
      <c r="E1028" t="str">
        <f>"2021-04-30"</f>
        <v>2021-04-30</v>
      </c>
      <c r="F1028" t="str">
        <f>"M"</f>
        <v>M</v>
      </c>
      <c r="G1028" t="str">
        <f t="shared" si="164"/>
        <v>+</v>
      </c>
      <c r="H1028" t="str">
        <f>"40817810516992201775"</f>
        <v>40817810516992201775</v>
      </c>
      <c r="I1028" t="str">
        <f>"8647"</f>
        <v>8647</v>
      </c>
      <c r="J1028" t="str">
        <f>"0176"</f>
        <v>0176</v>
      </c>
      <c r="K1028" t="str">
        <f>"165000.00"</f>
        <v>165000.00</v>
      </c>
      <c r="L1028" t="str">
        <f>"625000 ОБЛ ТЮМЕНСКАЯ   Г ТЮМЕНЬ   УЛ ЧЕРВИШЕВСКИЙ ТРАКТ д. 31 кв. 245"</f>
        <v>625000 ОБЛ ТЮМЕНСКАЯ   Г ТЮМЕНЬ   УЛ ЧЕРВИШЕВСКИЙ ТРАКТ д. 31 кв. 245</v>
      </c>
      <c r="M1028" t="str">
        <f t="shared" si="165"/>
        <v>2019-08-24</v>
      </c>
      <c r="N1028" t="str">
        <f>"ПЕНСИОННЫЙ ФОНД РФ"</f>
        <v>ПЕНСИОННЫЙ ФОНД РФ</v>
      </c>
      <c r="O1028" t="str">
        <f>"625000"</f>
        <v>625000</v>
      </c>
      <c r="P1028" t="str">
        <f>"ОБЛ ТЮМЕНСКАЯ"</f>
        <v>ОБЛ ТЮМЕНСКАЯ</v>
      </c>
      <c r="Q1028" t="str">
        <f>""</f>
        <v/>
      </c>
      <c r="R1028" t="str">
        <f>"Г ТЮМЕНЬ"</f>
        <v>Г ТЮМЕНЬ</v>
      </c>
      <c r="S1028" t="str">
        <f>""</f>
        <v/>
      </c>
      <c r="T1028" t="str">
        <f>"УЛ ЧЕРВИШЕВСКИЙ ТРАКТ"</f>
        <v>УЛ ЧЕРВИШЕВСКИЙ ТРАКТ</v>
      </c>
      <c r="U1028" s="1" t="str">
        <f>"31"</f>
        <v>31</v>
      </c>
      <c r="V1028" s="1" t="str">
        <f>""</f>
        <v/>
      </c>
      <c r="W1028" s="1" t="str">
        <f>""</f>
        <v/>
      </c>
      <c r="X1028" s="1" t="str">
        <f>""</f>
        <v/>
      </c>
      <c r="Y1028" s="1" t="str">
        <f>"245"</f>
        <v>245</v>
      </c>
      <c r="Z1028" t="str">
        <f>"3452795258"</f>
        <v>3452795258</v>
      </c>
      <c r="AA1028" t="str">
        <f>"9504861279"</f>
        <v>9504861279</v>
      </c>
      <c r="AB1028" t="str">
        <f>"9504861279"</f>
        <v>9504861279</v>
      </c>
      <c r="AC1028" t="str">
        <f>"3452779135"</f>
        <v>3452779135</v>
      </c>
      <c r="AD1028" t="str">
        <f>"9504861279"</f>
        <v>9504861279</v>
      </c>
      <c r="AE1028" t="str">
        <f>""</f>
        <v/>
      </c>
    </row>
    <row r="1029" spans="1:31" x14ac:dyDescent="0.45">
      <c r="A1029" t="str">
        <f>"СМЕТАНИН АЛЕКСАНДР ПАВЛОВИЧ"</f>
        <v>СМЕТАНИН АЛЕКСАНДР ПАВЛОВИЧ</v>
      </c>
      <c r="B1029" t="str">
        <f>"1973-06-15"</f>
        <v>1973-06-15</v>
      </c>
      <c r="C1029" t="str">
        <f>"75 18 158221"</f>
        <v>75 18 158221</v>
      </c>
      <c r="D1029" t="str">
        <f>"4279011612063241"</f>
        <v>4279011612063241</v>
      </c>
      <c r="E1029" t="str">
        <f>"2021-05-31"</f>
        <v>2021-05-31</v>
      </c>
      <c r="F1029" t="str">
        <f>"+"</f>
        <v>+</v>
      </c>
      <c r="G1029" t="str">
        <f t="shared" si="164"/>
        <v>+</v>
      </c>
      <c r="H1029" t="str">
        <f>"40817810116991425185"</f>
        <v>40817810116991425185</v>
      </c>
      <c r="I1029" t="str">
        <f>"8597"</f>
        <v>8597</v>
      </c>
      <c r="J1029" t="str">
        <f>"0431"</f>
        <v>0431</v>
      </c>
      <c r="K1029" t="str">
        <f>"135000.00"</f>
        <v>135000.00</v>
      </c>
      <c r="L1029" t="str">
        <f>"454000 ОБЛ ЧЕЛЯБИНСКАЯ   Г НЯЗЕПЕТРОВСК   УЛ ЗОТОВА д. 4"</f>
        <v>454000 ОБЛ ЧЕЛЯБИНСКАЯ   Г НЯЗЕПЕТРОВСК   УЛ ЗОТОВА д. 4</v>
      </c>
      <c r="M1029" t="str">
        <f t="shared" si="165"/>
        <v>2019-08-24</v>
      </c>
      <c r="N1029" t="str">
        <f>"ИП"</f>
        <v>ИП</v>
      </c>
      <c r="O1029" t="str">
        <f>"454000"</f>
        <v>454000</v>
      </c>
      <c r="P1029" t="str">
        <f>"ОБЛ ЧЕЛЯБИНСКАЯ"</f>
        <v>ОБЛ ЧЕЛЯБИНСКАЯ</v>
      </c>
      <c r="Q1029" t="str">
        <f>""</f>
        <v/>
      </c>
      <c r="R1029" t="str">
        <f>"Г НЯЗЕПЕТРОВСК"</f>
        <v>Г НЯЗЕПЕТРОВСК</v>
      </c>
      <c r="S1029" t="str">
        <f>""</f>
        <v/>
      </c>
      <c r="T1029" t="str">
        <f>"УЛ ЗОТОВА"</f>
        <v>УЛ ЗОТОВА</v>
      </c>
      <c r="U1029" s="1" t="str">
        <f>"4"</f>
        <v>4</v>
      </c>
      <c r="V1029" s="1" t="str">
        <f>""</f>
        <v/>
      </c>
      <c r="W1029" s="1" t="str">
        <f>""</f>
        <v/>
      </c>
      <c r="X1029" s="1" t="str">
        <f>""</f>
        <v/>
      </c>
      <c r="Y1029" s="1" t="str">
        <f>""</f>
        <v/>
      </c>
      <c r="Z1029" t="str">
        <f>""</f>
        <v/>
      </c>
      <c r="AA1029" t="str">
        <f>"9026054683"</f>
        <v>9026054683</v>
      </c>
      <c r="AB1029" t="str">
        <f>"9026054683"</f>
        <v>9026054683</v>
      </c>
      <c r="AC1029" t="str">
        <f>"9026054683"</f>
        <v>9026054683</v>
      </c>
      <c r="AD1029" t="str">
        <f>"9631554248"</f>
        <v>9631554248</v>
      </c>
      <c r="AE1029" t="str">
        <f>""</f>
        <v/>
      </c>
    </row>
    <row r="1030" spans="1:31" x14ac:dyDescent="0.45">
      <c r="A1030" t="str">
        <f>"АНЧУГИНА АННА ЮРЬЕВНА"</f>
        <v>АНЧУГИНА АННА ЮРЬЕВНА</v>
      </c>
      <c r="B1030" t="str">
        <f>"1993-01-27"</f>
        <v>1993-01-27</v>
      </c>
      <c r="C1030" t="str">
        <f>"75 12 162821"</f>
        <v>75 12 162821</v>
      </c>
      <c r="D1030" t="str">
        <f>"4279011644692074"</f>
        <v>4279011644692074</v>
      </c>
      <c r="E1030" t="str">
        <f>"2021-05-31"</f>
        <v>2021-05-31</v>
      </c>
      <c r="F1030" t="str">
        <f>"K"</f>
        <v>K</v>
      </c>
      <c r="G1030" t="str">
        <f t="shared" si="164"/>
        <v>+</v>
      </c>
      <c r="H1030" t="str">
        <f>"40817810416991425186"</f>
        <v>40817810416991425186</v>
      </c>
      <c r="I1030" t="str">
        <f>"8597"</f>
        <v>8597</v>
      </c>
      <c r="J1030" t="str">
        <f>"7770"</f>
        <v>7770</v>
      </c>
      <c r="K1030" t="str">
        <f>"74000.00"</f>
        <v>74000.00</v>
      </c>
      <c r="L1030" t="str">
        <f>"454000 ОБЛ ЧЕЛЯБИНСКАЯ   Г ЧЕЛЯБИНСК   УЛ КУЙБЫШЕВА д. 63"</f>
        <v>454000 ОБЛ ЧЕЛЯБИНСКАЯ   Г ЧЕЛЯБИНСК   УЛ КУЙБЫШЕВА д. 63</v>
      </c>
      <c r="M1030" t="str">
        <f t="shared" si="165"/>
        <v>2019-08-24</v>
      </c>
      <c r="N1030" t="str">
        <f>"72216083 МАДОУ ДЕТСКИЙ САД №344"</f>
        <v>72216083 МАДОУ ДЕТСКИЙ САД №344</v>
      </c>
      <c r="O1030" t="str">
        <f>"454000"</f>
        <v>454000</v>
      </c>
      <c r="P1030" t="str">
        <f>"ОБЛ ЧЕЛЯБИНСКАЯ"</f>
        <v>ОБЛ ЧЕЛЯБИНСКАЯ</v>
      </c>
      <c r="Q1030" t="str">
        <f>""</f>
        <v/>
      </c>
      <c r="R1030" t="str">
        <f>"Г ЧЕЛЯБИНСК"</f>
        <v>Г ЧЕЛЯБИНСК</v>
      </c>
      <c r="S1030" t="str">
        <f>""</f>
        <v/>
      </c>
      <c r="T1030" t="str">
        <f>"УЛ ПР.КРАСНОПОЛЬСКИЙ"</f>
        <v>УЛ ПР.КРАСНОПОЛЬСКИЙ</v>
      </c>
      <c r="U1030" s="1" t="str">
        <f>"48А"</f>
        <v>48А</v>
      </c>
      <c r="V1030" s="1" t="str">
        <f>""</f>
        <v/>
      </c>
      <c r="W1030" s="1" t="str">
        <f>""</f>
        <v/>
      </c>
      <c r="X1030" s="1" t="str">
        <f>""</f>
        <v/>
      </c>
      <c r="Y1030" s="1" t="str">
        <f>"57"</f>
        <v>57</v>
      </c>
      <c r="Z1030" t="str">
        <f>"3517403732"</f>
        <v>3517403732</v>
      </c>
      <c r="AA1030" t="str">
        <f>"0000000000"</f>
        <v>0000000000</v>
      </c>
      <c r="AB1030" t="str">
        <f>"9507356550"</f>
        <v>9507356550</v>
      </c>
      <c r="AC1030" t="str">
        <f>"0000000000"</f>
        <v>0000000000</v>
      </c>
      <c r="AD1030" t="str">
        <f>"9507356550"</f>
        <v>9507356550</v>
      </c>
      <c r="AE1030" t="str">
        <f>"3517403732"</f>
        <v>3517403732</v>
      </c>
    </row>
    <row r="1031" spans="1:31" x14ac:dyDescent="0.45">
      <c r="A1031" t="str">
        <f>"ГУСЕВ АЛЕКСАНДР СЕРГЕЕВИЧ"</f>
        <v>ГУСЕВ АЛЕКСАНДР СЕРГЕЕВИЧ</v>
      </c>
      <c r="B1031" t="str">
        <f>"1973-08-26"</f>
        <v>1973-08-26</v>
      </c>
      <c r="C1031" t="str">
        <f>"65 18 718515"</f>
        <v>65 18 718515</v>
      </c>
      <c r="D1031" t="str">
        <f>"4276011635745538"</f>
        <v>4276011635745538</v>
      </c>
      <c r="E1031" t="str">
        <f>"2021-05-31"</f>
        <v>2021-05-31</v>
      </c>
      <c r="F1031" t="str">
        <f>"+"</f>
        <v>+</v>
      </c>
      <c r="G1031" t="str">
        <f t="shared" si="164"/>
        <v>+</v>
      </c>
      <c r="H1031" t="str">
        <f>"40817810916991425233"</f>
        <v>40817810916991425233</v>
      </c>
      <c r="I1031" t="str">
        <f>"7003"</f>
        <v>7003</v>
      </c>
      <c r="J1031" t="str">
        <f>"0393"</f>
        <v>0393</v>
      </c>
      <c r="K1031" t="str">
        <f>"80000.00"</f>
        <v>80000.00</v>
      </c>
      <c r="L1031" t="str">
        <f>"620141 ОБЛ СВЕРДЛОВСКАЯ   Г ЕКАТЕРИНБУРГ   ПРОЕЗД ТЕПЛОХОДНЫЙ д. 5 кв. 62"</f>
        <v>620141 ОБЛ СВЕРДЛОВСКАЯ   Г ЕКАТЕРИНБУРГ   ПРОЕЗД ТЕПЛОХОДНЫЙ д. 5 кв. 62</v>
      </c>
      <c r="M1031" t="str">
        <f t="shared" si="165"/>
        <v>2019-08-24</v>
      </c>
      <c r="N1031" t="str">
        <f>"ИП ГУСЕВ АЛЕКСАНДР СЕРГЕЕВИЧ"</f>
        <v>ИП ГУСЕВ АЛЕКСАНДР СЕРГЕЕВИЧ</v>
      </c>
      <c r="O1031" t="str">
        <f>"620141"</f>
        <v>620141</v>
      </c>
      <c r="P1031" t="str">
        <f>"ОБЛ СВЕРДЛОВСКАЯ"</f>
        <v>ОБЛ СВЕРДЛОВСКАЯ</v>
      </c>
      <c r="Q1031" t="str">
        <f>""</f>
        <v/>
      </c>
      <c r="R1031" t="str">
        <f>"Г ЕКАТЕРИНБУРГ"</f>
        <v>Г ЕКАТЕРИНБУРГ</v>
      </c>
      <c r="S1031" t="str">
        <f>""</f>
        <v/>
      </c>
      <c r="T1031" t="str">
        <f>"ПРОЕЗД ТЕПЛОХОДНЫЙ"</f>
        <v>ПРОЕЗД ТЕПЛОХОДНЫЙ</v>
      </c>
      <c r="U1031" s="1" t="str">
        <f>"5"</f>
        <v>5</v>
      </c>
      <c r="V1031" s="1" t="str">
        <f>""</f>
        <v/>
      </c>
      <c r="W1031" s="1" t="str">
        <f>""</f>
        <v/>
      </c>
      <c r="X1031" s="1" t="str">
        <f>""</f>
        <v/>
      </c>
      <c r="Y1031" s="1" t="str">
        <f>"62"</f>
        <v>62</v>
      </c>
      <c r="Z1031" t="str">
        <f>""</f>
        <v/>
      </c>
      <c r="AA1031" t="str">
        <f>"3433816587"</f>
        <v>3433816587</v>
      </c>
      <c r="AB1031" t="str">
        <f>"9028777669"</f>
        <v>9028777669</v>
      </c>
      <c r="AC1031" t="str">
        <f>""</f>
        <v/>
      </c>
      <c r="AD1031" t="str">
        <f>"9028777669"</f>
        <v>9028777669</v>
      </c>
      <c r="AE1031" t="str">
        <f>""</f>
        <v/>
      </c>
    </row>
    <row r="1032" spans="1:31" x14ac:dyDescent="0.45">
      <c r="A1032" t="str">
        <f>"ШАЧНЕВА НИНА ВЛАДИМИРОВНА"</f>
        <v>ШАЧНЕВА НИНА ВЛАДИМИРОВНА</v>
      </c>
      <c r="B1032" t="str">
        <f>"1958-05-21"</f>
        <v>1958-05-21</v>
      </c>
      <c r="C1032" t="str">
        <f>"65 04 536980"</f>
        <v>65 04 536980</v>
      </c>
      <c r="D1032" t="str">
        <f>"4854630400393321"</f>
        <v>4854630400393321</v>
      </c>
      <c r="E1032" t="str">
        <f t="shared" ref="E1032:E1037" si="166">"2021-04-30"</f>
        <v>2021-04-30</v>
      </c>
      <c r="F1032" t="str">
        <f>"Q"</f>
        <v>Q</v>
      </c>
      <c r="G1032" t="str">
        <f>"Q"</f>
        <v>Q</v>
      </c>
      <c r="H1032" t="str">
        <f>"40817810016991428253"</f>
        <v>40817810016991428253</v>
      </c>
      <c r="I1032" t="str">
        <f>"7003"</f>
        <v>7003</v>
      </c>
      <c r="J1032" t="str">
        <f>"0405"</f>
        <v>0405</v>
      </c>
      <c r="K1032" t="str">
        <f>"0.00"</f>
        <v>0.00</v>
      </c>
      <c r="L1032" t="str">
        <f>"620000 ОБЛ СВЕРДЛОВСКАЯ   Г ЕКАЕТРИНБУРГ   УЛ ТИТОВА д. 1"</f>
        <v>620000 ОБЛ СВЕРДЛОВСКАЯ   Г ЕКАЕТРИНБУРГ   УЛ ТИТОВА д. 1</v>
      </c>
      <c r="M1032" t="str">
        <f t="shared" si="165"/>
        <v>2019-08-24</v>
      </c>
      <c r="N1032" t="str">
        <f>"ПЕНСИОНЕР"</f>
        <v>ПЕНСИОНЕР</v>
      </c>
      <c r="O1032" t="str">
        <f>"620000"</f>
        <v>620000</v>
      </c>
      <c r="P1032" t="str">
        <f>"ОБЛ СВЕРДЛОВСКАЯ"</f>
        <v>ОБЛ СВЕРДЛОВСКАЯ</v>
      </c>
      <c r="Q1032" t="str">
        <f>""</f>
        <v/>
      </c>
      <c r="R1032" t="str">
        <f>"Г ЕКАТЕРИНБУРГ"</f>
        <v>Г ЕКАТЕРИНБУРГ</v>
      </c>
      <c r="S1032" t="str">
        <f>""</f>
        <v/>
      </c>
      <c r="T1032" t="str">
        <f>"УЛ АГРОНОМИЧЕСКАЯ"</f>
        <v>УЛ АГРОНОМИЧЕСКАЯ</v>
      </c>
      <c r="U1032" s="1" t="str">
        <f>"38"</f>
        <v>38</v>
      </c>
      <c r="V1032" s="1" t="str">
        <f>""</f>
        <v/>
      </c>
      <c r="W1032" s="1" t="str">
        <f>""</f>
        <v/>
      </c>
      <c r="X1032" s="1" t="str">
        <f>""</f>
        <v/>
      </c>
      <c r="Y1032" s="1" t="str">
        <f>"4"</f>
        <v>4</v>
      </c>
      <c r="Z1032" t="str">
        <f>""</f>
        <v/>
      </c>
      <c r="AA1032" t="str">
        <f>"9049881027"</f>
        <v>9049881027</v>
      </c>
      <c r="AB1032" t="str">
        <f>"9049881027"</f>
        <v>9049881027</v>
      </c>
      <c r="AC1032" t="str">
        <f>"9049881027"</f>
        <v>9049881027</v>
      </c>
      <c r="AD1032" t="str">
        <f>"9049881027"</f>
        <v>9049881027</v>
      </c>
      <c r="AE1032" t="str">
        <f>""</f>
        <v/>
      </c>
    </row>
    <row r="1033" spans="1:31" x14ac:dyDescent="0.45">
      <c r="A1033" t="str">
        <f>"ШПАЙХЕР ЯКОВ ВЯЧЕСЛАВОВИЧ"</f>
        <v>ШПАЙХЕР ЯКОВ ВЯЧЕСЛАВОВИЧ</v>
      </c>
      <c r="B1033" t="str">
        <f>"1984-06-27"</f>
        <v>1984-06-27</v>
      </c>
      <c r="C1033" t="str">
        <f>"80 05 983457"</f>
        <v>80 05 983457</v>
      </c>
      <c r="D1033" t="str">
        <f>"4854630383523092"</f>
        <v>4854630383523092</v>
      </c>
      <c r="E1033" t="str">
        <f t="shared" si="166"/>
        <v>2021-04-30</v>
      </c>
      <c r="F1033" t="str">
        <f t="shared" ref="F1033:G1044" si="167">"+"</f>
        <v>+</v>
      </c>
      <c r="G1033" t="str">
        <f t="shared" si="167"/>
        <v>+</v>
      </c>
      <c r="H1033" t="str">
        <f>"40817810916991428272"</f>
        <v>40817810916991428272</v>
      </c>
      <c r="I1033" t="str">
        <f>"8598"</f>
        <v>8598</v>
      </c>
      <c r="J1033" t="str">
        <f>"0059"</f>
        <v>0059</v>
      </c>
      <c r="K1033" t="str">
        <f>"40000.00"</f>
        <v>40000.00</v>
      </c>
      <c r="L1033" t="str">
        <f>"450000 РЕСП БАШКОРТОСТАН   Г УФА   УЛ ГВАРДЕЙСКАЯ д. 41"</f>
        <v>450000 РЕСП БАШКОРТОСТАН   Г УФА   УЛ ГВАРДЕЙСКАЯ д. 41</v>
      </c>
      <c r="M1033" t="str">
        <f t="shared" si="165"/>
        <v>2019-08-24</v>
      </c>
      <c r="N1033" t="str">
        <f>"КАФЕ ОГОНЕК"</f>
        <v>КАФЕ ОГОНЕК</v>
      </c>
      <c r="O1033" t="str">
        <f>"450000"</f>
        <v>450000</v>
      </c>
      <c r="P1033" t="str">
        <f>"РЕСП БАШКОРТОСТАН"</f>
        <v>РЕСП БАШКОРТОСТАН</v>
      </c>
      <c r="Q1033" t="str">
        <f>""</f>
        <v/>
      </c>
      <c r="R1033" t="str">
        <f>"Г УФА"</f>
        <v>Г УФА</v>
      </c>
      <c r="S1033" t="str">
        <f>""</f>
        <v/>
      </c>
      <c r="T1033" t="str">
        <f>"УЛ ПРИОЗЕРНАЯ"</f>
        <v>УЛ ПРИОЗЕРНАЯ</v>
      </c>
      <c r="U1033" s="1" t="str">
        <f>"42"</f>
        <v>42</v>
      </c>
      <c r="V1033" s="1" t="str">
        <f>""</f>
        <v/>
      </c>
      <c r="W1033" s="1" t="str">
        <f>"А"</f>
        <v>А</v>
      </c>
      <c r="X1033" s="1" t="str">
        <f>""</f>
        <v/>
      </c>
      <c r="Y1033" s="1" t="str">
        <f>""</f>
        <v/>
      </c>
      <c r="Z1033" t="str">
        <f>""</f>
        <v/>
      </c>
      <c r="AA1033" t="str">
        <f>"9373050371"</f>
        <v>9373050371</v>
      </c>
      <c r="AB1033" t="str">
        <f>"9378314237"</f>
        <v>9378314237</v>
      </c>
      <c r="AC1033" t="str">
        <f>"9373050371"</f>
        <v>9373050371</v>
      </c>
      <c r="AD1033" t="str">
        <f>"9378314237"</f>
        <v>9378314237</v>
      </c>
      <c r="AE1033" t="str">
        <f>""</f>
        <v/>
      </c>
    </row>
    <row r="1034" spans="1:31" x14ac:dyDescent="0.45">
      <c r="A1034" t="str">
        <f>"КРИВОШЕЕВА ОКСАНА ВЛАДИМИРОВНА"</f>
        <v>КРИВОШЕЕВА ОКСАНА ВЛАДИМИРОВНА</v>
      </c>
      <c r="B1034" t="str">
        <f>"1974-11-29"</f>
        <v>1974-11-29</v>
      </c>
      <c r="C1034" t="str">
        <f>"75 00 548752"</f>
        <v>75 00 548752</v>
      </c>
      <c r="D1034" t="str">
        <f>"4854630221911731"</f>
        <v>4854630221911731</v>
      </c>
      <c r="E1034" t="str">
        <f t="shared" si="166"/>
        <v>2021-04-30</v>
      </c>
      <c r="F1034" t="str">
        <f t="shared" si="167"/>
        <v>+</v>
      </c>
      <c r="G1034" t="str">
        <f t="shared" si="167"/>
        <v>+</v>
      </c>
      <c r="H1034" t="str">
        <f>"40817810216991428273"</f>
        <v>40817810216991428273</v>
      </c>
      <c r="I1034" t="str">
        <f>"8597"</f>
        <v>8597</v>
      </c>
      <c r="J1034" t="str">
        <f>"0527"</f>
        <v>0527</v>
      </c>
      <c r="K1034" t="str">
        <f>"340000.00"</f>
        <v>340000.00</v>
      </c>
      <c r="L1034" t="str">
        <f>"454000 ОБЛ ЧЕЛЯБИНСКАЯ   Г МИАСС   Ш ТУРГОЯКСКОЕ д. 1"</f>
        <v>454000 ОБЛ ЧЕЛЯБИНСКАЯ   Г МИАСС   Ш ТУРГОЯКСКОЕ д. 1</v>
      </c>
      <c r="M1034" t="str">
        <f t="shared" si="165"/>
        <v>2019-08-24</v>
      </c>
      <c r="N1034" t="str">
        <f>"АО ГРЦ МАКЕЕВА"</f>
        <v>АО ГРЦ МАКЕЕВА</v>
      </c>
      <c r="O1034" t="str">
        <f>"454000"</f>
        <v>454000</v>
      </c>
      <c r="P1034" t="str">
        <f>"ОБЛ ЧЕЛЯБИНСКАЯ"</f>
        <v>ОБЛ ЧЕЛЯБИНСКАЯ</v>
      </c>
      <c r="Q1034" t="str">
        <f>""</f>
        <v/>
      </c>
      <c r="R1034" t="str">
        <f>"Г МИАСС"</f>
        <v>Г МИАСС</v>
      </c>
      <c r="S1034" t="str">
        <f>""</f>
        <v/>
      </c>
      <c r="T1034" t="str">
        <f>"ПР-КТ ОКТЯБРЯ"</f>
        <v>ПР-КТ ОКТЯБРЯ</v>
      </c>
      <c r="U1034" s="1" t="str">
        <f>"48"</f>
        <v>48</v>
      </c>
      <c r="V1034" s="1" t="str">
        <f>""</f>
        <v/>
      </c>
      <c r="W1034" s="1" t="str">
        <f>""</f>
        <v/>
      </c>
      <c r="X1034" s="1" t="str">
        <f>""</f>
        <v/>
      </c>
      <c r="Y1034" s="1" t="str">
        <f>"47"</f>
        <v>47</v>
      </c>
      <c r="Z1034" t="str">
        <f>"9123209244"</f>
        <v>9123209244</v>
      </c>
      <c r="AA1034" t="str">
        <f>"9123209244"</f>
        <v>9123209244</v>
      </c>
      <c r="AB1034" t="str">
        <f>"9123209244"</f>
        <v>9123209244</v>
      </c>
      <c r="AC1034" t="str">
        <f>"9123209244"</f>
        <v>9123209244</v>
      </c>
      <c r="AD1034" t="str">
        <f>"9123209244"</f>
        <v>9123209244</v>
      </c>
      <c r="AE1034" t="str">
        <f>"9123209244"</f>
        <v>9123209244</v>
      </c>
    </row>
    <row r="1035" spans="1:31" x14ac:dyDescent="0.45">
      <c r="A1035" t="str">
        <f>"МОШКИН НИКОЛАЙ ВАЛЕНТИНОВИЧ"</f>
        <v>МОШКИН НИКОЛАЙ ВАЛЕНТИНОВИЧ</v>
      </c>
      <c r="B1035" t="str">
        <f>"1956-11-10"</f>
        <v>1956-11-10</v>
      </c>
      <c r="C1035" t="str">
        <f>"65 03 439909"</f>
        <v>65 03 439909</v>
      </c>
      <c r="D1035" t="str">
        <f>"4854630409374165"</f>
        <v>4854630409374165</v>
      </c>
      <c r="E1035" t="str">
        <f t="shared" si="166"/>
        <v>2021-04-30</v>
      </c>
      <c r="F1035" t="str">
        <f t="shared" si="167"/>
        <v>+</v>
      </c>
      <c r="G1035" t="str">
        <f t="shared" si="167"/>
        <v>+</v>
      </c>
      <c r="H1035" t="str">
        <f>"40817810516991428274"</f>
        <v>40817810516991428274</v>
      </c>
      <c r="I1035" t="str">
        <f>"7003"</f>
        <v>7003</v>
      </c>
      <c r="J1035" t="str">
        <f>"0506"</f>
        <v>0506</v>
      </c>
      <c r="K1035" t="str">
        <f>"20000.00"</f>
        <v>20000.00</v>
      </c>
      <c r="L1035" t="str">
        <f>"620000 ОБЛ СВЕРДЛОВСКАЯ   Г АЛАПАЕВСК   УЛ ЛЕСНИКОВ д. 7"</f>
        <v>620000 ОБЛ СВЕРДЛОВСКАЯ   Г АЛАПАЕВСК   УЛ ЛЕСНИКОВ д. 7</v>
      </c>
      <c r="M1035" t="str">
        <f t="shared" si="165"/>
        <v>2019-08-24</v>
      </c>
      <c r="N1035" t="str">
        <f>"АЛАПАЕВСКИЙ УПФР"</f>
        <v>АЛАПАЕВСКИЙ УПФР</v>
      </c>
      <c r="O1035" t="str">
        <f>"620000"</f>
        <v>620000</v>
      </c>
      <c r="P1035" t="str">
        <f>"ОБЛ СВЕРДЛОВСКАЯ"</f>
        <v>ОБЛ СВЕРДЛОВСКАЯ</v>
      </c>
      <c r="Q1035" t="str">
        <f>""</f>
        <v/>
      </c>
      <c r="R1035" t="str">
        <f>"Г АЛАПАЕВСК"</f>
        <v>Г АЛАПАЕВСК</v>
      </c>
      <c r="S1035" t="str">
        <f>""</f>
        <v/>
      </c>
      <c r="T1035" t="str">
        <f>"УЛ 19П/СЪЕЗДА"</f>
        <v>УЛ 19П/СЪЕЗДА</v>
      </c>
      <c r="U1035" s="1" t="str">
        <f>"14"</f>
        <v>14</v>
      </c>
      <c r="V1035" s="1" t="str">
        <f>""</f>
        <v/>
      </c>
      <c r="W1035" s="1" t="str">
        <f>""</f>
        <v/>
      </c>
      <c r="X1035" s="1" t="str">
        <f>""</f>
        <v/>
      </c>
      <c r="Y1035" s="1" t="str">
        <f>"44"</f>
        <v>44</v>
      </c>
      <c r="Z1035" t="str">
        <f>""</f>
        <v/>
      </c>
      <c r="AA1035" t="str">
        <f>"+7 (34346) 27755"</f>
        <v>+7 (34346) 27755</v>
      </c>
      <c r="AB1035" t="str">
        <f>"9122248917"</f>
        <v>9122248917</v>
      </c>
      <c r="AC1035" t="str">
        <f>"9122316790"</f>
        <v>9122316790</v>
      </c>
      <c r="AD1035" t="str">
        <f>"9122248917"</f>
        <v>9122248917</v>
      </c>
      <c r="AE1035" t="str">
        <f>""</f>
        <v/>
      </c>
    </row>
    <row r="1036" spans="1:31" x14ac:dyDescent="0.45">
      <c r="A1036" t="str">
        <f>"КОЧЕТОВА НАДЕЖДА ИЛЬИНИЧНА"</f>
        <v>КОЧЕТОВА НАДЕЖДА ИЛЬИНИЧНА</v>
      </c>
      <c r="B1036" t="str">
        <f>"1959-12-09"</f>
        <v>1959-12-09</v>
      </c>
      <c r="C1036" t="str">
        <f>"75 04 395145"</f>
        <v>75 04 395145</v>
      </c>
      <c r="D1036" t="str">
        <f>"4854630222399738"</f>
        <v>4854630222399738</v>
      </c>
      <c r="E1036" t="str">
        <f t="shared" si="166"/>
        <v>2021-04-30</v>
      </c>
      <c r="F1036" t="str">
        <f t="shared" si="167"/>
        <v>+</v>
      </c>
      <c r="G1036" t="str">
        <f>"W"</f>
        <v>W</v>
      </c>
      <c r="H1036" t="str">
        <f>"40817810816991428291"</f>
        <v>40817810816991428291</v>
      </c>
      <c r="I1036" t="str">
        <f>"8597"</f>
        <v>8597</v>
      </c>
      <c r="J1036" t="str">
        <f>"0533"</f>
        <v>0533</v>
      </c>
      <c r="K1036" t="str">
        <f>"14000.00"</f>
        <v>14000.00</v>
      </c>
      <c r="L1036" t="str">
        <f>"454000 ОБЛ ЧЕЛЯБИНСКАЯ   Г МИАСС   ПР-КТ АВТОЗАВОДЦЕВ д. 17А"</f>
        <v>454000 ОБЛ ЧЕЛЯБИНСКАЯ   Г МИАСС   ПР-КТ АВТОЗАВОДЦЕВ д. 17А</v>
      </c>
      <c r="M1036" t="str">
        <f t="shared" si="165"/>
        <v>2019-08-24</v>
      </c>
      <c r="N1036" t="str">
        <f>"ОПФР"</f>
        <v>ОПФР</v>
      </c>
      <c r="O1036" t="str">
        <f>"454000"</f>
        <v>454000</v>
      </c>
      <c r="P1036" t="str">
        <f>"ОБЛ ЧЕЛЯБИНСКАЯ"</f>
        <v>ОБЛ ЧЕЛЯБИНСКАЯ</v>
      </c>
      <c r="Q1036" t="str">
        <f>""</f>
        <v/>
      </c>
      <c r="R1036" t="str">
        <f>"Г МИАСС"</f>
        <v>Г МИАСС</v>
      </c>
      <c r="S1036" t="str">
        <f>""</f>
        <v/>
      </c>
      <c r="T1036" t="str">
        <f>"УЛ МАГИСТРАЛЬНАЯ"</f>
        <v>УЛ МАГИСТРАЛЬНАЯ</v>
      </c>
      <c r="U1036" s="1" t="str">
        <f>"11"</f>
        <v>11</v>
      </c>
      <c r="V1036" s="1" t="str">
        <f>""</f>
        <v/>
      </c>
      <c r="W1036" s="1" t="str">
        <f>""</f>
        <v/>
      </c>
      <c r="X1036" s="1" t="str">
        <f>""</f>
        <v/>
      </c>
      <c r="Y1036" s="1" t="str">
        <f>"5"</f>
        <v>5</v>
      </c>
      <c r="Z1036" t="str">
        <f>""</f>
        <v/>
      </c>
      <c r="AA1036" t="str">
        <f>"9514869918"</f>
        <v>9514869918</v>
      </c>
      <c r="AB1036" t="str">
        <f>"9514869918"</f>
        <v>9514869918</v>
      </c>
      <c r="AC1036" t="str">
        <f>"9514869918"</f>
        <v>9514869918</v>
      </c>
      <c r="AD1036" t="str">
        <f>"9514869918"</f>
        <v>9514869918</v>
      </c>
      <c r="AE1036" t="str">
        <f>""</f>
        <v/>
      </c>
    </row>
    <row r="1037" spans="1:31" x14ac:dyDescent="0.45">
      <c r="A1037" t="str">
        <f>"ХАКОВА АЛЬФИЯ НАБИУЛЛОВНА"</f>
        <v>ХАКОВА АЛЬФИЯ НАБИУЛЛОВНА</v>
      </c>
      <c r="B1037" t="str">
        <f>"1962-11-13"</f>
        <v>1962-11-13</v>
      </c>
      <c r="C1037" t="str">
        <f>"80 07 370649"</f>
        <v>80 07 370649</v>
      </c>
      <c r="D1037" t="str">
        <f>"4854630381661159"</f>
        <v>4854630381661159</v>
      </c>
      <c r="E1037" t="str">
        <f t="shared" si="166"/>
        <v>2021-04-30</v>
      </c>
      <c r="F1037" t="str">
        <f t="shared" si="167"/>
        <v>+</v>
      </c>
      <c r="G1037" t="str">
        <f t="shared" si="167"/>
        <v>+</v>
      </c>
      <c r="H1037" t="str">
        <f>"40817810816991428314"</f>
        <v>40817810816991428314</v>
      </c>
      <c r="I1037" t="str">
        <f>"8598"</f>
        <v>8598</v>
      </c>
      <c r="J1037" t="str">
        <f>"0169"</f>
        <v>0169</v>
      </c>
      <c r="K1037" t="str">
        <f>"13000.00"</f>
        <v>13000.00</v>
      </c>
      <c r="L1037" t="str">
        <f>"450000 РЕСП БАШКОРТОСТАН   Г УФА   УЛ ОРДЖОНИКИДЗЕ д. 19 кв. 70"</f>
        <v>450000 РЕСП БАШКОРТОСТАН   Г УФА   УЛ ОРДЖОНИКИДЗЕ д. 19 кв. 70</v>
      </c>
      <c r="M1037" t="str">
        <f t="shared" si="165"/>
        <v>2019-08-24</v>
      </c>
      <c r="N1037" t="str">
        <f>"ПЕНСИОНЕР"</f>
        <v>ПЕНСИОНЕР</v>
      </c>
      <c r="O1037" t="str">
        <f>"450000"</f>
        <v>450000</v>
      </c>
      <c r="P1037" t="str">
        <f>"РЕСП БАШКОРТОСТАН"</f>
        <v>РЕСП БАШКОРТОСТАН</v>
      </c>
      <c r="Q1037" t="str">
        <f>""</f>
        <v/>
      </c>
      <c r="R1037" t="str">
        <f>"Г УФА"</f>
        <v>Г УФА</v>
      </c>
      <c r="S1037" t="str">
        <f>""</f>
        <v/>
      </c>
      <c r="T1037" t="str">
        <f>"УЛ ОРДЖОНИКИДЗЕ"</f>
        <v>УЛ ОРДЖОНИКИДЗЕ</v>
      </c>
      <c r="U1037" s="1" t="str">
        <f>"19"</f>
        <v>19</v>
      </c>
      <c r="V1037" s="1" t="str">
        <f>""</f>
        <v/>
      </c>
      <c r="W1037" s="1" t="str">
        <f>""</f>
        <v/>
      </c>
      <c r="X1037" s="1" t="str">
        <f>""</f>
        <v/>
      </c>
      <c r="Y1037" s="1" t="str">
        <f>"70"</f>
        <v>70</v>
      </c>
      <c r="Z1037" t="str">
        <f>""</f>
        <v/>
      </c>
      <c r="AA1037" t="str">
        <f>"9191444969"</f>
        <v>9191444969</v>
      </c>
      <c r="AB1037" t="str">
        <f>"9872445354"</f>
        <v>9872445354</v>
      </c>
      <c r="AC1037" t="str">
        <f>"9191444969"</f>
        <v>9191444969</v>
      </c>
      <c r="AD1037" t="str">
        <f>"9872445354"</f>
        <v>9872445354</v>
      </c>
      <c r="AE1037" t="str">
        <f>""</f>
        <v/>
      </c>
    </row>
    <row r="1038" spans="1:31" x14ac:dyDescent="0.45">
      <c r="A1038" t="str">
        <f>"АМИНОВА ОЛЕСЯ АЛЕКСАНДРОВНА"</f>
        <v>АМИНОВА ОЛЕСЯ АЛЕКСАНДРОВНА</v>
      </c>
      <c r="B1038" t="str">
        <f>"1983-11-20"</f>
        <v>1983-11-20</v>
      </c>
      <c r="C1038" t="str">
        <f>"80 05 416219"</f>
        <v>80 05 416219</v>
      </c>
      <c r="D1038" t="str">
        <f>"4854630189865606"</f>
        <v>4854630189865606</v>
      </c>
      <c r="E1038" t="str">
        <f>"2020-11-30"</f>
        <v>2020-11-30</v>
      </c>
      <c r="F1038" t="str">
        <f t="shared" si="167"/>
        <v>+</v>
      </c>
      <c r="G1038" t="str">
        <f t="shared" si="167"/>
        <v>+</v>
      </c>
      <c r="H1038" t="str">
        <f>"40817810116991428315"</f>
        <v>40817810116991428315</v>
      </c>
      <c r="I1038" t="str">
        <f>"8598"</f>
        <v>8598</v>
      </c>
      <c r="J1038" t="str">
        <f>"0720"</f>
        <v>0720</v>
      </c>
      <c r="K1038" t="str">
        <f>"15000.00"</f>
        <v>15000.00</v>
      </c>
      <c r="L1038" t="str">
        <f>"453211 РЕСП БАШКОРТОСТАН   Г ИШИМБАЙ   УЛ СОВЕТСКАЯ д. 62"</f>
        <v>453211 РЕСП БАШКОРТОСТАН   Г ИШИМБАЙ   УЛ СОВЕТСКАЯ д. 62</v>
      </c>
      <c r="M1038" t="str">
        <f t="shared" si="165"/>
        <v>2019-08-24</v>
      </c>
      <c r="N1038" t="str">
        <f>"ООО ФИНАНС ЛАМБАРД"</f>
        <v>ООО ФИНАНС ЛАМБАРД</v>
      </c>
      <c r="O1038" t="str">
        <f>"453211"</f>
        <v>453211</v>
      </c>
      <c r="P1038" t="str">
        <f>"РЕСП БАШКОРТОСТАН"</f>
        <v>РЕСП БАШКОРТОСТАН</v>
      </c>
      <c r="Q1038" t="str">
        <f>""</f>
        <v/>
      </c>
      <c r="R1038" t="str">
        <f>"Г ИШИМБАЙ"</f>
        <v>Г ИШИМБАЙ</v>
      </c>
      <c r="S1038" t="str">
        <f>""</f>
        <v/>
      </c>
      <c r="T1038" t="str">
        <f>"УЛ ДОКУЧАЕВА"</f>
        <v>УЛ ДОКУЧАЕВА</v>
      </c>
      <c r="U1038" s="1" t="str">
        <f>"12"</f>
        <v>12</v>
      </c>
      <c r="V1038" s="1" t="str">
        <f>""</f>
        <v/>
      </c>
      <c r="W1038" s="1" t="str">
        <f>""</f>
        <v/>
      </c>
      <c r="X1038" s="1" t="str">
        <f>""</f>
        <v/>
      </c>
      <c r="Y1038" s="1" t="str">
        <f>"605"</f>
        <v>605</v>
      </c>
      <c r="Z1038" t="str">
        <f>""</f>
        <v/>
      </c>
      <c r="AA1038" t="str">
        <f>"9178032866"</f>
        <v>9178032866</v>
      </c>
      <c r="AB1038" t="str">
        <f>"9174337475"</f>
        <v>9174337475</v>
      </c>
      <c r="AC1038" t="str">
        <f>"9178032866"</f>
        <v>9178032866</v>
      </c>
      <c r="AD1038" t="str">
        <f>"9174337475"</f>
        <v>9174337475</v>
      </c>
      <c r="AE1038" t="str">
        <f>""</f>
        <v/>
      </c>
    </row>
    <row r="1039" spans="1:31" x14ac:dyDescent="0.45">
      <c r="A1039" t="str">
        <f>"МАЛЫШЕВА ЖАННА ВАЛЕРЬЕВНА"</f>
        <v>МАЛЫШЕВА ЖАННА ВАЛЕРЬЕВНА</v>
      </c>
      <c r="B1039" t="str">
        <f>"1978-05-05"</f>
        <v>1978-05-05</v>
      </c>
      <c r="C1039" t="str">
        <f>"80 16 369574"</f>
        <v>80 16 369574</v>
      </c>
      <c r="D1039" t="str">
        <f>"4854630355382360"</f>
        <v>4854630355382360</v>
      </c>
      <c r="E1039" t="str">
        <f>"2021-04-30"</f>
        <v>2021-04-30</v>
      </c>
      <c r="F1039" t="str">
        <f t="shared" si="167"/>
        <v>+</v>
      </c>
      <c r="G1039" t="str">
        <f t="shared" si="167"/>
        <v>+</v>
      </c>
      <c r="H1039" t="str">
        <f>"40817810416991428316"</f>
        <v>40817810416991428316</v>
      </c>
      <c r="I1039" t="str">
        <f>"8598"</f>
        <v>8598</v>
      </c>
      <c r="J1039" t="str">
        <f>"0182"</f>
        <v>0182</v>
      </c>
      <c r="K1039" t="str">
        <f>"40000.00"</f>
        <v>40000.00</v>
      </c>
      <c r="L1039" t="str">
        <f>"450000 РЕСП БАШКОРТОСТАН   Г УФА   П/О УФА д. 37"</f>
        <v>450000 РЕСП БАШКОРТОСТАН   Г УФА   П/О УФА д. 37</v>
      </c>
      <c r="M1039" t="str">
        <f t="shared" si="165"/>
        <v>2019-08-24</v>
      </c>
      <c r="N1039" t="str">
        <f>"ПАО АНК БАШНЕФТЬ УФА НОВОИЛ"</f>
        <v>ПАО АНК БАШНЕФТЬ УФА НОВОИЛ</v>
      </c>
      <c r="O1039" t="str">
        <f>"450000"</f>
        <v>450000</v>
      </c>
      <c r="P1039" t="str">
        <f>"РЕСП БАШКОРТОСТАН"</f>
        <v>РЕСП БАШКОРТОСТАН</v>
      </c>
      <c r="Q1039" t="str">
        <f>""</f>
        <v/>
      </c>
      <c r="R1039" t="str">
        <f>"Г УФА"</f>
        <v>Г УФА</v>
      </c>
      <c r="S1039" t="str">
        <f>""</f>
        <v/>
      </c>
      <c r="T1039" t="str">
        <f>"УЛ ИНТЕРНАЦИОНАЛЬНАЯ"</f>
        <v>УЛ ИНТЕРНАЦИОНАЛЬНАЯ</v>
      </c>
      <c r="U1039" s="1" t="str">
        <f>"187"</f>
        <v>187</v>
      </c>
      <c r="V1039" s="1" t="str">
        <f>""</f>
        <v/>
      </c>
      <c r="W1039" s="1" t="str">
        <f>"3"</f>
        <v>3</v>
      </c>
      <c r="X1039" s="1" t="str">
        <f>""</f>
        <v/>
      </c>
      <c r="Y1039" s="1" t="str">
        <f>"122"</f>
        <v>122</v>
      </c>
      <c r="Z1039" t="str">
        <f>"3470000000"</f>
        <v>3470000000</v>
      </c>
      <c r="AA1039" t="str">
        <f>"9173838365"</f>
        <v>9173838365</v>
      </c>
      <c r="AB1039" t="str">
        <f>"9870444378"</f>
        <v>9870444378</v>
      </c>
      <c r="AC1039" t="str">
        <f>"9173838365"</f>
        <v>9173838365</v>
      </c>
      <c r="AD1039" t="str">
        <f>"9870444378"</f>
        <v>9870444378</v>
      </c>
      <c r="AE1039" t="str">
        <f>""</f>
        <v/>
      </c>
    </row>
    <row r="1040" spans="1:31" x14ac:dyDescent="0.45">
      <c r="A1040" t="str">
        <f>"УСТЮГОВА ЛАРИСА ПЕТРОВНА"</f>
        <v>УСТЮГОВА ЛАРИСА ПЕТРОВНА</v>
      </c>
      <c r="B1040" t="str">
        <f>"1977-09-22"</f>
        <v>1977-09-22</v>
      </c>
      <c r="C1040" t="str">
        <f>"71 02 704323"</f>
        <v>71 02 704323</v>
      </c>
      <c r="D1040" t="str">
        <f>"4276016717204403"</f>
        <v>4276016717204403</v>
      </c>
      <c r="E1040" t="str">
        <f>"2021-05-31"</f>
        <v>2021-05-31</v>
      </c>
      <c r="F1040" t="str">
        <f t="shared" si="167"/>
        <v>+</v>
      </c>
      <c r="G1040" t="str">
        <f t="shared" si="167"/>
        <v>+</v>
      </c>
      <c r="H1040" t="str">
        <f>"40817810116992269667"</f>
        <v>40817810116992269667</v>
      </c>
      <c r="I1040" t="str">
        <f>"8647"</f>
        <v>8647</v>
      </c>
      <c r="J1040" t="str">
        <f>"0095"</f>
        <v>0095</v>
      </c>
      <c r="K1040" t="str">
        <f>"100000.00"</f>
        <v>100000.00</v>
      </c>
      <c r="L1040" t="str">
        <f>"625017 ОБЛ ТЮМЕНСКАЯ   Г ТЮМЕНЬ   УЛ СЕРГЕЯ ИЛЬЮШИНА д. 10"</f>
        <v>625017 ОБЛ ТЮМЕНСКАЯ   Г ТЮМЕНЬ   УЛ СЕРГЕЯ ИЛЬЮШИНА д. 10</v>
      </c>
      <c r="M1040" t="str">
        <f t="shared" si="165"/>
        <v>2019-08-24</v>
      </c>
      <c r="N1040" t="str">
        <f>"АЭРОПОРТ РОЩИНО"</f>
        <v>АЭРОПОРТ РОЩИНО</v>
      </c>
      <c r="O1040" t="str">
        <f>"625031"</f>
        <v>625031</v>
      </c>
      <c r="P1040" t="str">
        <f>"ОБЛ ТЮМЕНСКАЯ"</f>
        <v>ОБЛ ТЮМЕНСКАЯ</v>
      </c>
      <c r="Q1040" t="str">
        <f>""</f>
        <v/>
      </c>
      <c r="R1040" t="str">
        <f>"Г ТЮМЕНЬ"</f>
        <v>Г ТЮМЕНЬ</v>
      </c>
      <c r="S1040" t="str">
        <f>""</f>
        <v/>
      </c>
      <c r="T1040" t="str">
        <f>"УЛ ВАТУТИНА"</f>
        <v>УЛ ВАТУТИНА</v>
      </c>
      <c r="U1040" s="1" t="str">
        <f>"6"</f>
        <v>6</v>
      </c>
      <c r="V1040" s="1" t="str">
        <f>""</f>
        <v/>
      </c>
      <c r="W1040" s="1" t="str">
        <f>""</f>
        <v/>
      </c>
      <c r="X1040" s="1" t="str">
        <f>""</f>
        <v/>
      </c>
      <c r="Y1040" s="1" t="str">
        <f>"40"</f>
        <v>40</v>
      </c>
      <c r="Z1040" t="str">
        <f>"2487053"</f>
        <v>2487053</v>
      </c>
      <c r="AA1040" t="str">
        <f>"3452489383"</f>
        <v>3452489383</v>
      </c>
      <c r="AB1040" t="str">
        <f>"9523409963"</f>
        <v>9523409963</v>
      </c>
      <c r="AC1040" t="str">
        <f>""</f>
        <v/>
      </c>
      <c r="AD1040" t="str">
        <f>"9523409963"</f>
        <v>9523409963</v>
      </c>
      <c r="AE1040" t="str">
        <f>""</f>
        <v/>
      </c>
    </row>
    <row r="1041" spans="1:31" x14ac:dyDescent="0.45">
      <c r="A1041" t="str">
        <f>"СКАЧКОВ ГЕРМАН ВИКТОРОВИЧ"</f>
        <v>СКАЧКОВ ГЕРМАН ВИКТОРОВИЧ</v>
      </c>
      <c r="B1041" t="str">
        <f>"1963-05-11"</f>
        <v>1963-05-11</v>
      </c>
      <c r="C1041" t="str">
        <f>"40 08 479012"</f>
        <v>40 08 479012</v>
      </c>
      <c r="D1041" t="str">
        <f>"4279016720094921"</f>
        <v>4279016720094921</v>
      </c>
      <c r="E1041" t="str">
        <f>"2021-05-31"</f>
        <v>2021-05-31</v>
      </c>
      <c r="F1041" t="str">
        <f t="shared" si="167"/>
        <v>+</v>
      </c>
      <c r="G1041" t="str">
        <f t="shared" si="167"/>
        <v>+</v>
      </c>
      <c r="H1041" t="str">
        <f>"40817810016992269576"</f>
        <v>40817810016992269576</v>
      </c>
      <c r="I1041" t="str">
        <f>"8647"</f>
        <v>8647</v>
      </c>
      <c r="J1041" t="str">
        <f>"0288"</f>
        <v>0288</v>
      </c>
      <c r="K1041" t="str">
        <f>"480000.00"</f>
        <v>480000.00</v>
      </c>
      <c r="L1041" t="str">
        <f>"626150 ОБЛ ТЮМЕНСКАЯ   Г ТОБОЛЬСК   ТЕР ПРОМЗОНА д. 1"</f>
        <v>626150 ОБЛ ТЮМЕНСКАЯ   Г ТОБОЛЬСК   ТЕР ПРОМЗОНА д. 1</v>
      </c>
      <c r="M1041" t="str">
        <f t="shared" si="165"/>
        <v>2019-08-24</v>
      </c>
      <c r="N1041" t="str">
        <f>"ООО ЗАПСИБ-2"</f>
        <v>ООО ЗАПСИБ-2</v>
      </c>
      <c r="O1041" t="str">
        <f>"190000"</f>
        <v>190000</v>
      </c>
      <c r="P1041" t="str">
        <f>"Г САНКТ-ПЕТЕРБУРГ"</f>
        <v>Г САНКТ-ПЕТЕРБУРГ</v>
      </c>
      <c r="Q1041" t="str">
        <f>"Р-Н КИРОВСКИЙ"</f>
        <v>Р-Н КИРОВСКИЙ</v>
      </c>
      <c r="R1041" t="str">
        <f>""</f>
        <v/>
      </c>
      <c r="S1041" t="str">
        <f>""</f>
        <v/>
      </c>
      <c r="T1041" t="str">
        <f>"УЛ МАРШАЛА КАЗАКОВА"</f>
        <v>УЛ МАРШАЛА КАЗАКОВА</v>
      </c>
      <c r="U1041" s="1" t="str">
        <f>"3"</f>
        <v>3</v>
      </c>
      <c r="V1041" s="1" t="str">
        <f>""</f>
        <v/>
      </c>
      <c r="W1041" s="1" t="str">
        <f>"1"</f>
        <v>1</v>
      </c>
      <c r="X1041" s="1" t="str">
        <f>""</f>
        <v/>
      </c>
      <c r="Y1041" s="1" t="str">
        <f>"79"</f>
        <v>79</v>
      </c>
      <c r="Z1041" t="str">
        <f>"8127406370"</f>
        <v>8127406370</v>
      </c>
      <c r="AA1041" t="str">
        <f>"9829754855"</f>
        <v>9829754855</v>
      </c>
      <c r="AB1041" t="str">
        <f>"9829754855"</f>
        <v>9829754855</v>
      </c>
      <c r="AC1041" t="str">
        <f>"9829754855"</f>
        <v>9829754855</v>
      </c>
      <c r="AD1041" t="str">
        <f>"9312148525"</f>
        <v>9312148525</v>
      </c>
      <c r="AE1041" t="str">
        <f>"8127406370"</f>
        <v>8127406370</v>
      </c>
    </row>
    <row r="1042" spans="1:31" x14ac:dyDescent="0.45">
      <c r="A1042" t="str">
        <f>"ХАСАНОВ АЙРАТ ФЛЮРОВИЧ"</f>
        <v>ХАСАНОВ АЙРАТ ФЛЮРОВИЧ</v>
      </c>
      <c r="B1042" t="str">
        <f>"1978-02-08"</f>
        <v>1978-02-08</v>
      </c>
      <c r="C1042" t="str">
        <f>"80 02 614906"</f>
        <v>80 02 614906</v>
      </c>
      <c r="D1042" t="str">
        <f>"4279011674856615"</f>
        <v>4279011674856615</v>
      </c>
      <c r="E1042" t="str">
        <f>"2021-05-31"</f>
        <v>2021-05-31</v>
      </c>
      <c r="F1042" t="str">
        <f t="shared" si="167"/>
        <v>+</v>
      </c>
      <c r="G1042" t="str">
        <f t="shared" si="167"/>
        <v>+</v>
      </c>
      <c r="H1042" t="str">
        <f>"40817810016991425191"</f>
        <v>40817810016991425191</v>
      </c>
      <c r="I1042" t="str">
        <f>"8598"</f>
        <v>8598</v>
      </c>
      <c r="J1042" t="str">
        <f>"0781"</f>
        <v>0781</v>
      </c>
      <c r="K1042" t="str">
        <f>"27000.00"</f>
        <v>27000.00</v>
      </c>
      <c r="L1042" t="str">
        <f>"450000 РЕСП БАШКОРТОСТАН   Г НЕФТЕКАМСК   УЛ ЯНАУЛЬСКАЯ д. 3"</f>
        <v>450000 РЕСП БАШКОРТОСТАН   Г НЕФТЕКАМСК   УЛ ЯНАУЛЬСКАЯ д. 3</v>
      </c>
      <c r="M1042" t="str">
        <f t="shared" si="165"/>
        <v>2019-08-24</v>
      </c>
      <c r="N1042" t="str">
        <f>"АО ТФК КАМАЗ"</f>
        <v>АО ТФК КАМАЗ</v>
      </c>
      <c r="O1042" t="str">
        <f>"450000"</f>
        <v>450000</v>
      </c>
      <c r="P1042" t="str">
        <f>"РЕСП БАШКОРТОСТАН"</f>
        <v>РЕСП БАШКОРТОСТАН</v>
      </c>
      <c r="Q1042" t="str">
        <f>""</f>
        <v/>
      </c>
      <c r="R1042" t="str">
        <f>"Г НЕФТЕКАМСК"</f>
        <v>Г НЕФТЕКАМСК</v>
      </c>
      <c r="S1042" t="str">
        <f>""</f>
        <v/>
      </c>
      <c r="T1042" t="str">
        <f>"УЛ ЮЖНАЯ"</f>
        <v>УЛ ЮЖНАЯ</v>
      </c>
      <c r="U1042" s="1" t="str">
        <f>"7"</f>
        <v>7</v>
      </c>
      <c r="V1042" s="1" t="str">
        <f>""</f>
        <v/>
      </c>
      <c r="W1042" s="1" t="str">
        <f>""</f>
        <v/>
      </c>
      <c r="X1042" s="1" t="str">
        <f>""</f>
        <v/>
      </c>
      <c r="Y1042" s="1" t="str">
        <f>""</f>
        <v/>
      </c>
      <c r="Z1042" t="str">
        <f>"9899547155"</f>
        <v>9899547155</v>
      </c>
      <c r="AA1042" t="str">
        <f>"9899547155"</f>
        <v>9899547155</v>
      </c>
      <c r="AB1042" t="str">
        <f>"9899547155"</f>
        <v>9899547155</v>
      </c>
      <c r="AC1042" t="str">
        <f>"9899547155"</f>
        <v>9899547155</v>
      </c>
      <c r="AD1042" t="str">
        <f>"9899547155"</f>
        <v>9899547155</v>
      </c>
      <c r="AE1042" t="str">
        <f>"9899547155"</f>
        <v>9899547155</v>
      </c>
    </row>
    <row r="1043" spans="1:31" x14ac:dyDescent="0.45">
      <c r="A1043" t="str">
        <f>"МАЛЫШЕВА ЕЛЕНА ВАЛЕРЬЕВНА"</f>
        <v>МАЛЫШЕВА ЕЛЕНА ВАЛЕРЬЕВНА</v>
      </c>
      <c r="B1043" t="str">
        <f>"1982-01-20"</f>
        <v>1982-01-20</v>
      </c>
      <c r="C1043" t="str">
        <f>"65 03 108890"</f>
        <v>65 03 108890</v>
      </c>
      <c r="D1043" t="str">
        <f>"4854630383050971"</f>
        <v>4854630383050971</v>
      </c>
      <c r="E1043" t="str">
        <f>"2021-04-30"</f>
        <v>2021-04-30</v>
      </c>
      <c r="F1043" t="str">
        <f t="shared" si="167"/>
        <v>+</v>
      </c>
      <c r="G1043" t="str">
        <f t="shared" si="167"/>
        <v>+</v>
      </c>
      <c r="H1043" t="str">
        <f>"40817810316991428254"</f>
        <v>40817810316991428254</v>
      </c>
      <c r="I1043" t="str">
        <f>"7003"</f>
        <v>7003</v>
      </c>
      <c r="J1043" t="str">
        <f>"0737"</f>
        <v>0737</v>
      </c>
      <c r="K1043" t="str">
        <f>"13000.00"</f>
        <v>13000.00</v>
      </c>
      <c r="L1043" t="str">
        <f>"620000 ОБЛ СВЕРДЛОВСКАЯ   Г НИЖНИЙ ТАГИЛ   Ш ВОСТОЧНОЕ д. 60 кв. 9"</f>
        <v>620000 ОБЛ СВЕРДЛОВСКАЯ   Г НИЖНИЙ ТАГИЛ   Ш ВОСТОЧНОЕ д. 60 кв. 9</v>
      </c>
      <c r="M1043" t="str">
        <f t="shared" si="165"/>
        <v>2019-08-24</v>
      </c>
      <c r="N1043" t="s">
        <v>73</v>
      </c>
      <c r="O1043" t="str">
        <f>"620000"</f>
        <v>620000</v>
      </c>
      <c r="P1043" t="str">
        <f>"ОБЛ СВЕРДЛОВСКАЯ"</f>
        <v>ОБЛ СВЕРДЛОВСКАЯ</v>
      </c>
      <c r="Q1043" t="str">
        <f>""</f>
        <v/>
      </c>
      <c r="R1043" t="str">
        <f>"Г НИЖНИЙ ТАГИЛ"</f>
        <v>Г НИЖНИЙ ТАГИЛ</v>
      </c>
      <c r="S1043" t="str">
        <f>""</f>
        <v/>
      </c>
      <c r="T1043" t="str">
        <f>"УЛ ЭНТУЗИАСТОВ"</f>
        <v>УЛ ЭНТУЗИАСТОВ</v>
      </c>
      <c r="U1043" s="1" t="str">
        <f>"60"</f>
        <v>60</v>
      </c>
      <c r="V1043" s="1" t="str">
        <f>""</f>
        <v/>
      </c>
      <c r="W1043" s="1" t="str">
        <f>""</f>
        <v/>
      </c>
      <c r="X1043" s="1" t="str">
        <f>""</f>
        <v/>
      </c>
      <c r="Y1043" s="1" t="str">
        <f>"9"</f>
        <v>9</v>
      </c>
      <c r="Z1043" t="str">
        <f>""</f>
        <v/>
      </c>
      <c r="AA1043" t="str">
        <f>"9536045702"</f>
        <v>9536045702</v>
      </c>
      <c r="AB1043" t="str">
        <f>"9041617052"</f>
        <v>9041617052</v>
      </c>
      <c r="AC1043" t="str">
        <f>"9536045702"</f>
        <v>9536045702</v>
      </c>
      <c r="AD1043" t="str">
        <f>"9041617052"</f>
        <v>9041617052</v>
      </c>
      <c r="AE1043" t="str">
        <f>""</f>
        <v/>
      </c>
    </row>
    <row r="1044" spans="1:31" x14ac:dyDescent="0.45">
      <c r="A1044" t="str">
        <f>"ЕРЕМЧУК НАТАЛЬЯ ИВАНОВНА"</f>
        <v>ЕРЕМЧУК НАТАЛЬЯ ИВАНОВНА</v>
      </c>
      <c r="B1044" t="str">
        <f>"1967-08-22"</f>
        <v>1967-08-22</v>
      </c>
      <c r="C1044" t="str">
        <f>"80 12 582088"</f>
        <v>80 12 582088</v>
      </c>
      <c r="D1044" t="str">
        <f>"4854630355817811"</f>
        <v>4854630355817811</v>
      </c>
      <c r="E1044" t="str">
        <f>"2021-04-30"</f>
        <v>2021-04-30</v>
      </c>
      <c r="F1044" t="str">
        <f t="shared" si="167"/>
        <v>+</v>
      </c>
      <c r="G1044" t="str">
        <f t="shared" si="167"/>
        <v>+</v>
      </c>
      <c r="H1044" t="str">
        <f>"40817810816991428275"</f>
        <v>40817810816991428275</v>
      </c>
      <c r="I1044" t="str">
        <f>"8598"</f>
        <v>8598</v>
      </c>
      <c r="J1044" t="str">
        <f>"0705"</f>
        <v>0705</v>
      </c>
      <c r="K1044" t="str">
        <f>"15000.00"</f>
        <v>15000.00</v>
      </c>
      <c r="L1044" t="str">
        <f>"453256 РЕСП БАШКОРТОСТАН   Г САЛАВАТ   УЛ МОЛОДОГВАРДЕЙЦЕВ д. 30"</f>
        <v>453256 РЕСП БАШКОРТОСТАН   Г САЛАВАТ   УЛ МОЛОДОГВАРДЕЙЦЕВ д. 30</v>
      </c>
      <c r="M1044" t="str">
        <f t="shared" si="165"/>
        <v>2019-08-24</v>
      </c>
      <c r="N1044" t="str">
        <f>"ООО ЧОО ЦЕНТУРИОН-РБ"</f>
        <v>ООО ЧОО ЦЕНТУРИОН-РБ</v>
      </c>
      <c r="O1044" t="str">
        <f>"453250"</f>
        <v>453250</v>
      </c>
      <c r="P1044" t="str">
        <f>"РЕСП БАШКОРТОСТАН"</f>
        <v>РЕСП БАШКОРТОСТАН</v>
      </c>
      <c r="Q1044" t="str">
        <f>""</f>
        <v/>
      </c>
      <c r="R1044" t="str">
        <f>"Г САЛАВАТ"</f>
        <v>Г САЛАВАТ</v>
      </c>
      <c r="S1044" t="str">
        <f>""</f>
        <v/>
      </c>
      <c r="T1044" t="str">
        <f>"УЛ УФИМСКАЯ"</f>
        <v>УЛ УФИМСКАЯ</v>
      </c>
      <c r="U1044" s="1" t="str">
        <f>"110"</f>
        <v>110</v>
      </c>
      <c r="V1044" s="1" t="str">
        <f>""</f>
        <v/>
      </c>
      <c r="W1044" s="1" t="str">
        <f>""</f>
        <v/>
      </c>
      <c r="X1044" s="1" t="str">
        <f>""</f>
        <v/>
      </c>
      <c r="Y1044" s="1" t="str">
        <f>"24"</f>
        <v>24</v>
      </c>
      <c r="Z1044" t="str">
        <f>"3476379590"</f>
        <v>3476379590</v>
      </c>
      <c r="AA1044" t="str">
        <f>"9173574480"</f>
        <v>9173574480</v>
      </c>
      <c r="AB1044" t="str">
        <f>"9173574480"</f>
        <v>9173574480</v>
      </c>
      <c r="AC1044" t="str">
        <f>"9173574480"</f>
        <v>9173574480</v>
      </c>
      <c r="AD1044" t="str">
        <f>"9173574480"</f>
        <v>9173574480</v>
      </c>
      <c r="AE1044" t="str">
        <f>""</f>
        <v/>
      </c>
    </row>
    <row r="1045" spans="1:31" x14ac:dyDescent="0.45">
      <c r="A1045" t="str">
        <f>"ПАВЛОВ НАИЛЬ ВИКТОРОВИЧ"</f>
        <v>ПАВЛОВ НАИЛЬ ВИКТОРОВИЧ</v>
      </c>
      <c r="B1045" t="str">
        <f>"1972-02-19"</f>
        <v>1972-02-19</v>
      </c>
      <c r="C1045" t="str">
        <f>"71 17 269576"</f>
        <v>71 17 269576</v>
      </c>
      <c r="D1045" t="str">
        <f>"4854630399537474"</f>
        <v>4854630399537474</v>
      </c>
      <c r="E1045" t="str">
        <f>"2021-04-30"</f>
        <v>2021-04-30</v>
      </c>
      <c r="F1045" t="str">
        <f>"Q"</f>
        <v>Q</v>
      </c>
      <c r="G1045" t="str">
        <f>"Q"</f>
        <v>Q</v>
      </c>
      <c r="H1045" t="str">
        <f>"40817810616992400311"</f>
        <v>40817810616992400311</v>
      </c>
      <c r="I1045" t="str">
        <f>"8647"</f>
        <v>8647</v>
      </c>
      <c r="J1045" t="str">
        <f>"0181"</f>
        <v>0181</v>
      </c>
      <c r="K1045" t="str">
        <f>"0.00"</f>
        <v>0.00</v>
      </c>
      <c r="L1045" t="str">
        <f>"625000 ОБЛ ТЮМЕНСКАЯ   Г ТЮМЕНЬ   УЛ ВОСТАНИЯ д. 42"</f>
        <v>625000 ОБЛ ТЮМЕНСКАЯ   Г ТЮМЕНЬ   УЛ ВОСТАНИЯ д. 42</v>
      </c>
      <c r="M1045" t="str">
        <f t="shared" si="165"/>
        <v>2019-08-24</v>
      </c>
      <c r="N1045" t="str">
        <f>"ООО ДОРСТРОЙ"</f>
        <v>ООО ДОРСТРОЙ</v>
      </c>
      <c r="O1045" t="str">
        <f>"625000"</f>
        <v>625000</v>
      </c>
      <c r="P1045" t="str">
        <f>"ОБЛ ТЮМЕНСКАЯ"</f>
        <v>ОБЛ ТЮМЕНСКАЯ</v>
      </c>
      <c r="Q1045" t="str">
        <f>""</f>
        <v/>
      </c>
      <c r="R1045" t="str">
        <f>"Г ТЮМЕНЬ"</f>
        <v>Г ТЮМЕНЬ</v>
      </c>
      <c r="S1045" t="str">
        <f>""</f>
        <v/>
      </c>
      <c r="T1045" t="str">
        <f>"УЛ ЯМСКАЯ"</f>
        <v>УЛ ЯМСКАЯ</v>
      </c>
      <c r="U1045" s="1" t="str">
        <f>"62"</f>
        <v>62</v>
      </c>
      <c r="V1045" s="1" t="str">
        <f>""</f>
        <v/>
      </c>
      <c r="W1045" s="1" t="str">
        <f>""</f>
        <v/>
      </c>
      <c r="X1045" s="1" t="str">
        <f>""</f>
        <v/>
      </c>
      <c r="Y1045" s="1" t="str">
        <f>""</f>
        <v/>
      </c>
      <c r="Z1045" t="str">
        <f>"9129909760"</f>
        <v>9129909760</v>
      </c>
      <c r="AA1045" t="str">
        <f>"3452431539"</f>
        <v>3452431539</v>
      </c>
      <c r="AB1045" t="str">
        <f>"9129909760"</f>
        <v>9129909760</v>
      </c>
      <c r="AC1045" t="str">
        <f>"3452431539"</f>
        <v>3452431539</v>
      </c>
      <c r="AD1045" t="str">
        <f>"9129909760"</f>
        <v>9129909760</v>
      </c>
      <c r="AE1045" t="str">
        <f>""</f>
        <v/>
      </c>
    </row>
    <row r="1046" spans="1:31" x14ac:dyDescent="0.45">
      <c r="A1046" t="str">
        <f>"МАШКОВА ОКСАНА ВАСИЛЬЕВНА"</f>
        <v>МАШКОВА ОКСАНА ВАСИЛЬЕВНА</v>
      </c>
      <c r="B1046" t="str">
        <f>"1969-11-30"</f>
        <v>1969-11-30</v>
      </c>
      <c r="C1046" t="str">
        <f>"80 15 146212"</f>
        <v>80 15 146212</v>
      </c>
      <c r="D1046" t="str">
        <f>"5469011608813663"</f>
        <v>5469011608813663</v>
      </c>
      <c r="E1046" t="str">
        <f>"2022-08-31"</f>
        <v>2022-08-31</v>
      </c>
      <c r="F1046" t="str">
        <f>"H"</f>
        <v>H</v>
      </c>
      <c r="G1046" t="str">
        <f>"+"</f>
        <v>+</v>
      </c>
      <c r="H1046" t="str">
        <f>"40817810716991428317"</f>
        <v>40817810716991428317</v>
      </c>
      <c r="I1046" t="str">
        <f>"8598"</f>
        <v>8598</v>
      </c>
      <c r="J1046" t="str">
        <f>"0703"</f>
        <v>0703</v>
      </c>
      <c r="K1046" t="str">
        <f>"60000.00"</f>
        <v>60000.00</v>
      </c>
      <c r="L1046" t="str">
        <f>"450000 РЕСП БАШКОРТОСТАН   Г САЛАВАТ   УЛ МОЛОДОГВАРДЕЙЦЕВ д. 30"</f>
        <v>450000 РЕСП БАШКОРТОСТАН   Г САЛАВАТ   УЛ МОЛОДОГВАРДЕЙЦЕВ д. 30</v>
      </c>
      <c r="M1046" t="str">
        <f t="shared" si="165"/>
        <v>2019-08-24</v>
      </c>
      <c r="N1046" t="str">
        <f>"ГАЗПРОМНЕФТЕХИМСАЛАВАТ"</f>
        <v>ГАЗПРОМНЕФТЕХИМСАЛАВАТ</v>
      </c>
      <c r="O1046" t="str">
        <f>"450000"</f>
        <v>450000</v>
      </c>
      <c r="P1046" t="str">
        <f>"РЕСП БАШКОРТОСТАН"</f>
        <v>РЕСП БАШКОРТОСТАН</v>
      </c>
      <c r="Q1046" t="str">
        <f>""</f>
        <v/>
      </c>
      <c r="R1046" t="str">
        <f>"Г САЛАВАТ"</f>
        <v>Г САЛАВАТ</v>
      </c>
      <c r="S1046" t="str">
        <f>""</f>
        <v/>
      </c>
      <c r="T1046" t="str">
        <f>"УЛ Б-Р ЮЛАЕВА"</f>
        <v>УЛ Б-Р ЮЛАЕВА</v>
      </c>
      <c r="U1046" s="1" t="str">
        <f>"37А"</f>
        <v>37А</v>
      </c>
      <c r="V1046" s="1" t="str">
        <f>""</f>
        <v/>
      </c>
      <c r="W1046" s="1" t="str">
        <f>""</f>
        <v/>
      </c>
      <c r="X1046" s="1" t="str">
        <f>""</f>
        <v/>
      </c>
      <c r="Y1046" s="1" t="str">
        <f>"45"</f>
        <v>45</v>
      </c>
      <c r="Z1046" t="str">
        <f>""</f>
        <v/>
      </c>
      <c r="AA1046" t="str">
        <f>"9816999327"</f>
        <v>9816999327</v>
      </c>
      <c r="AB1046" t="str">
        <f>"9177857286"</f>
        <v>9177857286</v>
      </c>
      <c r="AC1046" t="str">
        <f>"9816999327"</f>
        <v>9816999327</v>
      </c>
      <c r="AD1046" t="str">
        <f>"9177857286"</f>
        <v>9177857286</v>
      </c>
      <c r="AE1046" t="str">
        <f>""</f>
        <v/>
      </c>
    </row>
    <row r="1047" spans="1:31" x14ac:dyDescent="0.45">
      <c r="A1047" t="str">
        <f>"СУХАНОВА ЕКАТЕРИНА ЛЕОНИДОВНА"</f>
        <v>СУХАНОВА ЕКАТЕРИНА ЛЕОНИДОВНА</v>
      </c>
      <c r="B1047" t="str">
        <f>"1976-11-25"</f>
        <v>1976-11-25</v>
      </c>
      <c r="C1047" t="str">
        <f>"80 15 001809"</f>
        <v>80 15 001809</v>
      </c>
      <c r="D1047" t="str">
        <f>"4854630368967074"</f>
        <v>4854630368967074</v>
      </c>
      <c r="E1047" t="str">
        <f>"2020-04-30"</f>
        <v>2020-04-30</v>
      </c>
      <c r="F1047" t="str">
        <f>"+"</f>
        <v>+</v>
      </c>
      <c r="G1047" t="str">
        <f>"+"</f>
        <v>+</v>
      </c>
      <c r="H1047" t="str">
        <f>"40817810016991428318"</f>
        <v>40817810016991428318</v>
      </c>
      <c r="I1047" t="str">
        <f>"8598"</f>
        <v>8598</v>
      </c>
      <c r="J1047" t="str">
        <f>"0349"</f>
        <v>0349</v>
      </c>
      <c r="K1047" t="str">
        <f>"16000.00"</f>
        <v>16000.00</v>
      </c>
      <c r="L1047" t="str">
        <f>"450000 РЕСП БАШКОРТОСТАН   Г СТЕРЛИТАМАК   УЛ ГОГОЛЯ д. 123/1"</f>
        <v>450000 РЕСП БАШКОРТОСТАН   Г СТЕРЛИТАМАК   УЛ ГОГОЛЯ д. 123/1</v>
      </c>
      <c r="M1047" t="str">
        <f t="shared" si="165"/>
        <v>2019-08-24</v>
      </c>
      <c r="N1047" t="str">
        <f>"ПФР"</f>
        <v>ПФР</v>
      </c>
      <c r="O1047" t="str">
        <f>"450000"</f>
        <v>450000</v>
      </c>
      <c r="P1047" t="str">
        <f>"РЕСП БАШКОРТОСТАН"</f>
        <v>РЕСП БАШКОРТОСТАН</v>
      </c>
      <c r="Q1047" t="str">
        <f>""</f>
        <v/>
      </c>
      <c r="R1047" t="str">
        <f>"Г СТЕРЛИТАМАК"</f>
        <v>Г СТЕРЛИТАМАК</v>
      </c>
      <c r="S1047" t="str">
        <f>""</f>
        <v/>
      </c>
      <c r="T1047" t="str">
        <f>"УЛ АРТЕМА"</f>
        <v>УЛ АРТЕМА</v>
      </c>
      <c r="U1047" s="1" t="str">
        <f>"97"</f>
        <v>97</v>
      </c>
      <c r="V1047" s="1" t="str">
        <f>""</f>
        <v/>
      </c>
      <c r="W1047" s="1" t="str">
        <f>"А"</f>
        <v>А</v>
      </c>
      <c r="X1047" s="1" t="str">
        <f>""</f>
        <v/>
      </c>
      <c r="Y1047" s="1" t="str">
        <f>"76"</f>
        <v>76</v>
      </c>
      <c r="Z1047" t="str">
        <f>"9174388569"</f>
        <v>9174388569</v>
      </c>
      <c r="AA1047" t="str">
        <f>"9174388569"</f>
        <v>9174388569</v>
      </c>
      <c r="AB1047" t="str">
        <f>"9174388569"</f>
        <v>9174388569</v>
      </c>
      <c r="AC1047" t="str">
        <f>"9174388569"</f>
        <v>9174388569</v>
      </c>
      <c r="AD1047" t="str">
        <f>"9174388569"</f>
        <v>9174388569</v>
      </c>
      <c r="AE1047" t="str">
        <f>"9174388569"</f>
        <v>9174388569</v>
      </c>
    </row>
    <row r="1048" spans="1:31" x14ac:dyDescent="0.45">
      <c r="A1048" t="str">
        <f>"УЛЬЯНОВ АЛЕКСАНДР НИКОЛАЕВИЧ"</f>
        <v>УЛЬЯНОВ АЛЕКСАНДР НИКОЛАЕВИЧ</v>
      </c>
      <c r="B1048" t="str">
        <f>"1983-01-13"</f>
        <v>1983-01-13</v>
      </c>
      <c r="C1048" t="str">
        <f>"65 05 311896"</f>
        <v>65 05 311896</v>
      </c>
      <c r="D1048" t="str">
        <f>"4854630381397093"</f>
        <v>4854630381397093</v>
      </c>
      <c r="E1048" t="str">
        <f>"2021-04-30"</f>
        <v>2021-04-30</v>
      </c>
      <c r="F1048" t="str">
        <f>"+"</f>
        <v>+</v>
      </c>
      <c r="G1048" t="str">
        <f>"+"</f>
        <v>+</v>
      </c>
      <c r="H1048" t="str">
        <f>"40817810316991428319"</f>
        <v>40817810316991428319</v>
      </c>
      <c r="I1048" t="str">
        <f>"7003"</f>
        <v>7003</v>
      </c>
      <c r="J1048" t="str">
        <f>"0412"</f>
        <v>0412</v>
      </c>
      <c r="K1048" t="str">
        <f>"10000.00"</f>
        <v>10000.00</v>
      </c>
      <c r="L1048" t="str">
        <f>"620137 ОБЛ СВЕРДЛОВСКАЯ   Г ЕКАТЕРИНБУРГ   УЛ БОРОВАЯ д. 0"</f>
        <v>620137 ОБЛ СВЕРДЛОВСКАЯ   Г ЕКАТЕРИНБУРГ   УЛ БОРОВАЯ д. 0</v>
      </c>
      <c r="M1048" t="str">
        <f t="shared" si="165"/>
        <v>2019-08-24</v>
      </c>
      <c r="N1048" t="str">
        <f>"000"</f>
        <v>000</v>
      </c>
      <c r="O1048" t="str">
        <f>"620137"</f>
        <v>620137</v>
      </c>
      <c r="P1048" t="str">
        <f>"ОБЛ СВЕРДЛОВСКАЯ"</f>
        <v>ОБЛ СВЕРДЛОВСКАЯ</v>
      </c>
      <c r="Q1048" t="str">
        <f>""</f>
        <v/>
      </c>
      <c r="R1048" t="str">
        <f>"Г ЕКАТЕРИНБУРГ"</f>
        <v>Г ЕКАТЕРИНБУРГ</v>
      </c>
      <c r="S1048" t="str">
        <f>""</f>
        <v/>
      </c>
      <c r="T1048" t="str">
        <f>"УЛ БОРОВАЯ"</f>
        <v>УЛ БОРОВАЯ</v>
      </c>
      <c r="U1048" s="1" t="str">
        <f>"21"</f>
        <v>21</v>
      </c>
      <c r="V1048" s="1" t="str">
        <f>""</f>
        <v/>
      </c>
      <c r="W1048" s="1" t="str">
        <f>""</f>
        <v/>
      </c>
      <c r="X1048" s="1" t="str">
        <f>""</f>
        <v/>
      </c>
      <c r="Y1048" s="1" t="str">
        <f>"148"</f>
        <v>148</v>
      </c>
      <c r="Z1048" t="str">
        <f>"3433105009"</f>
        <v>3433105009</v>
      </c>
      <c r="AA1048" t="str">
        <f>"3438567242"</f>
        <v>3438567242</v>
      </c>
      <c r="AB1048" t="str">
        <f>"9041697524"</f>
        <v>9041697524</v>
      </c>
      <c r="AC1048" t="str">
        <f>"9041697524"</f>
        <v>9041697524</v>
      </c>
      <c r="AD1048" t="str">
        <f>"9041697524"</f>
        <v>9041697524</v>
      </c>
      <c r="AE1048" t="str">
        <f>"3433105009"</f>
        <v>3433105009</v>
      </c>
    </row>
    <row r="1049" spans="1:31" x14ac:dyDescent="0.45">
      <c r="A1049" t="str">
        <f>"ПОСАДСКИХ ЛАРИСА АНАТОЛЬЕВНА"</f>
        <v>ПОСАДСКИХ ЛАРИСА АНАТОЛЬЕВНА</v>
      </c>
      <c r="B1049" t="str">
        <f>"1972-01-07"</f>
        <v>1972-01-07</v>
      </c>
      <c r="C1049" t="str">
        <f>"74 16 938412"</f>
        <v>74 16 938412</v>
      </c>
      <c r="D1049" t="str">
        <f>"4279016724202108"</f>
        <v>4279016724202108</v>
      </c>
      <c r="E1049" t="str">
        <f>"2021-05-31"</f>
        <v>2021-05-31</v>
      </c>
      <c r="F1049" t="str">
        <f>"+"</f>
        <v>+</v>
      </c>
      <c r="G1049" t="str">
        <f>"+"</f>
        <v>+</v>
      </c>
      <c r="H1049" t="str">
        <f>"40817810916992269867"</f>
        <v>40817810916992269867</v>
      </c>
      <c r="I1049" t="str">
        <f>"8369"</f>
        <v>8369</v>
      </c>
      <c r="J1049" t="str">
        <f>"0015"</f>
        <v>0015</v>
      </c>
      <c r="K1049" t="str">
        <f>"35000.00"</f>
        <v>35000.00</v>
      </c>
      <c r="L1049" t="str">
        <f>"629300 ОБЛ ТЮМЕНСКАЯ АО ЯНАО Г НОВЫЙ УРЕНГОЙ   УЛ МАГИСТРАЛЬНАЯ д. 1"</f>
        <v>629300 ОБЛ ТЮМЕНСКАЯ АО ЯНАО Г НОВЫЙ УРЕНГОЙ   УЛ МАГИСТРАЛЬНАЯ д. 1</v>
      </c>
      <c r="M1049" t="str">
        <f t="shared" si="165"/>
        <v>2019-08-24</v>
      </c>
      <c r="N1049" t="str">
        <f>"АО НОВОУРЕНГОЙСКИЙ ОАО"</f>
        <v>АО НОВОУРЕНГОЙСКИЙ ОАО</v>
      </c>
      <c r="O1049" t="str">
        <f>"629300"</f>
        <v>629300</v>
      </c>
      <c r="P1049" t="str">
        <f>"ОБЛ ТЮМЕНСКАЯ"</f>
        <v>ОБЛ ТЮМЕНСКАЯ</v>
      </c>
      <c r="Q1049" t="str">
        <f>"АО ЯНАО"</f>
        <v>АО ЯНАО</v>
      </c>
      <c r="R1049" t="str">
        <f>""</f>
        <v/>
      </c>
      <c r="S1049" t="str">
        <f>""</f>
        <v/>
      </c>
      <c r="T1049" t="str">
        <f>"УЛ СИБИРСКАЯ"</f>
        <v>УЛ СИБИРСКАЯ</v>
      </c>
      <c r="U1049" s="1" t="str">
        <f>"55"</f>
        <v>55</v>
      </c>
      <c r="V1049" s="1" t="str">
        <f>""</f>
        <v/>
      </c>
      <c r="W1049" s="1" t="str">
        <f>""</f>
        <v/>
      </c>
      <c r="X1049" s="1" t="str">
        <f>""</f>
        <v/>
      </c>
      <c r="Y1049" s="1" t="str">
        <f>"88"</f>
        <v>88</v>
      </c>
      <c r="Z1049" t="str">
        <f>""</f>
        <v/>
      </c>
      <c r="AA1049" t="str">
        <f>"9320960615"</f>
        <v>9320960615</v>
      </c>
      <c r="AB1049" t="str">
        <f>"9320960615"</f>
        <v>9320960615</v>
      </c>
      <c r="AC1049" t="str">
        <f>"9519925473"</f>
        <v>9519925473</v>
      </c>
      <c r="AD1049" t="str">
        <f>"9320960615"</f>
        <v>9320960615</v>
      </c>
      <c r="AE1049" t="str">
        <f>""</f>
        <v/>
      </c>
    </row>
    <row r="1050" spans="1:31" x14ac:dyDescent="0.45">
      <c r="A1050" t="str">
        <f>"ОРЛОВ МИХАИЛ МИХАЙЛОВИЧ"</f>
        <v>ОРЛОВ МИХАИЛ МИХАЙЛОВИЧ</v>
      </c>
      <c r="B1050" t="str">
        <f>"1982-01-01"</f>
        <v>1982-01-01</v>
      </c>
      <c r="C1050" t="str">
        <f>"71 03 889544"</f>
        <v>71 03 889544</v>
      </c>
      <c r="D1050" t="str">
        <f>"4276016719272044"</f>
        <v>4276016719272044</v>
      </c>
      <c r="E1050" t="str">
        <f>"2021-05-31"</f>
        <v>2021-05-31</v>
      </c>
      <c r="F1050" t="str">
        <f>"Q"</f>
        <v>Q</v>
      </c>
      <c r="G1050" t="str">
        <f>"Q"</f>
        <v>Q</v>
      </c>
      <c r="H1050" t="str">
        <f>"40817810816992270299"</f>
        <v>40817810816992270299</v>
      </c>
      <c r="I1050" t="str">
        <f>"8647"</f>
        <v>8647</v>
      </c>
      <c r="J1050" t="str">
        <f>"0174"</f>
        <v>0174</v>
      </c>
      <c r="K1050" t="str">
        <f>"0.00"</f>
        <v>0.00</v>
      </c>
      <c r="L1050" t="str">
        <f>"625031 ОБЛ ТЮМЕНСКАЯ   Г ТЮМЕНЬ   УЛ ВЕТЕРАНОВ ТРУДА д. 46 стр. 2"</f>
        <v>625031 ОБЛ ТЮМЕНСКАЯ   Г ТЮМЕНЬ   УЛ ВЕТЕРАНОВ ТРУДА д. 46 стр. 2</v>
      </c>
      <c r="M1050" t="str">
        <f t="shared" si="165"/>
        <v>2019-08-24</v>
      </c>
      <c r="N1050" t="str">
        <f>"МПКФ АЛЬКОР"</f>
        <v>МПКФ АЛЬКОР</v>
      </c>
      <c r="O1050" t="str">
        <f>"626036"</f>
        <v>626036</v>
      </c>
      <c r="P1050" t="str">
        <f>"ОБЛ ТЮМЕНСКАЯ"</f>
        <v>ОБЛ ТЮМЕНСКАЯ</v>
      </c>
      <c r="Q1050" t="str">
        <f>"Р-Н НИЖНЕТАВДИНСКИЙ"</f>
        <v>Р-Н НИЖНЕТАВДИНСКИЙ</v>
      </c>
      <c r="R1050" t="str">
        <f>""</f>
        <v/>
      </c>
      <c r="S1050" t="str">
        <f>"Д НОВОПОКРОВКА"</f>
        <v>Д НОВОПОКРОВКА</v>
      </c>
      <c r="T1050" t="str">
        <f>"УЛ КОРОТЧАЕВА"</f>
        <v>УЛ КОРОТЧАЕВА</v>
      </c>
      <c r="U1050" s="1" t="str">
        <f>"3"</f>
        <v>3</v>
      </c>
      <c r="V1050" s="1" t="str">
        <f>""</f>
        <v/>
      </c>
      <c r="W1050" s="1" t="str">
        <f>""</f>
        <v/>
      </c>
      <c r="X1050" s="1" t="str">
        <f>""</f>
        <v/>
      </c>
      <c r="Y1050" s="1" t="str">
        <f>"1"</f>
        <v>1</v>
      </c>
      <c r="Z1050" t="str">
        <f>"3452471144"</f>
        <v>3452471144</v>
      </c>
      <c r="AA1050" t="str">
        <f>"9829160008"</f>
        <v>9829160008</v>
      </c>
      <c r="AB1050" t="str">
        <f>"9199297053"</f>
        <v>9199297053</v>
      </c>
      <c r="AC1050" t="str">
        <f>"9829160008"</f>
        <v>9829160008</v>
      </c>
      <c r="AD1050" t="str">
        <f>"9199297053"</f>
        <v>9199297053</v>
      </c>
      <c r="AE1050" t="str">
        <f>"3452471144"</f>
        <v>3452471144</v>
      </c>
    </row>
    <row r="1051" spans="1:31" x14ac:dyDescent="0.45">
      <c r="A1051" t="str">
        <f>"СЕНАТОРОВ ВЛАДИМИР ЮРЬЕВИЧ"</f>
        <v>СЕНАТОРОВ ВЛАДИМИР ЮРЬЕВИЧ</v>
      </c>
      <c r="B1051" t="str">
        <f>"1960-06-01"</f>
        <v>1960-06-01</v>
      </c>
      <c r="C1051" t="str">
        <f>"75 05 905172"</f>
        <v>75 05 905172</v>
      </c>
      <c r="D1051" t="str">
        <f>"5313100322871285"</f>
        <v>5313100322871285</v>
      </c>
      <c r="E1051" t="str">
        <f>"2020-11-30"</f>
        <v>2020-11-30</v>
      </c>
      <c r="F1051" t="str">
        <f>"Z"</f>
        <v>Z</v>
      </c>
      <c r="G1051" t="str">
        <f>"W"</f>
        <v>W</v>
      </c>
      <c r="H1051" t="str">
        <f>"40817810616991428255"</f>
        <v>40817810616991428255</v>
      </c>
      <c r="I1051" t="str">
        <f>"8597"</f>
        <v>8597</v>
      </c>
      <c r="J1051" t="str">
        <f>"0233"</f>
        <v>0233</v>
      </c>
      <c r="K1051" t="str">
        <f>"9974.65"</f>
        <v>9974.65</v>
      </c>
      <c r="L1051" t="str">
        <f>"454000 ОБЛ ЧЕЛЯБИНСКАЯ   Г ЧЕЛЯБИНСК   УЛ ОБУХОВА д. 1"</f>
        <v>454000 ОБЛ ЧЕЛЯБИНСКАЯ   Г ЧЕЛЯБИНСК   УЛ ОБУХОВА д. 1</v>
      </c>
      <c r="M1051" t="str">
        <f t="shared" si="165"/>
        <v>2019-08-24</v>
      </c>
      <c r="N1051" t="s">
        <v>74</v>
      </c>
      <c r="O1051" t="str">
        <f>"454000"</f>
        <v>454000</v>
      </c>
      <c r="P1051" t="str">
        <f>"ОБЛ ЧЕЛЯБИНСКАЯ"</f>
        <v>ОБЛ ЧЕЛЯБИНСКАЯ</v>
      </c>
      <c r="Q1051" t="str">
        <f>""</f>
        <v/>
      </c>
      <c r="R1051" t="str">
        <f>"Г ЧЕЛЯБИНСК"</f>
        <v>Г ЧЕЛЯБИНСК</v>
      </c>
      <c r="S1051" t="str">
        <f>""</f>
        <v/>
      </c>
      <c r="T1051" t="str">
        <f>"УЛ БОГДАНА ХМЕЛЬНИЦКОГО"</f>
        <v>УЛ БОГДАНА ХМЕЛЬНИЦКОГО</v>
      </c>
      <c r="U1051" s="1" t="str">
        <f>"11"</f>
        <v>11</v>
      </c>
      <c r="V1051" s="1" t="str">
        <f>""</f>
        <v/>
      </c>
      <c r="W1051" s="1" t="str">
        <f>""</f>
        <v/>
      </c>
      <c r="X1051" s="1" t="str">
        <f>""</f>
        <v/>
      </c>
      <c r="Y1051" s="1" t="str">
        <f>"93"</f>
        <v>93</v>
      </c>
      <c r="Z1051" t="str">
        <f>""</f>
        <v/>
      </c>
      <c r="AA1051" t="str">
        <f>"9068628530"</f>
        <v>9068628530</v>
      </c>
      <c r="AB1051" t="str">
        <f>"9068628530"</f>
        <v>9068628530</v>
      </c>
      <c r="AC1051" t="str">
        <f>"9068628530"</f>
        <v>9068628530</v>
      </c>
      <c r="AD1051" t="str">
        <f>"9068628530"</f>
        <v>9068628530</v>
      </c>
      <c r="AE1051" t="str">
        <f>""</f>
        <v/>
      </c>
    </row>
    <row r="1052" spans="1:31" x14ac:dyDescent="0.45">
      <c r="A1052" t="str">
        <f>"СКИБА ИЛЬЯ ВЛАДИМИРОВИЧ"</f>
        <v>СКИБА ИЛЬЯ ВЛАДИМИРОВИЧ</v>
      </c>
      <c r="B1052" t="str">
        <f>"1986-09-11"</f>
        <v>1986-09-11</v>
      </c>
      <c r="C1052" t="str">
        <f>"67 06 683625"</f>
        <v>67 06 683625</v>
      </c>
      <c r="D1052" t="str">
        <f>"4854630378143690"</f>
        <v>4854630378143690</v>
      </c>
      <c r="E1052" t="str">
        <f>"2021-04-30"</f>
        <v>2021-04-30</v>
      </c>
      <c r="F1052" t="str">
        <f t="shared" ref="F1052:G1055" si="168">"+"</f>
        <v>+</v>
      </c>
      <c r="G1052" t="str">
        <f t="shared" si="168"/>
        <v>+</v>
      </c>
      <c r="H1052" t="str">
        <f>"40817810016992352810"</f>
        <v>40817810016992352810</v>
      </c>
      <c r="I1052" t="str">
        <f>"5940"</f>
        <v>5940</v>
      </c>
      <c r="J1052" t="str">
        <f>"0100"</f>
        <v>0100</v>
      </c>
      <c r="K1052" t="str">
        <f>"100000.00"</f>
        <v>100000.00</v>
      </c>
      <c r="L1052" t="str">
        <f>"628300 ОБЛ ТЮМЕНСКАЯ   Г НЕФТЕЮГАНСК   МКР 2 стр. 0"</f>
        <v>628300 ОБЛ ТЮМЕНСКАЯ   Г НЕФТЕЮГАНСК   МКР 2 стр. 0</v>
      </c>
      <c r="M1052" t="str">
        <f t="shared" si="165"/>
        <v>2019-08-24</v>
      </c>
      <c r="N1052" t="str">
        <f>"ООО РН-ЮГАНСКНЕФТЕГАЗ"</f>
        <v>ООО РН-ЮГАНСКНЕФТЕГАЗ</v>
      </c>
      <c r="O1052" t="str">
        <f>"628300"</f>
        <v>628300</v>
      </c>
      <c r="P1052" t="str">
        <f>"ОБЛ ТЮМЕНСКАЯ"</f>
        <v>ОБЛ ТЮМЕНСКАЯ</v>
      </c>
      <c r="Q1052" t="str">
        <f>""</f>
        <v/>
      </c>
      <c r="R1052" t="str">
        <f>"Г НЕФТЕЮГАНСК"</f>
        <v>Г НЕФТЕЮГАНСК</v>
      </c>
      <c r="S1052" t="str">
        <f>""</f>
        <v/>
      </c>
      <c r="T1052" t="str">
        <f>"МКР 12"</f>
        <v>МКР 12</v>
      </c>
      <c r="U1052" s="1" t="str">
        <f>"43"</f>
        <v>43</v>
      </c>
      <c r="V1052" s="1" t="str">
        <f>""</f>
        <v/>
      </c>
      <c r="W1052" s="1" t="str">
        <f>""</f>
        <v/>
      </c>
      <c r="X1052" s="1" t="str">
        <f>""</f>
        <v/>
      </c>
      <c r="Y1052" s="1" t="str">
        <f>"30"</f>
        <v>30</v>
      </c>
      <c r="Z1052" t="str">
        <f>""</f>
        <v/>
      </c>
      <c r="AA1052" t="str">
        <f>"9821497568"</f>
        <v>9821497568</v>
      </c>
      <c r="AB1052" t="str">
        <f>"9125140004"</f>
        <v>9125140004</v>
      </c>
      <c r="AC1052" t="str">
        <f>"9821497568"</f>
        <v>9821497568</v>
      </c>
      <c r="AD1052" t="str">
        <f>"9125140004"</f>
        <v>9125140004</v>
      </c>
      <c r="AE1052" t="str">
        <f>""</f>
        <v/>
      </c>
    </row>
    <row r="1053" spans="1:31" x14ac:dyDescent="0.45">
      <c r="A1053" t="str">
        <f>"ПРИЙМЕНКО ЕЛЕНА ИВАНОВНА"</f>
        <v>ПРИЙМЕНКО ЕЛЕНА ИВАНОВНА</v>
      </c>
      <c r="B1053" t="str">
        <f>"1960-09-04"</f>
        <v>1960-09-04</v>
      </c>
      <c r="C1053" t="str">
        <f>"74 06 591229"</f>
        <v>74 06 591229</v>
      </c>
      <c r="D1053" t="str">
        <f>"4854630215399992"</f>
        <v>4854630215399992</v>
      </c>
      <c r="E1053" t="str">
        <f>"2021-04-30"</f>
        <v>2021-04-30</v>
      </c>
      <c r="F1053" t="str">
        <f t="shared" si="168"/>
        <v>+</v>
      </c>
      <c r="G1053" t="str">
        <f t="shared" si="168"/>
        <v>+</v>
      </c>
      <c r="H1053" t="str">
        <f>"40817810416992244463"</f>
        <v>40817810416992244463</v>
      </c>
      <c r="I1053" t="str">
        <f>"8369"</f>
        <v>8369</v>
      </c>
      <c r="J1053" t="str">
        <f>"0058"</f>
        <v>0058</v>
      </c>
      <c r="K1053" t="str">
        <f>"67000.00"</f>
        <v>67000.00</v>
      </c>
      <c r="L1053" t="str">
        <f>"629757 ОБЛ ТЮМЕНСКАЯ Р-Н НАДЫМСКИЙ   П ПАНГОДЫ УЛ ЛЕНИНА д. 9"</f>
        <v>629757 ОБЛ ТЮМЕНСКАЯ Р-Н НАДЫМСКИЙ   П ПАНГОДЫ УЛ ЛЕНИНА д. 9</v>
      </c>
      <c r="M1053" t="str">
        <f t="shared" si="165"/>
        <v>2019-08-24</v>
      </c>
      <c r="N1053" t="str">
        <f>"МУЗ ПАНГОДИНСКАЯ УЧАСТКОВАЯ БОЛЬНИЦА"</f>
        <v>МУЗ ПАНГОДИНСКАЯ УЧАСТКОВАЯ БОЛЬНИЦА</v>
      </c>
      <c r="O1053" t="str">
        <f>"629757"</f>
        <v>629757</v>
      </c>
      <c r="P1053" t="str">
        <f>"ОБЛ ТЮМЕНСКАЯ"</f>
        <v>ОБЛ ТЮМЕНСКАЯ</v>
      </c>
      <c r="Q1053" t="str">
        <f>"Р-Н НАДЫМСКИЙ"</f>
        <v>Р-Н НАДЫМСКИЙ</v>
      </c>
      <c r="R1053" t="str">
        <f>""</f>
        <v/>
      </c>
      <c r="S1053" t="str">
        <f>"П ПАНГОДЫ"</f>
        <v>П ПАНГОДЫ</v>
      </c>
      <c r="T1053" t="str">
        <f>"УЛ ЗВЕЗДНАЯ"</f>
        <v>УЛ ЗВЕЗДНАЯ</v>
      </c>
      <c r="U1053" s="1" t="str">
        <f>"20"</f>
        <v>20</v>
      </c>
      <c r="V1053" s="1" t="str">
        <f>""</f>
        <v/>
      </c>
      <c r="W1053" s="1" t="str">
        <f>""</f>
        <v/>
      </c>
      <c r="X1053" s="1" t="str">
        <f>""</f>
        <v/>
      </c>
      <c r="Y1053" s="1" t="str">
        <f>"39"</f>
        <v>39</v>
      </c>
      <c r="Z1053" t="str">
        <f>"3499529151"</f>
        <v>3499529151</v>
      </c>
      <c r="AA1053" t="str">
        <f>"3499562460"</f>
        <v>3499562460</v>
      </c>
      <c r="AB1053" t="str">
        <f>"9088543640"</f>
        <v>9088543640</v>
      </c>
      <c r="AC1053" t="str">
        <f>"3499562460"</f>
        <v>3499562460</v>
      </c>
      <c r="AD1053" t="str">
        <f>"9088543640"</f>
        <v>9088543640</v>
      </c>
      <c r="AE1053" t="str">
        <f>"3499529151"</f>
        <v>3499529151</v>
      </c>
    </row>
    <row r="1054" spans="1:31" x14ac:dyDescent="0.45">
      <c r="A1054" t="str">
        <f>"МАСЛЕННИКОВА ОКСАНА АНАТОЛЬЕВНА"</f>
        <v>МАСЛЕННИКОВА ОКСАНА АНАТОЛЬЕВНА</v>
      </c>
      <c r="B1054" t="str">
        <f>"1969-08-08"</f>
        <v>1969-08-08</v>
      </c>
      <c r="C1054" t="str">
        <f>"75 14 518212"</f>
        <v>75 14 518212</v>
      </c>
      <c r="D1054" t="str">
        <f>"4854630016892963"</f>
        <v>4854630016892963</v>
      </c>
      <c r="E1054" t="str">
        <f>"2020-11-30"</f>
        <v>2020-11-30</v>
      </c>
      <c r="F1054" t="str">
        <f t="shared" si="168"/>
        <v>+</v>
      </c>
      <c r="G1054" t="str">
        <f t="shared" si="168"/>
        <v>+</v>
      </c>
      <c r="H1054" t="str">
        <f>"40817810116991428276"</f>
        <v>40817810116991428276</v>
      </c>
      <c r="I1054" t="str">
        <f>"8597"</f>
        <v>8597</v>
      </c>
      <c r="J1054" t="str">
        <f>"0216"</f>
        <v>0216</v>
      </c>
      <c r="K1054" t="str">
        <f>"50000.00"</f>
        <v>50000.00</v>
      </c>
      <c r="L1054" t="str">
        <f>"454000 ОБЛ ЧЕЛЯБИНСКАЯ   Г ЧЕЛЯБИНСК   УЛ 3-ГО ИНТЕРНАЦИОНАЛА д. 130"</f>
        <v>454000 ОБЛ ЧЕЛЯБИНСКАЯ   Г ЧЕЛЯБИНСК   УЛ 3-ГО ИНТЕРНАЦИОНАЛА д. 130</v>
      </c>
      <c r="M1054" t="str">
        <f t="shared" si="165"/>
        <v>2019-08-24</v>
      </c>
      <c r="N1054" t="str">
        <f>"ООО МЕДИЦИНСКИЙ ЦЕНТР СЕМЕЙНЫЙ ДОКТОР"</f>
        <v>ООО МЕДИЦИНСКИЙ ЦЕНТР СЕМЕЙНЫЙ ДОКТОР</v>
      </c>
      <c r="O1054" t="str">
        <f>"454000"</f>
        <v>454000</v>
      </c>
      <c r="P1054" t="str">
        <f>"ОБЛ ЧЕЛЯБИНСКАЯ"</f>
        <v>ОБЛ ЧЕЛЯБИНСКАЯ</v>
      </c>
      <c r="Q1054" t="str">
        <f>""</f>
        <v/>
      </c>
      <c r="R1054" t="str">
        <f>"Г ЧЕЛЯБИНСК"</f>
        <v>Г ЧЕЛЯБИНСК</v>
      </c>
      <c r="S1054" t="str">
        <f>""</f>
        <v/>
      </c>
      <c r="T1054" t="str">
        <f>"ПР-КТ КОМСОМОЛЬСКИЙ"</f>
        <v>ПР-КТ КОМСОМОЛЬСКИЙ</v>
      </c>
      <c r="U1054" s="1" t="str">
        <f>"78"</f>
        <v>78</v>
      </c>
      <c r="V1054" s="1" t="str">
        <f>""</f>
        <v/>
      </c>
      <c r="W1054" s="1" t="str">
        <f>""</f>
        <v/>
      </c>
      <c r="X1054" s="1" t="str">
        <f>""</f>
        <v/>
      </c>
      <c r="Y1054" s="1" t="str">
        <f>"13"</f>
        <v>13</v>
      </c>
      <c r="Z1054" t="str">
        <f>""</f>
        <v/>
      </c>
      <c r="AA1054" t="str">
        <f>"9058304370"</f>
        <v>9058304370</v>
      </c>
      <c r="AB1054" t="str">
        <f>"9058304370"</f>
        <v>9058304370</v>
      </c>
      <c r="AC1054" t="str">
        <f>"9058304370"</f>
        <v>9058304370</v>
      </c>
      <c r="AD1054" t="str">
        <f>"9058304370"</f>
        <v>9058304370</v>
      </c>
      <c r="AE1054" t="str">
        <f>""</f>
        <v/>
      </c>
    </row>
    <row r="1055" spans="1:31" x14ac:dyDescent="0.45">
      <c r="A1055" t="str">
        <f>"ШИНЕЛЬКО ВАДИМ МИХАЙЛОВИЧ"</f>
        <v>ШИНЕЛЬКО ВАДИМ МИХАЙЛОВИЧ</v>
      </c>
      <c r="B1055" t="str">
        <f>"1975-09-18"</f>
        <v>1975-09-18</v>
      </c>
      <c r="C1055" t="str">
        <f>"65 02 008606"</f>
        <v>65 02 008606</v>
      </c>
      <c r="D1055" t="str">
        <f>"4854630230055868"</f>
        <v>4854630230055868</v>
      </c>
      <c r="E1055" t="str">
        <f>"2021-04-30"</f>
        <v>2021-04-30</v>
      </c>
      <c r="F1055" t="str">
        <f t="shared" si="168"/>
        <v>+</v>
      </c>
      <c r="G1055" t="str">
        <f t="shared" si="168"/>
        <v>+</v>
      </c>
      <c r="H1055" t="str">
        <f>"40817810416991428277"</f>
        <v>40817810416991428277</v>
      </c>
      <c r="I1055" t="str">
        <f>"7003"</f>
        <v>7003</v>
      </c>
      <c r="J1055" t="str">
        <f>"0809"</f>
        <v>0809</v>
      </c>
      <c r="K1055" t="str">
        <f>"10000.00"</f>
        <v>10000.00</v>
      </c>
      <c r="L1055" t="str">
        <f>"624760 ОБЛ СВЕРДЛОВСКАЯ   Г ВЕРХНЯЯ САЛДА   УЛ ПАРКОВАЯ д. 1"</f>
        <v>624760 ОБЛ СВЕРДЛОВСКАЯ   Г ВЕРХНЯЯ САЛДА   УЛ ПАРКОВАЯ д. 1</v>
      </c>
      <c r="M1055" t="str">
        <f t="shared" si="165"/>
        <v>2019-08-24</v>
      </c>
      <c r="N1055" t="str">
        <f>"ВСМПО-АВИСМА"</f>
        <v>ВСМПО-АВИСМА</v>
      </c>
      <c r="O1055" t="str">
        <f>"620000"</f>
        <v>620000</v>
      </c>
      <c r="P1055" t="str">
        <f>"ОБЛ СВЕРДЛОВСКАЯ"</f>
        <v>ОБЛ СВЕРДЛОВСКАЯ</v>
      </c>
      <c r="Q1055" t="str">
        <f>""</f>
        <v/>
      </c>
      <c r="R1055" t="str">
        <f>"Г В САЛДА"</f>
        <v>Г В САЛДА</v>
      </c>
      <c r="S1055" t="str">
        <f>""</f>
        <v/>
      </c>
      <c r="T1055" t="str">
        <f>"УЛ ВОРОНОВА"</f>
        <v>УЛ ВОРОНОВА</v>
      </c>
      <c r="U1055" s="1" t="str">
        <f>"2"</f>
        <v>2</v>
      </c>
      <c r="V1055" s="1" t="str">
        <f>""</f>
        <v/>
      </c>
      <c r="W1055" s="1" t="str">
        <f>"1"</f>
        <v>1</v>
      </c>
      <c r="X1055" s="1" t="str">
        <f>""</f>
        <v/>
      </c>
      <c r="Y1055" s="1" t="str">
        <f>"103"</f>
        <v>103</v>
      </c>
      <c r="Z1055" t="str">
        <f>"3434569075"</f>
        <v>3434569075</v>
      </c>
      <c r="AA1055" t="str">
        <f>"3434569075"</f>
        <v>3434569075</v>
      </c>
      <c r="AB1055" t="str">
        <f>"9049800745"</f>
        <v>9049800745</v>
      </c>
      <c r="AC1055" t="str">
        <f>"3434569075"</f>
        <v>3434569075</v>
      </c>
      <c r="AD1055" t="str">
        <f>"9049800745"</f>
        <v>9049800745</v>
      </c>
      <c r="AE1055" t="str">
        <f>"3434569075"</f>
        <v>3434569075</v>
      </c>
    </row>
    <row r="1056" spans="1:31" x14ac:dyDescent="0.45">
      <c r="A1056" t="str">
        <f>"РАДЧЕНКО ИРИНА АЛЕКСАНДРОВНА"</f>
        <v>РАДЧЕНКО ИРИНА АЛЕКСАНДРОВНА</v>
      </c>
      <c r="B1056" t="str">
        <f>"1971-09-02"</f>
        <v>1971-09-02</v>
      </c>
      <c r="C1056" t="str">
        <f>"65 16 303040"</f>
        <v>65 16 303040</v>
      </c>
      <c r="D1056" t="str">
        <f>"4854630215154942"</f>
        <v>4854630215154942</v>
      </c>
      <c r="E1056" t="str">
        <f>"2021-04-30"</f>
        <v>2021-04-30</v>
      </c>
      <c r="F1056" t="str">
        <f>"Q"</f>
        <v>Q</v>
      </c>
      <c r="G1056" t="str">
        <f>"Q"</f>
        <v>Q</v>
      </c>
      <c r="H1056" t="str">
        <f>"40817810116991428292"</f>
        <v>40817810116991428292</v>
      </c>
      <c r="I1056" t="str">
        <f>"7003"</f>
        <v>7003</v>
      </c>
      <c r="J1056" t="str">
        <f>"0346"</f>
        <v>0346</v>
      </c>
      <c r="K1056" t="str">
        <f>"0.00"</f>
        <v>0.00</v>
      </c>
      <c r="L1056" t="str">
        <f>"620014 ОБЛ СВЕРДЛОВСКАЯ   Г ЕКАТЕРИНБУРГ   УЛ ВАЙНЕРА д. 9А"</f>
        <v>620014 ОБЛ СВЕРДЛОВСКАЯ   Г ЕКАТЕРИНБУРГ   УЛ ВАЙНЕРА д. 9А</v>
      </c>
      <c r="M1056" t="str">
        <f t="shared" si="165"/>
        <v>2019-08-24</v>
      </c>
      <c r="N1056" t="str">
        <f>"МКУ БО СПОРТ"</f>
        <v>МКУ БО СПОРТ</v>
      </c>
      <c r="O1056" t="str">
        <f>"620000"</f>
        <v>620000</v>
      </c>
      <c r="P1056" t="str">
        <f>"ОБЛ СВЕРДЛОВСКАЯ"</f>
        <v>ОБЛ СВЕРДЛОВСКАЯ</v>
      </c>
      <c r="Q1056" t="str">
        <f>""</f>
        <v/>
      </c>
      <c r="R1056" t="str">
        <f>"Г ПЕРВОУРАЛЬСК"</f>
        <v>Г ПЕРВОУРАЛЬСК</v>
      </c>
      <c r="S1056" t="str">
        <f>""</f>
        <v/>
      </c>
      <c r="T1056" t="str">
        <f>"ПЕР КУТУЗОВА"</f>
        <v>ПЕР КУТУЗОВА</v>
      </c>
      <c r="U1056" s="1" t="str">
        <f>"74"</f>
        <v>74</v>
      </c>
      <c r="V1056" s="1" t="str">
        <f>""</f>
        <v/>
      </c>
      <c r="W1056" s="1" t="str">
        <f>""</f>
        <v/>
      </c>
      <c r="X1056" s="1" t="str">
        <f>""</f>
        <v/>
      </c>
      <c r="Y1056" s="1" t="str">
        <f>""</f>
        <v/>
      </c>
      <c r="Z1056" t="str">
        <f>""</f>
        <v/>
      </c>
      <c r="AA1056" t="str">
        <f>"9089237231"</f>
        <v>9089237231</v>
      </c>
      <c r="AB1056" t="str">
        <f>"9089237231"</f>
        <v>9089237231</v>
      </c>
      <c r="AC1056" t="str">
        <f>"9089237231"</f>
        <v>9089237231</v>
      </c>
      <c r="AD1056" t="str">
        <f>"9089237231"</f>
        <v>9089237231</v>
      </c>
      <c r="AE1056" t="str">
        <f>""</f>
        <v/>
      </c>
    </row>
    <row r="1057" spans="1:31" x14ac:dyDescent="0.45">
      <c r="A1057" t="str">
        <f>"ВОЛОХОВА ТАТЬЯНА ВЛАДИМИРОВНА"</f>
        <v>ВОЛОХОВА ТАТЬЯНА ВЛАДИМИРОВНА</v>
      </c>
      <c r="B1057" t="str">
        <f>"1980-03-24"</f>
        <v>1980-03-24</v>
      </c>
      <c r="C1057" t="str">
        <f>"74 16 938701"</f>
        <v>74 16 938701</v>
      </c>
      <c r="D1057" t="str">
        <f>"4854630374916354"</f>
        <v>4854630374916354</v>
      </c>
      <c r="E1057" t="str">
        <f>"2021-04-30"</f>
        <v>2021-04-30</v>
      </c>
      <c r="F1057" t="str">
        <f>"Q"</f>
        <v>Q</v>
      </c>
      <c r="G1057" t="str">
        <f>"Q"</f>
        <v>Q</v>
      </c>
      <c r="H1057" t="str">
        <f>"40817810767720699011"</f>
        <v>40817810767720699011</v>
      </c>
      <c r="I1057" t="str">
        <f>"8369"</f>
        <v>8369</v>
      </c>
      <c r="J1057" t="str">
        <f>"0022"</f>
        <v>0022</v>
      </c>
      <c r="K1057" t="str">
        <f>"0.00"</f>
        <v>0.00</v>
      </c>
      <c r="L1057" t="str">
        <f>"629800 ОБЛ ТЮМЕНСКАЯ АО ЯМАЛО-НЕНЕЦКИЙ Г НОЯБРЬСК   УЛ ПРОМЗОНА ПАНЕЛЬ д. 16"</f>
        <v>629800 ОБЛ ТЮМЕНСКАЯ АО ЯМАЛО-НЕНЕЦКИЙ Г НОЯБРЬСК   УЛ ПРОМЗОНА ПАНЕЛЬ д. 16</v>
      </c>
      <c r="M1057" t="str">
        <f t="shared" si="165"/>
        <v>2019-08-24</v>
      </c>
      <c r="N1057" t="str">
        <f>"ЯМАЛ СПАС"</f>
        <v>ЯМАЛ СПАС</v>
      </c>
      <c r="O1057" t="str">
        <f>"629800"</f>
        <v>629800</v>
      </c>
      <c r="P1057" t="str">
        <f>"ОБЛ ТЮМЕНСКАЯ"</f>
        <v>ОБЛ ТЮМЕНСКАЯ</v>
      </c>
      <c r="Q1057" t="str">
        <f>"АО ЯМАЛО-НЕНЕЦКИЙ"</f>
        <v>АО ЯМАЛО-НЕНЕЦКИЙ</v>
      </c>
      <c r="R1057" t="str">
        <f>"Г НОЯБРЬСК"</f>
        <v>Г НОЯБРЬСК</v>
      </c>
      <c r="S1057" t="str">
        <f>""</f>
        <v/>
      </c>
      <c r="T1057" t="str">
        <f>"УЛ 8 МАРТА"</f>
        <v>УЛ 8 МАРТА</v>
      </c>
      <c r="U1057" s="1" t="str">
        <f>"8"</f>
        <v>8</v>
      </c>
      <c r="V1057" s="1" t="str">
        <f>""</f>
        <v/>
      </c>
      <c r="W1057" s="1" t="str">
        <f>""</f>
        <v/>
      </c>
      <c r="X1057" s="1" t="str">
        <f>""</f>
        <v/>
      </c>
      <c r="Y1057" s="1" t="str">
        <f>"54"</f>
        <v>54</v>
      </c>
      <c r="Z1057" t="str">
        <f>"3496343180"</f>
        <v>3496343180</v>
      </c>
      <c r="AA1057" t="str">
        <f>"9224601333"</f>
        <v>9224601333</v>
      </c>
      <c r="AB1057" t="str">
        <f>"9222846265"</f>
        <v>9222846265</v>
      </c>
      <c r="AC1057" t="str">
        <f>"9224601333"</f>
        <v>9224601333</v>
      </c>
      <c r="AD1057" t="str">
        <f>"9222846265"</f>
        <v>9222846265</v>
      </c>
      <c r="AE1057" t="str">
        <f>"3496343180"</f>
        <v>3496343180</v>
      </c>
    </row>
    <row r="1058" spans="1:31" x14ac:dyDescent="0.45">
      <c r="A1058" t="str">
        <f>"ВЕДЕНКИНА ЛИЛИЯ ВАСИЛЬЕВНА"</f>
        <v>ВЕДЕНКИНА ЛИЛИЯ ВАСИЛЬЕВНА</v>
      </c>
      <c r="B1058" t="str">
        <f>"1956-10-17"</f>
        <v>1956-10-17</v>
      </c>
      <c r="C1058" t="str">
        <f>"75 00 931082"</f>
        <v>75 00 931082</v>
      </c>
      <c r="D1058" t="str">
        <f>"4276011640683906"</f>
        <v>4276011640683906</v>
      </c>
      <c r="E1058" t="str">
        <f>"2021-11-30"</f>
        <v>2021-11-30</v>
      </c>
      <c r="F1058" t="str">
        <f t="shared" ref="F1058:G1066" si="169">"+"</f>
        <v>+</v>
      </c>
      <c r="G1058" t="str">
        <f t="shared" si="169"/>
        <v>+</v>
      </c>
      <c r="H1058" t="str">
        <f>"40817810716991428320"</f>
        <v>40817810716991428320</v>
      </c>
      <c r="I1058" t="str">
        <f>"8597"</f>
        <v>8597</v>
      </c>
      <c r="J1058" t="str">
        <f>"0273"</f>
        <v>0273</v>
      </c>
      <c r="K1058" t="str">
        <f>"15000.00"</f>
        <v>15000.00</v>
      </c>
      <c r="L1058" t="str">
        <f>"454000 ОБЛ ЧЕЛЯБИНСКАЯ Р-Н СОСНОВСКИЙ   П РОЩИНО УЛ ЛЕНИНА д. 8 кв. 32"</f>
        <v>454000 ОБЛ ЧЕЛЯБИНСКАЯ Р-Н СОСНОВСКИЙ   П РОЩИНО УЛ ЛЕНИНА д. 8 кв. 32</v>
      </c>
      <c r="M1058" t="str">
        <f t="shared" si="165"/>
        <v>2019-08-24</v>
      </c>
      <c r="N1058" t="str">
        <f>"ПЕНСИОНЕР"</f>
        <v>ПЕНСИОНЕР</v>
      </c>
      <c r="O1058" t="str">
        <f>"454000"</f>
        <v>454000</v>
      </c>
      <c r="P1058" t="str">
        <f>"ОБЛ ЧЕЛЯБИНСКАЯ"</f>
        <v>ОБЛ ЧЕЛЯБИНСКАЯ</v>
      </c>
      <c r="Q1058" t="str">
        <f>"Р-Н СОСНОВСКИЙ"</f>
        <v>Р-Н СОСНОВСКИЙ</v>
      </c>
      <c r="R1058" t="str">
        <f>""</f>
        <v/>
      </c>
      <c r="S1058" t="str">
        <f>"П РОЩИНО"</f>
        <v>П РОЩИНО</v>
      </c>
      <c r="T1058" t="str">
        <f>"УЛ ЛЕНИНА"</f>
        <v>УЛ ЛЕНИНА</v>
      </c>
      <c r="U1058" s="1" t="str">
        <f>"8"</f>
        <v>8</v>
      </c>
      <c r="V1058" s="1" t="str">
        <f>""</f>
        <v/>
      </c>
      <c r="W1058" s="1" t="str">
        <f>""</f>
        <v/>
      </c>
      <c r="X1058" s="1" t="str">
        <f>""</f>
        <v/>
      </c>
      <c r="Y1058" s="1" t="str">
        <f>"32"</f>
        <v>32</v>
      </c>
      <c r="Z1058" t="str">
        <f>"9634730928"</f>
        <v>9634730928</v>
      </c>
      <c r="AA1058" t="str">
        <f>"9090855459"</f>
        <v>9090855459</v>
      </c>
      <c r="AB1058" t="str">
        <f>"9090855459"</f>
        <v>9090855459</v>
      </c>
      <c r="AC1058" t="str">
        <f>"9090855459"</f>
        <v>9090855459</v>
      </c>
      <c r="AD1058" t="str">
        <f>"9090855459"</f>
        <v>9090855459</v>
      </c>
      <c r="AE1058" t="str">
        <f>""</f>
        <v/>
      </c>
    </row>
    <row r="1059" spans="1:31" x14ac:dyDescent="0.45">
      <c r="A1059" t="str">
        <f>"ЦЁПА ИРИНА АНАТОЛЬЕВНА"</f>
        <v>ЦЁПА ИРИНА АНАТОЛЬЕВНА</v>
      </c>
      <c r="B1059" t="str">
        <f>"1968-07-20"</f>
        <v>1968-07-20</v>
      </c>
      <c r="C1059" t="str">
        <f>"74 13 834772"</f>
        <v>74 13 834772</v>
      </c>
      <c r="D1059" t="str">
        <f>"4854630214858931"</f>
        <v>4854630214858931</v>
      </c>
      <c r="E1059" t="str">
        <f>"2021-04-30"</f>
        <v>2021-04-30</v>
      </c>
      <c r="F1059" t="str">
        <f t="shared" si="169"/>
        <v>+</v>
      </c>
      <c r="G1059" t="str">
        <f t="shared" si="169"/>
        <v>+</v>
      </c>
      <c r="H1059" t="str">
        <f>"40817810816992246090"</f>
        <v>40817810816992246090</v>
      </c>
      <c r="I1059" t="str">
        <f>"8369"</f>
        <v>8369</v>
      </c>
      <c r="J1059" t="str">
        <f>"0050"</f>
        <v>0050</v>
      </c>
      <c r="K1059" t="str">
        <f>"215000.00"</f>
        <v>215000.00</v>
      </c>
      <c r="L1059" t="str">
        <f>"629730 ОБЛ ТЮМЕНСКАЯ   Г НАДЫМ   УЛ ТОПЧЕВА д. 1"</f>
        <v>629730 ОБЛ ТЮМЕНСКАЯ   Г НАДЫМ   УЛ ТОПЧЕВА д. 1</v>
      </c>
      <c r="M1059" t="str">
        <f t="shared" si="165"/>
        <v>2019-08-24</v>
      </c>
      <c r="N1059" t="str">
        <f>"ГАЗПРОМ ТРАНСГАЗ ЮГОРСК УТТ И СТ"</f>
        <v>ГАЗПРОМ ТРАНСГАЗ ЮГОРСК УТТ И СТ</v>
      </c>
      <c r="O1059" t="str">
        <f>"628730"</f>
        <v>628730</v>
      </c>
      <c r="P1059" t="str">
        <f>"ОБЛ ТЮМЕНСКАЯ"</f>
        <v>ОБЛ ТЮМЕНСКАЯ</v>
      </c>
      <c r="Q1059" t="str">
        <f>""</f>
        <v/>
      </c>
      <c r="R1059" t="str">
        <f>"Г НАДЫМ"</f>
        <v>Г НАДЫМ</v>
      </c>
      <c r="S1059" t="str">
        <f>""</f>
        <v/>
      </c>
      <c r="T1059" t="str">
        <f>"УЛ ЗАВОДСКАЯ"</f>
        <v>УЛ ЗАВОДСКАЯ</v>
      </c>
      <c r="U1059" s="1" t="str">
        <f>"6"</f>
        <v>6</v>
      </c>
      <c r="V1059" s="1" t="str">
        <f>""</f>
        <v/>
      </c>
      <c r="W1059" s="1" t="str">
        <f>""</f>
        <v/>
      </c>
      <c r="X1059" s="1" t="str">
        <f>""</f>
        <v/>
      </c>
      <c r="Y1059" s="1" t="str">
        <f>"70"</f>
        <v>70</v>
      </c>
      <c r="Z1059" t="str">
        <f>"3499516155"</f>
        <v>3499516155</v>
      </c>
      <c r="AA1059" t="str">
        <f>"9026263346"</f>
        <v>9026263346</v>
      </c>
      <c r="AB1059" t="str">
        <f>"9026263346"</f>
        <v>9026263346</v>
      </c>
      <c r="AC1059" t="str">
        <f>"9320548499"</f>
        <v>9320548499</v>
      </c>
      <c r="AD1059" t="str">
        <f>"9026263346"</f>
        <v>9026263346</v>
      </c>
      <c r="AE1059" t="str">
        <f>"3499516155"</f>
        <v>3499516155</v>
      </c>
    </row>
    <row r="1060" spans="1:31" x14ac:dyDescent="0.45">
      <c r="A1060" t="str">
        <f>"ЛАГУТКИНА АННА ВЛАДИМИРОВНА"</f>
        <v>ЛАГУТКИНА АННА ВЛАДИМИРОВНА</v>
      </c>
      <c r="B1060" t="str">
        <f>"1991-12-01"</f>
        <v>1991-12-01</v>
      </c>
      <c r="C1060" t="str">
        <f>"71 18 387497"</f>
        <v>71 18 387497</v>
      </c>
      <c r="D1060" t="str">
        <f>"4854630376325158"</f>
        <v>4854630376325158</v>
      </c>
      <c r="E1060" t="str">
        <f>"2021-04-30"</f>
        <v>2021-04-30</v>
      </c>
      <c r="F1060" t="str">
        <f t="shared" si="169"/>
        <v>+</v>
      </c>
      <c r="G1060" t="str">
        <f t="shared" si="169"/>
        <v>+</v>
      </c>
      <c r="H1060" t="str">
        <f>"40817810916992244772"</f>
        <v>40817810916992244772</v>
      </c>
      <c r="I1060" t="str">
        <f>"8647"</f>
        <v>8647</v>
      </c>
      <c r="J1060" t="str">
        <f>"0093"</f>
        <v>0093</v>
      </c>
      <c r="K1060" t="str">
        <f>"200000.00"</f>
        <v>200000.00</v>
      </c>
      <c r="L1060" t="str">
        <f>"625000 ОБЛ ТЮМЕНСКАЯ   Г ТЮМЕНЬ   УЛ СОВЕТСКАЯ д. 3"</f>
        <v>625000 ОБЛ ТЮМЕНСКАЯ   Г ТЮМЕНЬ   УЛ СОВЕТСКАЯ д. 3</v>
      </c>
      <c r="M1060" t="str">
        <f t="shared" si="165"/>
        <v>2019-08-24</v>
      </c>
      <c r="N1060" t="str">
        <f>"ООО ВНЕДРЕНЧЕСКИЙ ЦЕНТР ТЮМЕНЬ"</f>
        <v>ООО ВНЕДРЕНЧЕСКИЙ ЦЕНТР ТЮМЕНЬ</v>
      </c>
      <c r="O1060" t="str">
        <f>"625000"</f>
        <v>625000</v>
      </c>
      <c r="P1060" t="str">
        <f>"ОБЛ ТЮМЕНСКАЯ"</f>
        <v>ОБЛ ТЮМЕНСКАЯ</v>
      </c>
      <c r="Q1060" t="str">
        <f>""</f>
        <v/>
      </c>
      <c r="R1060" t="str">
        <f>"Г ПЫТЬ-ЯХ"</f>
        <v>Г ПЫТЬ-ЯХ</v>
      </c>
      <c r="S1060" t="str">
        <f>""</f>
        <v/>
      </c>
      <c r="T1060" t="str">
        <f>"УЛ МКР.2"</f>
        <v>УЛ МКР.2</v>
      </c>
      <c r="U1060" s="1" t="str">
        <f>"5"</f>
        <v>5</v>
      </c>
      <c r="V1060" s="1" t="str">
        <f>""</f>
        <v/>
      </c>
      <c r="W1060" s="1" t="str">
        <f>""</f>
        <v/>
      </c>
      <c r="X1060" s="1" t="str">
        <f>""</f>
        <v/>
      </c>
      <c r="Y1060" s="1" t="str">
        <f>"56"</f>
        <v>56</v>
      </c>
      <c r="Z1060" t="str">
        <f>""</f>
        <v/>
      </c>
      <c r="AA1060" t="str">
        <f>"9199258272"</f>
        <v>9199258272</v>
      </c>
      <c r="AB1060" t="str">
        <f>"9829221713"</f>
        <v>9829221713</v>
      </c>
      <c r="AC1060" t="str">
        <f>"9199258272"</f>
        <v>9199258272</v>
      </c>
      <c r="AD1060" t="str">
        <f>"9829221713"</f>
        <v>9829221713</v>
      </c>
      <c r="AE1060" t="str">
        <f>""</f>
        <v/>
      </c>
    </row>
    <row r="1061" spans="1:31" x14ac:dyDescent="0.45">
      <c r="A1061" t="str">
        <f>"ЛУНЕГОВА АЛЬБИНА АНАТОЛЬЕВНА"</f>
        <v>ЛУНЕГОВА АЛЬБИНА АНАТОЛЬЕВНА</v>
      </c>
      <c r="B1061" t="str">
        <f>"1959-06-08"</f>
        <v>1959-06-08</v>
      </c>
      <c r="C1061" t="str">
        <f>"71 04 202086"</f>
        <v>71 04 202086</v>
      </c>
      <c r="D1061" t="str">
        <f>"4854630396698832"</f>
        <v>4854630396698832</v>
      </c>
      <c r="E1061" t="str">
        <f>"2021-04-30"</f>
        <v>2021-04-30</v>
      </c>
      <c r="F1061" t="str">
        <f t="shared" si="169"/>
        <v>+</v>
      </c>
      <c r="G1061" t="str">
        <f t="shared" si="169"/>
        <v>+</v>
      </c>
      <c r="H1061" t="str">
        <f>"40817810716992352864"</f>
        <v>40817810716992352864</v>
      </c>
      <c r="I1061" t="str">
        <f>"8647"</f>
        <v>8647</v>
      </c>
      <c r="J1061" t="str">
        <f>"0056"</f>
        <v>0056</v>
      </c>
      <c r="K1061" t="str">
        <f>"14000.00"</f>
        <v>14000.00</v>
      </c>
      <c r="L1061" t="str">
        <f>"625000 ОБЛ ТЮМЕНСКАЯ   Г ТЮМЕНЬ   УЛ ЛЕНИНА д. 78"</f>
        <v>625000 ОБЛ ТЮМЕНСКАЯ   Г ТЮМЕНЬ   УЛ ЛЕНИНА д. 78</v>
      </c>
      <c r="M1061" t="str">
        <f t="shared" si="165"/>
        <v>2019-08-24</v>
      </c>
      <c r="N1061" t="str">
        <f>"ПЕНСИОНЕР"</f>
        <v>ПЕНСИОНЕР</v>
      </c>
      <c r="O1061" t="str">
        <f>"625000"</f>
        <v>625000</v>
      </c>
      <c r="P1061" t="str">
        <f>"ОБЛ ТЮМЕНСКАЯ"</f>
        <v>ОБЛ ТЮМЕНСКАЯ</v>
      </c>
      <c r="Q1061" t="str">
        <f>""</f>
        <v/>
      </c>
      <c r="R1061" t="str">
        <f>"Г ТЮМЕНЬ"</f>
        <v>Г ТЮМЕНЬ</v>
      </c>
      <c r="S1061" t="str">
        <f>""</f>
        <v/>
      </c>
      <c r="T1061" t="str">
        <f>"УЛ КУЙБЫШЕВА"</f>
        <v>УЛ КУЙБЫШЕВА</v>
      </c>
      <c r="U1061" s="1" t="str">
        <f>"94"</f>
        <v>94</v>
      </c>
      <c r="V1061" s="1" t="str">
        <f>""</f>
        <v/>
      </c>
      <c r="W1061" s="1" t="str">
        <f>""</f>
        <v/>
      </c>
      <c r="X1061" s="1" t="str">
        <f>""</f>
        <v/>
      </c>
      <c r="Y1061" s="1" t="str">
        <f>"30"</f>
        <v>30</v>
      </c>
      <c r="Z1061" t="str">
        <f>""</f>
        <v/>
      </c>
      <c r="AA1061" t="str">
        <f>"9995494884"</f>
        <v>9995494884</v>
      </c>
      <c r="AB1061" t="str">
        <f>"9969460584"</f>
        <v>9969460584</v>
      </c>
      <c r="AC1061" t="str">
        <f>"9995494884"</f>
        <v>9995494884</v>
      </c>
      <c r="AD1061" t="str">
        <f>"9995901078"</f>
        <v>9995901078</v>
      </c>
      <c r="AE1061" t="str">
        <f>""</f>
        <v/>
      </c>
    </row>
    <row r="1062" spans="1:31" x14ac:dyDescent="0.45">
      <c r="A1062" t="str">
        <f>"КУЛЬПИНА СВЕТЛАНА НИКОЛАЕВНА"</f>
        <v>КУЛЬПИНА СВЕТЛАНА НИКОЛАЕВНА</v>
      </c>
      <c r="B1062" t="str">
        <f>"1974-07-09"</f>
        <v>1974-07-09</v>
      </c>
      <c r="C1062" t="str">
        <f>"65 19 860786"</f>
        <v>65 19 860786</v>
      </c>
      <c r="D1062" t="str">
        <f>"4854630340895237"</f>
        <v>4854630340895237</v>
      </c>
      <c r="E1062" t="str">
        <f>"2020-04-30"</f>
        <v>2020-04-30</v>
      </c>
      <c r="F1062" t="str">
        <f t="shared" si="169"/>
        <v>+</v>
      </c>
      <c r="G1062" t="str">
        <f t="shared" si="169"/>
        <v>+</v>
      </c>
      <c r="H1062" t="str">
        <f>"40817810916991428256"</f>
        <v>40817810916991428256</v>
      </c>
      <c r="I1062" t="str">
        <f>"7003"</f>
        <v>7003</v>
      </c>
      <c r="J1062" t="str">
        <f>"0841"</f>
        <v>0841</v>
      </c>
      <c r="K1062" t="str">
        <f>"14000.00"</f>
        <v>14000.00</v>
      </c>
      <c r="L1062" t="str">
        <f>"624351 ОБЛ СВЕРДЛОВСКАЯ   Г КАЧКАНАР   МКР 10-Й д. 12"</f>
        <v>624351 ОБЛ СВЕРДЛОВСКАЯ   Г КАЧКАНАР   МКР 10-Й д. 12</v>
      </c>
      <c r="M1062" t="str">
        <f t="shared" si="165"/>
        <v>2019-08-24</v>
      </c>
      <c r="N1062" t="s">
        <v>75</v>
      </c>
      <c r="O1062" t="str">
        <f>"624351"</f>
        <v>624351</v>
      </c>
      <c r="P1062" t="str">
        <f>"ОБЛ СВЕРДЛОВСКАЯ"</f>
        <v>ОБЛ СВЕРДЛОВСКАЯ</v>
      </c>
      <c r="Q1062" t="str">
        <f>""</f>
        <v/>
      </c>
      <c r="R1062" t="str">
        <f>"Г КАЧКАНАР"</f>
        <v>Г КАЧКАНАР</v>
      </c>
      <c r="S1062" t="str">
        <f>""</f>
        <v/>
      </c>
      <c r="T1062" t="str">
        <f>"МКР 6-Й А"</f>
        <v>МКР 6-Й А</v>
      </c>
      <c r="U1062" s="1" t="str">
        <f>"3"</f>
        <v>3</v>
      </c>
      <c r="V1062" s="1" t="str">
        <f>""</f>
        <v/>
      </c>
      <c r="W1062" s="1" t="str">
        <f>""</f>
        <v/>
      </c>
      <c r="X1062" s="1" t="str">
        <f>""</f>
        <v/>
      </c>
      <c r="Y1062" s="1" t="str">
        <f>"24"</f>
        <v>24</v>
      </c>
      <c r="Z1062" t="str">
        <f>"3434167120"</f>
        <v>3434167120</v>
      </c>
      <c r="AA1062" t="str">
        <f>"3434167120"</f>
        <v>3434167120</v>
      </c>
      <c r="AB1062" t="str">
        <f>"9506485389"</f>
        <v>9506485389</v>
      </c>
      <c r="AC1062" t="str">
        <f>"3434167120"</f>
        <v>3434167120</v>
      </c>
      <c r="AD1062" t="str">
        <f>"9506485389"</f>
        <v>9506485389</v>
      </c>
      <c r="AE1062" t="str">
        <f>"3434167120"</f>
        <v>3434167120</v>
      </c>
    </row>
    <row r="1063" spans="1:31" x14ac:dyDescent="0.45">
      <c r="A1063" t="str">
        <f>"ПЕСТОВ АРТЕМ СЕРГЕЕВИЧ"</f>
        <v>ПЕСТОВ АРТЕМ СЕРГЕЕВИЧ</v>
      </c>
      <c r="B1063" t="str">
        <f>"1980-08-31"</f>
        <v>1980-08-31</v>
      </c>
      <c r="C1063" t="str">
        <f>"80 03 593028"</f>
        <v>80 03 593028</v>
      </c>
      <c r="D1063" t="str">
        <f>"4854630204786118"</f>
        <v>4854630204786118</v>
      </c>
      <c r="E1063" t="str">
        <f>"2021-04-30"</f>
        <v>2021-04-30</v>
      </c>
      <c r="F1063" t="str">
        <f t="shared" si="169"/>
        <v>+</v>
      </c>
      <c r="G1063" t="str">
        <f t="shared" si="169"/>
        <v>+</v>
      </c>
      <c r="H1063" t="str">
        <f>"40817810216991428257"</f>
        <v>40817810216991428257</v>
      </c>
      <c r="I1063" t="str">
        <f>"8598"</f>
        <v>8598</v>
      </c>
      <c r="J1063" t="str">
        <f>"0765"</f>
        <v>0765</v>
      </c>
      <c r="K1063" t="str">
        <f>"60000.00"</f>
        <v>60000.00</v>
      </c>
      <c r="L1063" t="str">
        <f>"640000 ОБЛ ТЮМЕНСКАЯ   Г ТЮМЕНЬ   УЛ НАБЕРЕЖНАЯ д. 1"</f>
        <v>640000 ОБЛ ТЮМЕНСКАЯ   Г ТЮМЕНЬ   УЛ НАБЕРЕЖНАЯ д. 1</v>
      </c>
      <c r="M1063" t="str">
        <f t="shared" si="165"/>
        <v>2019-08-24</v>
      </c>
      <c r="N1063" t="str">
        <f>"ООО ТЮМЕНСКАЯ ИНЖИНИРИНГОВАЯ КОМПАНИЯ"</f>
        <v>ООО ТЮМЕНСКАЯ ИНЖИНИРИНГОВАЯ КОМПАНИЯ</v>
      </c>
      <c r="O1063" t="str">
        <f>"453850"</f>
        <v>453850</v>
      </c>
      <c r="P1063" t="str">
        <f>"РЕСП БАШКОРТОСТАН"</f>
        <v>РЕСП БАШКОРТОСТАН</v>
      </c>
      <c r="Q1063" t="str">
        <f>""</f>
        <v/>
      </c>
      <c r="R1063" t="str">
        <f>"Г МЕЛЕУЗ"</f>
        <v>Г МЕЛЕУЗ</v>
      </c>
      <c r="S1063" t="str">
        <f>""</f>
        <v/>
      </c>
      <c r="T1063" t="str">
        <f>"УЛ ВОРОВСКОГО"</f>
        <v>УЛ ВОРОВСКОГО</v>
      </c>
      <c r="U1063" s="1" t="str">
        <f>"14"</f>
        <v>14</v>
      </c>
      <c r="V1063" s="1" t="str">
        <f>""</f>
        <v/>
      </c>
      <c r="W1063" s="1" t="str">
        <f>""</f>
        <v/>
      </c>
      <c r="X1063" s="1" t="str">
        <f>""</f>
        <v/>
      </c>
      <c r="Y1063" s="1" t="str">
        <f>""</f>
        <v/>
      </c>
      <c r="Z1063" t="str">
        <f>"3476400000"</f>
        <v>3476400000</v>
      </c>
      <c r="AA1063" t="str">
        <f>"3476433505"</f>
        <v>3476433505</v>
      </c>
      <c r="AB1063" t="str">
        <f>"9273035276"</f>
        <v>9273035276</v>
      </c>
      <c r="AC1063" t="str">
        <f>"3476433505"</f>
        <v>3476433505</v>
      </c>
      <c r="AD1063" t="str">
        <f>"9273035276"</f>
        <v>9273035276</v>
      </c>
      <c r="AE1063" t="str">
        <f>"3476400000"</f>
        <v>3476400000</v>
      </c>
    </row>
    <row r="1064" spans="1:31" x14ac:dyDescent="0.45">
      <c r="A1064" t="str">
        <f>"САЯХОВА ФАВЗИЯ ХИСАМОВНА"</f>
        <v>САЯХОВА ФАВЗИЯ ХИСАМОВНА</v>
      </c>
      <c r="B1064" t="str">
        <f>"1963-06-07"</f>
        <v>1963-06-07</v>
      </c>
      <c r="C1064" t="str">
        <f>"80 08 613675"</f>
        <v>80 08 613675</v>
      </c>
      <c r="D1064" t="str">
        <f>"4854630419161479"</f>
        <v>4854630419161479</v>
      </c>
      <c r="E1064" t="str">
        <f>"2020-11-30"</f>
        <v>2020-11-30</v>
      </c>
      <c r="F1064" t="str">
        <f t="shared" si="169"/>
        <v>+</v>
      </c>
      <c r="G1064" t="str">
        <f t="shared" si="169"/>
        <v>+</v>
      </c>
      <c r="H1064" t="str">
        <f>"40817810716991428278"</f>
        <v>40817810716991428278</v>
      </c>
      <c r="I1064" t="str">
        <f>"8598"</f>
        <v>8598</v>
      </c>
      <c r="J1064" t="str">
        <f>"0183"</f>
        <v>0183</v>
      </c>
      <c r="K1064" t="str">
        <f>"44000.00"</f>
        <v>44000.00</v>
      </c>
      <c r="L1064" t="str">
        <f>"450000 РЕСП БАШКОРТОСТАН   Г УФА   УЛ Ю.ГАГАРИНА д. 37 кв. 55"</f>
        <v>450000 РЕСП БАШКОРТОСТАН   Г УФА   УЛ Ю.ГАГАРИНА д. 37 кв. 55</v>
      </c>
      <c r="M1064" t="str">
        <f t="shared" si="165"/>
        <v>2019-08-24</v>
      </c>
      <c r="N1064" t="str">
        <f>"ПЕНСИОНЕРКА"</f>
        <v>ПЕНСИОНЕРКА</v>
      </c>
      <c r="O1064" t="str">
        <f>"450000"</f>
        <v>450000</v>
      </c>
      <c r="P1064" t="str">
        <f>"РЕСП БАШКОРТОСТАН"</f>
        <v>РЕСП БАШКОРТОСТАН</v>
      </c>
      <c r="Q1064" t="str">
        <f>""</f>
        <v/>
      </c>
      <c r="R1064" t="str">
        <f>"Г УФА"</f>
        <v>Г УФА</v>
      </c>
      <c r="S1064" t="str">
        <f>""</f>
        <v/>
      </c>
      <c r="T1064" t="str">
        <f>"УЛ Ю. ГАГАРИНА"</f>
        <v>УЛ Ю. ГАГАРИНА</v>
      </c>
      <c r="U1064" s="1" t="str">
        <f>"37"</f>
        <v>37</v>
      </c>
      <c r="V1064" s="1" t="str">
        <f>""</f>
        <v/>
      </c>
      <c r="W1064" s="1" t="str">
        <f>""</f>
        <v/>
      </c>
      <c r="X1064" s="1" t="str">
        <f>""</f>
        <v/>
      </c>
      <c r="Y1064" s="1" t="str">
        <f>"55"</f>
        <v>55</v>
      </c>
      <c r="Z1064" t="str">
        <f>""</f>
        <v/>
      </c>
      <c r="AA1064" t="str">
        <f>"9279258322"</f>
        <v>9279258322</v>
      </c>
      <c r="AB1064" t="str">
        <f>"9279258322"</f>
        <v>9279258322</v>
      </c>
      <c r="AC1064" t="str">
        <f>"9279258322"</f>
        <v>9279258322</v>
      </c>
      <c r="AD1064" t="str">
        <f>"9279258322"</f>
        <v>9279258322</v>
      </c>
      <c r="AE1064" t="str">
        <f>""</f>
        <v/>
      </c>
    </row>
    <row r="1065" spans="1:31" x14ac:dyDescent="0.45">
      <c r="A1065" t="str">
        <f>"ЮРТБАКОВА АКЛИМА ХУРМАТОВНА"</f>
        <v>ЮРТБАКОВА АКЛИМА ХУРМАТОВНА</v>
      </c>
      <c r="B1065" t="str">
        <f>"1975-10-18"</f>
        <v>1975-10-18</v>
      </c>
      <c r="C1065" t="str">
        <f>"80 13 902813"</f>
        <v>80 13 902813</v>
      </c>
      <c r="D1065" t="str">
        <f>"4854630357029936"</f>
        <v>4854630357029936</v>
      </c>
      <c r="E1065" t="str">
        <f>"2021-04-30"</f>
        <v>2021-04-30</v>
      </c>
      <c r="F1065" t="str">
        <f t="shared" si="169"/>
        <v>+</v>
      </c>
      <c r="G1065" t="str">
        <f t="shared" si="169"/>
        <v>+</v>
      </c>
      <c r="H1065" t="str">
        <f>"40817810016991428279"</f>
        <v>40817810016991428279</v>
      </c>
      <c r="I1065" t="str">
        <f>"8598"</f>
        <v>8598</v>
      </c>
      <c r="J1065" t="str">
        <f>"0736"</f>
        <v>0736</v>
      </c>
      <c r="K1065" t="str">
        <f>"30000.00"</f>
        <v>30000.00</v>
      </c>
      <c r="L1065" t="str">
        <f>"450000 РЕСП БАШКОРТОСТАН   Г БАЙМАК   УЛ ШКОЛЬНАЯ д. 4 корп. 1"</f>
        <v>450000 РЕСП БАШКОРТОСТАН   Г БАЙМАК   УЛ ШКОЛЬНАЯ д. 4 корп. 1</v>
      </c>
      <c r="M1065" t="str">
        <f t="shared" si="165"/>
        <v>2019-08-24</v>
      </c>
      <c r="N1065" t="str">
        <f>"МАДОУ Д/С ЛАДУШКИ"</f>
        <v>МАДОУ Д/С ЛАДУШКИ</v>
      </c>
      <c r="O1065" t="str">
        <f>"450000"</f>
        <v>450000</v>
      </c>
      <c r="P1065" t="str">
        <f>"РЕСП БАШКОРТОСТАН"</f>
        <v>РЕСП БАШКОРТОСТАН</v>
      </c>
      <c r="Q1065" t="str">
        <f>""</f>
        <v/>
      </c>
      <c r="R1065" t="str">
        <f>"Г БАЙМАК"</f>
        <v>Г БАЙМАК</v>
      </c>
      <c r="S1065" t="str">
        <f>""</f>
        <v/>
      </c>
      <c r="T1065" t="str">
        <f>"УЛ ЮЛАЛИНСКАЯ"</f>
        <v>УЛ ЮЛАЛИНСКАЯ</v>
      </c>
      <c r="U1065" s="1" t="str">
        <f>"30"</f>
        <v>30</v>
      </c>
      <c r="V1065" s="1" t="str">
        <f>""</f>
        <v/>
      </c>
      <c r="W1065" s="1" t="str">
        <f>""</f>
        <v/>
      </c>
      <c r="X1065" s="1" t="str">
        <f>""</f>
        <v/>
      </c>
      <c r="Y1065" s="1" t="str">
        <f>""</f>
        <v/>
      </c>
      <c r="Z1065" t="str">
        <f>"3475133090"</f>
        <v>3475133090</v>
      </c>
      <c r="AA1065" t="str">
        <f>"9625350783"</f>
        <v>9625350783</v>
      </c>
      <c r="AB1065" t="str">
        <f>"9625350783"</f>
        <v>9625350783</v>
      </c>
      <c r="AC1065" t="str">
        <f>"9625350783"</f>
        <v>9625350783</v>
      </c>
      <c r="AD1065" t="str">
        <f>"9625350783"</f>
        <v>9625350783</v>
      </c>
      <c r="AE1065" t="str">
        <f>""</f>
        <v/>
      </c>
    </row>
    <row r="1066" spans="1:31" x14ac:dyDescent="0.45">
      <c r="A1066" t="str">
        <f>"БАЗАРОВА МАРИЯ АНДРЕЕВНА"</f>
        <v>БАЗАРОВА МАРИЯ АНДРЕЕВНА</v>
      </c>
      <c r="B1066" t="str">
        <f>"1987-08-27"</f>
        <v>1987-08-27</v>
      </c>
      <c r="C1066" t="str">
        <f>"65 11 161841"</f>
        <v>65 11 161841</v>
      </c>
      <c r="D1066" t="str">
        <f>"5313100481227733"</f>
        <v>5313100481227733</v>
      </c>
      <c r="E1066" t="str">
        <f>"2020-10-31"</f>
        <v>2020-10-31</v>
      </c>
      <c r="F1066" t="str">
        <f t="shared" si="169"/>
        <v>+</v>
      </c>
      <c r="G1066" t="str">
        <f t="shared" si="169"/>
        <v>+</v>
      </c>
      <c r="H1066" t="str">
        <f>"40817810416991428293"</f>
        <v>40817810416991428293</v>
      </c>
      <c r="I1066" t="str">
        <f>"8597"</f>
        <v>8597</v>
      </c>
      <c r="J1066" t="str">
        <f>"0551"</f>
        <v>0551</v>
      </c>
      <c r="K1066" t="str">
        <f>"130000.00"</f>
        <v>130000.00</v>
      </c>
      <c r="L1066" t="str">
        <f>"454000 ОБЛ ЧЕЛЯБИНСКАЯ   Г СНЕЖИНСК   УЛ ДЗЕРЖИНСКОГО д. 24"</f>
        <v>454000 ОБЛ ЧЕЛЯБИНСКАЯ   Г СНЕЖИНСК   УЛ ДЗЕРЖИНСКОГО д. 24</v>
      </c>
      <c r="M1066" t="str">
        <f t="shared" si="165"/>
        <v>2019-08-24</v>
      </c>
      <c r="N1066" t="str">
        <f>"СУД"</f>
        <v>СУД</v>
      </c>
      <c r="O1066" t="str">
        <f>"454000"</f>
        <v>454000</v>
      </c>
      <c r="P1066" t="str">
        <f>"ОБЛ ЧЕЛЯБИНСКАЯ"</f>
        <v>ОБЛ ЧЕЛЯБИНСКАЯ</v>
      </c>
      <c r="Q1066" t="str">
        <f>""</f>
        <v/>
      </c>
      <c r="R1066" t="str">
        <f>"Г СНЕЖИНСК"</f>
        <v>Г СНЕЖИНСК</v>
      </c>
      <c r="S1066" t="str">
        <f>""</f>
        <v/>
      </c>
      <c r="T1066" t="str">
        <f>"ПР-КТ МИРА"</f>
        <v>ПР-КТ МИРА</v>
      </c>
      <c r="U1066" s="1" t="str">
        <f>"7"</f>
        <v>7</v>
      </c>
      <c r="V1066" s="1" t="str">
        <f>""</f>
        <v/>
      </c>
      <c r="W1066" s="1" t="str">
        <f>""</f>
        <v/>
      </c>
      <c r="X1066" s="1" t="str">
        <f>""</f>
        <v/>
      </c>
      <c r="Y1066" s="1" t="str">
        <f>"399"</f>
        <v>399</v>
      </c>
      <c r="Z1066" t="str">
        <f>"351 7284665"</f>
        <v>351 7284665</v>
      </c>
      <c r="AA1066" t="str">
        <f>"9823591104"</f>
        <v>9823591104</v>
      </c>
      <c r="AB1066" t="str">
        <f>"9523591104"</f>
        <v>9523591104</v>
      </c>
      <c r="AC1066" t="str">
        <f>"9823591104"</f>
        <v>9823591104</v>
      </c>
      <c r="AD1066" t="str">
        <f>"9523591104"</f>
        <v>9523591104</v>
      </c>
      <c r="AE1066" t="str">
        <f>""</f>
        <v/>
      </c>
    </row>
    <row r="1067" spans="1:31" x14ac:dyDescent="0.45">
      <c r="A1067" t="str">
        <f>"АБДУРАХМАНОВ НАЖМУТДИН АБДУЛЗАГИРОВИЧ"</f>
        <v>АБДУРАХМАНОВ НАЖМУТДИН АБДУЛЗАГИРОВИЧ</v>
      </c>
      <c r="B1067" t="str">
        <f>"1982-06-28"</f>
        <v>1982-06-28</v>
      </c>
      <c r="C1067" t="str">
        <f>"82 12 251000"</f>
        <v>82 12 251000</v>
      </c>
      <c r="D1067" t="str">
        <f>"5484016707713772"</f>
        <v>5484016707713772</v>
      </c>
      <c r="E1067" t="str">
        <f>"2021-06-30"</f>
        <v>2021-06-30</v>
      </c>
      <c r="F1067" t="str">
        <f>"K"</f>
        <v>K</v>
      </c>
      <c r="G1067" t="str">
        <f>"+"</f>
        <v>+</v>
      </c>
      <c r="H1067" t="str">
        <f>"40817810316992604718"</f>
        <v>40817810316992604718</v>
      </c>
      <c r="I1067" t="str">
        <f>"5940"</f>
        <v>5940</v>
      </c>
      <c r="J1067" t="str">
        <f>"7771"</f>
        <v>7771</v>
      </c>
      <c r="K1067" t="str">
        <f>"285000.00"</f>
        <v>285000.00</v>
      </c>
      <c r="L1067" t="str">
        <f>"628400 ОБЛ ТЮМЕНСКАЯ   Г СУРГУТ   УЛ РЕСПУБЛИКИ стр. 73 корп. 1"</f>
        <v>628400 ОБЛ ТЮМЕНСКАЯ   Г СУРГУТ   УЛ РЕСПУБЛИКИ стр. 73 корп. 1</v>
      </c>
      <c r="M1067" t="str">
        <f t="shared" si="165"/>
        <v>2019-08-24</v>
      </c>
      <c r="N1067" t="str">
        <f>"ИП КОСТЯНИКОВА"</f>
        <v>ИП КОСТЯНИКОВА</v>
      </c>
      <c r="O1067" t="str">
        <f>"368073"</f>
        <v>368073</v>
      </c>
      <c r="P1067" t="str">
        <f>"РЕСП ДАГЕСТАН"</f>
        <v>РЕСП ДАГЕСТАН</v>
      </c>
      <c r="Q1067" t="str">
        <f>"Р-Н БАБАЮРТОВСКИЙ"</f>
        <v>Р-Н БАБАЮРТОВСКИЙ</v>
      </c>
      <c r="R1067" t="str">
        <f>""</f>
        <v/>
      </c>
      <c r="S1067" t="str">
        <f>""</f>
        <v/>
      </c>
      <c r="T1067" t="str">
        <f>"С ГЕМЕТЮБЕ"</f>
        <v>С ГЕМЕТЮБЕ</v>
      </c>
      <c r="U1067" s="1" t="str">
        <f>""</f>
        <v/>
      </c>
      <c r="V1067" s="1" t="str">
        <f>""</f>
        <v/>
      </c>
      <c r="W1067" s="1" t="str">
        <f>""</f>
        <v/>
      </c>
      <c r="X1067" s="1" t="str">
        <f>""</f>
        <v/>
      </c>
      <c r="Y1067" s="1" t="str">
        <f>""</f>
        <v/>
      </c>
      <c r="Z1067" t="str">
        <f>"3462526336"</f>
        <v>3462526336</v>
      </c>
      <c r="AA1067" t="str">
        <f>"9825284066"</f>
        <v>9825284066</v>
      </c>
      <c r="AB1067" t="str">
        <f>"9825284066"</f>
        <v>9825284066</v>
      </c>
      <c r="AC1067" t="str">
        <f>"9825284066"</f>
        <v>9825284066</v>
      </c>
      <c r="AD1067" t="str">
        <f>"9825284066"</f>
        <v>9825284066</v>
      </c>
      <c r="AE1067" t="str">
        <f>"3462526336"</f>
        <v>3462526336</v>
      </c>
    </row>
    <row r="1068" spans="1:31" x14ac:dyDescent="0.45">
      <c r="A1068" t="str">
        <f>"ПОДКОРЫТОВ ЕВГЕНИЙ ИВАНОВИЧ"</f>
        <v>ПОДКОРЫТОВ ЕВГЕНИЙ ИВАНОВИЧ</v>
      </c>
      <c r="B1068" t="str">
        <f>"1964-10-26"</f>
        <v>1964-10-26</v>
      </c>
      <c r="C1068" t="str">
        <f>"75 09 616999"</f>
        <v>75 09 616999</v>
      </c>
      <c r="D1068" t="str">
        <f>"4279011681421130"</f>
        <v>4279011681421130</v>
      </c>
      <c r="E1068" t="str">
        <f>"2021-06-30"</f>
        <v>2021-06-30</v>
      </c>
      <c r="F1068" t="str">
        <f>"+"</f>
        <v>+</v>
      </c>
      <c r="G1068" t="str">
        <f>"+"</f>
        <v>+</v>
      </c>
      <c r="H1068" t="str">
        <f>"40817810216991463131"</f>
        <v>40817810216991463131</v>
      </c>
      <c r="I1068" t="str">
        <f>"8597"</f>
        <v>8597</v>
      </c>
      <c r="J1068" t="str">
        <f>"0137"</f>
        <v>0137</v>
      </c>
      <c r="K1068" t="str">
        <f>"10000.00"</f>
        <v>10000.00</v>
      </c>
      <c r="L1068" t="str">
        <f>"454045 ОБЛ ЧЕЛЯБИНСКАЯ   Г ЧЕЛЯБИНСК   УЛ НОВОЭЛЕВАТОРНАЯ д. 46"</f>
        <v>454045 ОБЛ ЧЕЛЯБИНСКАЯ   Г ЧЕЛЯБИНСК   УЛ НОВОЭЛЕВАТОРНАЯ д. 46</v>
      </c>
      <c r="M1068" t="str">
        <f t="shared" si="165"/>
        <v>2019-08-24</v>
      </c>
      <c r="N1068" t="str">
        <f>"ООО ТАНЕШ"</f>
        <v>ООО ТАНЕШ</v>
      </c>
      <c r="O1068" t="str">
        <f>"454000"</f>
        <v>454000</v>
      </c>
      <c r="P1068" t="str">
        <f>"ОБЛ ЧЕЛЯБИНСКАЯ"</f>
        <v>ОБЛ ЧЕЛЯБИНСКАЯ</v>
      </c>
      <c r="Q1068" t="str">
        <f>""</f>
        <v/>
      </c>
      <c r="R1068" t="str">
        <f>"Г ЧЕЛЯБИНСК"</f>
        <v>Г ЧЕЛЯБИНСК</v>
      </c>
      <c r="S1068" t="str">
        <f>""</f>
        <v/>
      </c>
      <c r="T1068" t="str">
        <f>"ПР-КТ ЛЕНИНА"</f>
        <v>ПР-КТ ЛЕНИНА</v>
      </c>
      <c r="U1068" s="1" t="str">
        <f>"53"</f>
        <v>53</v>
      </c>
      <c r="V1068" s="1" t="str">
        <f>""</f>
        <v/>
      </c>
      <c r="W1068" s="1" t="str">
        <f>""</f>
        <v/>
      </c>
      <c r="X1068" s="1" t="str">
        <f>""</f>
        <v/>
      </c>
      <c r="Y1068" s="1" t="str">
        <f>"55"</f>
        <v>55</v>
      </c>
      <c r="Z1068" t="str">
        <f>"3512676037"</f>
        <v>3512676037</v>
      </c>
      <c r="AA1068" t="str">
        <f>"3512676037"</f>
        <v>3512676037</v>
      </c>
      <c r="AB1068" t="str">
        <f>"9525169366"</f>
        <v>9525169366</v>
      </c>
      <c r="AC1068" t="str">
        <f>"3512676037"</f>
        <v>3512676037</v>
      </c>
      <c r="AD1068" t="str">
        <f>"9525169366"</f>
        <v>9525169366</v>
      </c>
      <c r="AE1068" t="str">
        <f>"3512676037"</f>
        <v>3512676037</v>
      </c>
    </row>
    <row r="1069" spans="1:31" x14ac:dyDescent="0.45">
      <c r="A1069" t="str">
        <f>"АНТОНОВА СВЕТЛАНА ВЛАДИМИРОВНА"</f>
        <v>АНТОНОВА СВЕТЛАНА ВЛАДИМИРОВНА</v>
      </c>
      <c r="B1069" t="str">
        <f>"1964-04-22"</f>
        <v>1964-04-22</v>
      </c>
      <c r="C1069" t="str">
        <f>"37 09 324520"</f>
        <v>37 09 324520</v>
      </c>
      <c r="D1069" t="str">
        <f>"4279011639141871"</f>
        <v>4279011639141871</v>
      </c>
      <c r="E1069" t="str">
        <f>"2021-06-30"</f>
        <v>2021-06-30</v>
      </c>
      <c r="F1069" t="str">
        <f>"+"</f>
        <v>+</v>
      </c>
      <c r="G1069" t="str">
        <f>"+"</f>
        <v>+</v>
      </c>
      <c r="H1069" t="str">
        <f>"40817810816991463133"</f>
        <v>40817810816991463133</v>
      </c>
      <c r="I1069" t="str">
        <f>"8599"</f>
        <v>8599</v>
      </c>
      <c r="J1069" t="str">
        <f>"7770"</f>
        <v>7770</v>
      </c>
      <c r="K1069" t="str">
        <f>"150000.00"</f>
        <v>150000.00</v>
      </c>
      <c r="L1069" t="str">
        <f>"640000 ОБЛ КУРГАНСКАЯ Р-Н ВАРГАШИНСКИЙ   П ВАРГАШИ УЛ ЛЕНИНА д. 14"</f>
        <v>640000 ОБЛ КУРГАНСКАЯ Р-Н ВАРГАШИНСКИЙ   П ВАРГАШИ УЛ ЛЕНИНА д. 14</v>
      </c>
      <c r="M1069" t="str">
        <f t="shared" si="165"/>
        <v>2019-08-24</v>
      </c>
      <c r="N1069" t="str">
        <f>"ВАРГАШИНСКЯ ЦРБ"</f>
        <v>ВАРГАШИНСКЯ ЦРБ</v>
      </c>
      <c r="O1069" t="str">
        <f>"640000"</f>
        <v>640000</v>
      </c>
      <c r="P1069" t="str">
        <f>"ОБЛ КУРГАНСКАЯ"</f>
        <v>ОБЛ КУРГАНСКАЯ</v>
      </c>
      <c r="Q1069" t="str">
        <f>"Р-Н ВАРГАШИНСКИЙ"</f>
        <v>Р-Н ВАРГАШИНСКИЙ</v>
      </c>
      <c r="R1069" t="str">
        <f>""</f>
        <v/>
      </c>
      <c r="S1069" t="str">
        <f>"РП ВАРГАШИ"</f>
        <v>РП ВАРГАШИ</v>
      </c>
      <c r="T1069" t="str">
        <f>"УЛ СОЦИАЛИСТИЧЕСКАЯ"</f>
        <v>УЛ СОЦИАЛИСТИЧЕСКАЯ</v>
      </c>
      <c r="U1069" s="1" t="str">
        <f>"81"</f>
        <v>81</v>
      </c>
      <c r="V1069" s="1" t="str">
        <f>""</f>
        <v/>
      </c>
      <c r="W1069" s="1" t="str">
        <f>""</f>
        <v/>
      </c>
      <c r="X1069" s="1" t="str">
        <f>""</f>
        <v/>
      </c>
      <c r="Y1069" s="1" t="str">
        <f>"12"</f>
        <v>12</v>
      </c>
      <c r="Z1069" t="str">
        <f>"3523322181"</f>
        <v>3523322181</v>
      </c>
      <c r="AA1069" t="str">
        <f>"3523321960"</f>
        <v>3523321960</v>
      </c>
      <c r="AB1069" t="str">
        <f>"9632787144"</f>
        <v>9632787144</v>
      </c>
      <c r="AC1069" t="str">
        <f>"9632787144"</f>
        <v>9632787144</v>
      </c>
      <c r="AD1069" t="str">
        <f>"9632787144"</f>
        <v>9632787144</v>
      </c>
      <c r="AE1069" t="str">
        <f>"3523392654"</f>
        <v>3523392654</v>
      </c>
    </row>
    <row r="1070" spans="1:31" x14ac:dyDescent="0.45">
      <c r="A1070" t="str">
        <f>"БОКУМБАЕВ АМАН ЕРКЕБУЛАНОВИЧ"</f>
        <v>БОКУМБАЕВ АМАН ЕРКЕБУЛАНОВИЧ</v>
      </c>
      <c r="B1070" t="str">
        <f>"1975-09-01"</f>
        <v>1975-09-01</v>
      </c>
      <c r="C1070" t="str">
        <f>"37 09 345225"</f>
        <v>37 09 345225</v>
      </c>
      <c r="D1070" t="str">
        <f>"4279011672639195"</f>
        <v>4279011672639195</v>
      </c>
      <c r="E1070" t="str">
        <f>"2021-06-30"</f>
        <v>2021-06-30</v>
      </c>
      <c r="F1070" t="str">
        <f>"Y"</f>
        <v>Y</v>
      </c>
      <c r="G1070" t="str">
        <f>"W"</f>
        <v>W</v>
      </c>
      <c r="H1070" t="str">
        <f>"40817810116991463134"</f>
        <v>40817810116991463134</v>
      </c>
      <c r="I1070" t="str">
        <f>"8599"</f>
        <v>8599</v>
      </c>
      <c r="J1070" t="str">
        <f>"7770"</f>
        <v>7770</v>
      </c>
      <c r="K1070" t="str">
        <f>"105000.00"</f>
        <v>105000.00</v>
      </c>
      <c r="L1070" t="str">
        <f>"641000 ОБЛ КУРГАНСКАЯ Р-Н ВАРГАШИНСКИЙ   РП ВАРГАШИ УЛ ЛЕНИНА д. 14"</f>
        <v>641000 ОБЛ КУРГАНСКАЯ Р-Н ВАРГАШИНСКИЙ   РП ВАРГАШИ УЛ ЛЕНИНА д. 14</v>
      </c>
      <c r="M1070" t="str">
        <f t="shared" si="165"/>
        <v>2019-08-24</v>
      </c>
      <c r="N1070" t="str">
        <f>"ВАРГАШИНСКЯ ЦРБ"</f>
        <v>ВАРГАШИНСКЯ ЦРБ</v>
      </c>
      <c r="O1070" t="str">
        <f>"641000"</f>
        <v>641000</v>
      </c>
      <c r="P1070" t="str">
        <f>"ОБЛ КУРГАНСКАЯ"</f>
        <v>ОБЛ КУРГАНСКАЯ</v>
      </c>
      <c r="Q1070" t="str">
        <f>"Р-Н ВАРГАШИНСКИЙ"</f>
        <v>Р-Н ВАРГАШИНСКИЙ</v>
      </c>
      <c r="R1070" t="str">
        <f>""</f>
        <v/>
      </c>
      <c r="S1070" t="str">
        <f>"С СПОРНОЕ"</f>
        <v>С СПОРНОЕ</v>
      </c>
      <c r="T1070" t="str">
        <f>"УЛ САДОВАЯ"</f>
        <v>УЛ САДОВАЯ</v>
      </c>
      <c r="U1070" s="1" t="str">
        <f>"2"</f>
        <v>2</v>
      </c>
      <c r="V1070" s="1" t="str">
        <f>""</f>
        <v/>
      </c>
      <c r="W1070" s="1" t="str">
        <f>""</f>
        <v/>
      </c>
      <c r="X1070" s="1" t="str">
        <f>""</f>
        <v/>
      </c>
      <c r="Y1070" s="1" t="str">
        <f>"1"</f>
        <v>1</v>
      </c>
      <c r="Z1070" t="str">
        <f>"3523324570"</f>
        <v>3523324570</v>
      </c>
      <c r="AA1070" t="str">
        <f>"9091480320"</f>
        <v>9091480320</v>
      </c>
      <c r="AB1070" t="str">
        <f>"9091480320"</f>
        <v>9091480320</v>
      </c>
      <c r="AC1070" t="str">
        <f>"9091480320"</f>
        <v>9091480320</v>
      </c>
      <c r="AD1070" t="str">
        <f>"9091480320"</f>
        <v>9091480320</v>
      </c>
      <c r="AE1070" t="str">
        <f>"3523324570"</f>
        <v>3523324570</v>
      </c>
    </row>
    <row r="1071" spans="1:31" x14ac:dyDescent="0.45">
      <c r="A1071" t="str">
        <f>"ПЕТРОВА МАРИНА ЮРЬЕВНА"</f>
        <v>ПЕТРОВА МАРИНА ЮРЬЕВНА</v>
      </c>
      <c r="B1071" t="str">
        <f>"1961-09-21"</f>
        <v>1961-09-21</v>
      </c>
      <c r="C1071" t="str">
        <f>"65 07 239645"</f>
        <v>65 07 239645</v>
      </c>
      <c r="D1071" t="str">
        <f>"4279011659252756"</f>
        <v>4279011659252756</v>
      </c>
      <c r="E1071" t="str">
        <f>"2021-06-30"</f>
        <v>2021-06-30</v>
      </c>
      <c r="F1071" t="str">
        <f t="shared" ref="F1071:G1080" si="170">"+"</f>
        <v>+</v>
      </c>
      <c r="G1071" t="str">
        <f t="shared" si="170"/>
        <v>+</v>
      </c>
      <c r="H1071" t="str">
        <f>"40817810016991463140"</f>
        <v>40817810016991463140</v>
      </c>
      <c r="I1071" t="str">
        <f>"7003"</f>
        <v>7003</v>
      </c>
      <c r="J1071" t="str">
        <f>"0723"</f>
        <v>0723</v>
      </c>
      <c r="K1071" t="str">
        <f>"50000.00"</f>
        <v>50000.00</v>
      </c>
      <c r="L1071" t="str">
        <f>"620000 ОБЛ СВЕРДЛОВСКАЯ   Г ВЕРХНИЙ ТАГИЛ   УЛ САДОВАЯ д. 6"</f>
        <v>620000 ОБЛ СВЕРДЛОВСКАЯ   Г ВЕРХНИЙ ТАГИЛ   УЛ САДОВАЯ д. 6</v>
      </c>
      <c r="M1071" t="str">
        <f t="shared" si="165"/>
        <v>2019-08-24</v>
      </c>
      <c r="N1071" t="str">
        <f>"ПФР ГОРОДА КИРОВГРАДА"</f>
        <v>ПФР ГОРОДА КИРОВГРАДА</v>
      </c>
      <c r="O1071" t="str">
        <f>"620000"</f>
        <v>620000</v>
      </c>
      <c r="P1071" t="str">
        <f>"ОБЛ СВЕРДЛОВСКАЯ"</f>
        <v>ОБЛ СВЕРДЛОВСКАЯ</v>
      </c>
      <c r="Q1071" t="str">
        <f>""</f>
        <v/>
      </c>
      <c r="R1071" t="str">
        <f>"Г ВЕРХНИЙ ТАГИЛ"</f>
        <v>Г ВЕРХНИЙ ТАГИЛ</v>
      </c>
      <c r="S1071" t="str">
        <f>""</f>
        <v/>
      </c>
      <c r="T1071" t="str">
        <f>"УЛ ФРУНЗЕ"</f>
        <v>УЛ ФРУНЗЕ</v>
      </c>
      <c r="U1071" s="1" t="str">
        <f>"77"</f>
        <v>77</v>
      </c>
      <c r="V1071" s="1" t="str">
        <f>""</f>
        <v/>
      </c>
      <c r="W1071" s="1" t="str">
        <f>""</f>
        <v/>
      </c>
      <c r="X1071" s="1" t="str">
        <f>""</f>
        <v/>
      </c>
      <c r="Y1071" s="1" t="str">
        <f>""</f>
        <v/>
      </c>
      <c r="Z1071" t="str">
        <f>""</f>
        <v/>
      </c>
      <c r="AA1071" t="str">
        <f>""</f>
        <v/>
      </c>
      <c r="AB1071" t="str">
        <f>"+7 (922) 2169597"</f>
        <v>+7 (922) 2169597</v>
      </c>
      <c r="AC1071" t="str">
        <f>"9678554488"</f>
        <v>9678554488</v>
      </c>
      <c r="AD1071" t="str">
        <f>"9222169597"</f>
        <v>9222169597</v>
      </c>
      <c r="AE1071" t="str">
        <f>""</f>
        <v/>
      </c>
    </row>
    <row r="1072" spans="1:31" x14ac:dyDescent="0.45">
      <c r="A1072" t="str">
        <f>"ХАКИМОВ ИЛЬНАР ТАБРИСОВИЧ"</f>
        <v>ХАКИМОВ ИЛЬНАР ТАБРИСОВИЧ</v>
      </c>
      <c r="B1072" t="str">
        <f>"1995-10-17"</f>
        <v>1995-10-17</v>
      </c>
      <c r="C1072" t="str">
        <f>"80 15 306412"</f>
        <v>80 15 306412</v>
      </c>
      <c r="D1072" t="str">
        <f>"4854630355893515"</f>
        <v>4854630355893515</v>
      </c>
      <c r="E1072" t="str">
        <f>"2021-04-30"</f>
        <v>2021-04-30</v>
      </c>
      <c r="F1072" t="str">
        <f t="shared" si="170"/>
        <v>+</v>
      </c>
      <c r="G1072" t="str">
        <f t="shared" si="170"/>
        <v>+</v>
      </c>
      <c r="H1072" t="str">
        <f>"40817810316991429871"</f>
        <v>40817810316991429871</v>
      </c>
      <c r="I1072" t="str">
        <f>"8598"</f>
        <v>8598</v>
      </c>
      <c r="J1072" t="str">
        <f>"0706"</f>
        <v>0706</v>
      </c>
      <c r="K1072" t="str">
        <f>"200000.00"</f>
        <v>200000.00</v>
      </c>
      <c r="L1072" t="str">
        <f>"450000 РЕСП БАШКОРТОСТАН Р-Н СТЕРЛИБАШЕВСКИЙ   Д ТАБУЛДА УЛ КОМСОМОЛЬСКАЯ д. 1"</f>
        <v>450000 РЕСП БАШКОРТОСТАН Р-Н СТЕРЛИБАШЕВСКИЙ   Д ТАБУЛДА УЛ КОМСОМОЛЬСКАЯ д. 1</v>
      </c>
      <c r="M1072" t="str">
        <f t="shared" si="165"/>
        <v>2019-08-24</v>
      </c>
      <c r="N1072" t="str">
        <f>"ЗАО ЕПРС"</f>
        <v>ЗАО ЕПРС</v>
      </c>
      <c r="O1072" t="str">
        <f>"450000"</f>
        <v>450000</v>
      </c>
      <c r="P1072" t="str">
        <f>"РЕСП БАШКОРТОСТАН"</f>
        <v>РЕСП БАШКОРТОСТАН</v>
      </c>
      <c r="Q1072" t="str">
        <f>"Р-Н СТЕРЛИБАШЕВСКИЙ"</f>
        <v>Р-Н СТЕРЛИБАШЕВСКИЙ</v>
      </c>
      <c r="R1072" t="str">
        <f>""</f>
        <v/>
      </c>
      <c r="S1072" t="str">
        <f>"Д ТАБУЛДА"</f>
        <v>Д ТАБУЛДА</v>
      </c>
      <c r="T1072" t="str">
        <f>"УЛ КОМСОМОЛЬСКАЯ"</f>
        <v>УЛ КОМСОМОЛЬСКАЯ</v>
      </c>
      <c r="U1072" s="1" t="str">
        <f>"9"</f>
        <v>9</v>
      </c>
      <c r="V1072" s="1" t="str">
        <f>""</f>
        <v/>
      </c>
      <c r="W1072" s="1" t="str">
        <f>""</f>
        <v/>
      </c>
      <c r="X1072" s="1" t="str">
        <f>""</f>
        <v/>
      </c>
      <c r="Y1072" s="1" t="str">
        <f>"1"</f>
        <v>1</v>
      </c>
      <c r="Z1072" t="str">
        <f>""</f>
        <v/>
      </c>
      <c r="AA1072" t="str">
        <f>"9656584695"</f>
        <v>9656584695</v>
      </c>
      <c r="AB1072" t="str">
        <f>"9656584695"</f>
        <v>9656584695</v>
      </c>
      <c r="AC1072" t="str">
        <f>"9656584695"</f>
        <v>9656584695</v>
      </c>
      <c r="AD1072" t="str">
        <f>"9656584695"</f>
        <v>9656584695</v>
      </c>
      <c r="AE1072" t="str">
        <f>""</f>
        <v/>
      </c>
    </row>
    <row r="1073" spans="1:31" x14ac:dyDescent="0.45">
      <c r="A1073" t="str">
        <f>"МАЛЕЙКИН ВЛАДИМИР СЕРГЕЕВИЧ"</f>
        <v>МАЛЕЙКИН ВЛАДИМИР СЕРГЕЕВИЧ</v>
      </c>
      <c r="B1073" t="str">
        <f>"1981-08-07"</f>
        <v>1981-08-07</v>
      </c>
      <c r="C1073" t="str">
        <f>"65 04 853413"</f>
        <v>65 04 853413</v>
      </c>
      <c r="D1073" t="str">
        <f>"4279011676773925"</f>
        <v>4279011676773925</v>
      </c>
      <c r="E1073" t="str">
        <f>"2021-06-30"</f>
        <v>2021-06-30</v>
      </c>
      <c r="F1073" t="str">
        <f t="shared" si="170"/>
        <v>+</v>
      </c>
      <c r="G1073" t="str">
        <f t="shared" si="170"/>
        <v>+</v>
      </c>
      <c r="H1073" t="str">
        <f>"40817810416991463229"</f>
        <v>40817810416991463229</v>
      </c>
      <c r="I1073" t="str">
        <f>"7003"</f>
        <v>7003</v>
      </c>
      <c r="J1073" t="str">
        <f>"0793"</f>
        <v>0793</v>
      </c>
      <c r="K1073" t="str">
        <f>"400000.00"</f>
        <v>400000.00</v>
      </c>
      <c r="L1073" t="str">
        <f>"620000 ОБЛ СВЕРДЛОВСКАЯ   Г БЕРЕЗОВСКИЙ   П ЛЕНИНСКИЙ д. 31 корп. Б"</f>
        <v>620000 ОБЛ СВЕРДЛОВСКАЯ   Г БЕРЕЗОВСКИЙ   П ЛЕНИНСКИЙ д. 31 корп. Б</v>
      </c>
      <c r="M1073" t="str">
        <f t="shared" si="165"/>
        <v>2019-08-24</v>
      </c>
      <c r="N1073" t="str">
        <f>"ООО БРОЗЕКС"</f>
        <v>ООО БРОЗЕКС</v>
      </c>
      <c r="O1073" t="str">
        <f>"620000"</f>
        <v>620000</v>
      </c>
      <c r="P1073" t="str">
        <f>"ОБЛ СВЕРДЛОВСКАЯ"</f>
        <v>ОБЛ СВЕРДЛОВСКАЯ</v>
      </c>
      <c r="Q1073" t="str">
        <f>""</f>
        <v/>
      </c>
      <c r="R1073" t="str">
        <f>"Г БЕРЕЗОВСКИЙ"</f>
        <v>Г БЕРЕЗОВСКИЙ</v>
      </c>
      <c r="S1073" t="str">
        <f>""</f>
        <v/>
      </c>
      <c r="T1073" t="str">
        <f>"УЛ ГАГАРИНА"</f>
        <v>УЛ ГАГАРИНА</v>
      </c>
      <c r="U1073" s="1" t="str">
        <f>"16"</f>
        <v>16</v>
      </c>
      <c r="V1073" s="1" t="str">
        <f>""</f>
        <v/>
      </c>
      <c r="W1073" s="1" t="str">
        <f>""</f>
        <v/>
      </c>
      <c r="X1073" s="1" t="str">
        <f>""</f>
        <v/>
      </c>
      <c r="Y1073" s="1" t="str">
        <f>"290"</f>
        <v>290</v>
      </c>
      <c r="Z1073" t="str">
        <f>""</f>
        <v/>
      </c>
      <c r="AA1073" t="str">
        <f>"9221206790"</f>
        <v>9221206790</v>
      </c>
      <c r="AB1073" t="str">
        <f>"9221206790"</f>
        <v>9221206790</v>
      </c>
      <c r="AC1073" t="str">
        <f>"9221206790"</f>
        <v>9221206790</v>
      </c>
      <c r="AD1073" t="str">
        <f>"9221206790"</f>
        <v>9221206790</v>
      </c>
      <c r="AE1073" t="str">
        <f>""</f>
        <v/>
      </c>
    </row>
    <row r="1074" spans="1:31" x14ac:dyDescent="0.45">
      <c r="A1074" t="str">
        <f>"ТИТОВА ВАЛЕНТИНА АЛЕКСАНДРОВНА"</f>
        <v>ТИТОВА ВАЛЕНТИНА АЛЕКСАНДРОВНА</v>
      </c>
      <c r="B1074" t="str">
        <f>"1971-10-27"</f>
        <v>1971-10-27</v>
      </c>
      <c r="C1074" t="str">
        <f>"65 16 341480"</f>
        <v>65 16 341480</v>
      </c>
      <c r="D1074" t="str">
        <f>"4279011698035816"</f>
        <v>4279011698035816</v>
      </c>
      <c r="E1074" t="str">
        <f>"2021-06-30"</f>
        <v>2021-06-30</v>
      </c>
      <c r="F1074" t="str">
        <f t="shared" si="170"/>
        <v>+</v>
      </c>
      <c r="G1074" t="str">
        <f t="shared" si="170"/>
        <v>+</v>
      </c>
      <c r="H1074" t="str">
        <f>"40817810816991463230"</f>
        <v>40817810816991463230</v>
      </c>
      <c r="I1074" t="str">
        <f>"7003"</f>
        <v>7003</v>
      </c>
      <c r="J1074" t="str">
        <f>"0760"</f>
        <v>0760</v>
      </c>
      <c r="K1074" t="str">
        <f>"54000.00"</f>
        <v>54000.00</v>
      </c>
      <c r="L1074" t="str">
        <f>"620000 ОБЛ СВЕРДЛОВСКАЯ Р-Н ИРБИТСКИЙ   С ЧЕРНОВСКОЕ УЛ СОВЕТСКАЯ д. 35"</f>
        <v>620000 ОБЛ СВЕРДЛОВСКАЯ Р-Н ИРБИТСКИЙ   С ЧЕРНОВСКОЕ УЛ СОВЕТСКАЯ д. 35</v>
      </c>
      <c r="M1074" t="str">
        <f t="shared" si="165"/>
        <v>2019-08-24</v>
      </c>
      <c r="N1074" t="str">
        <f>"КОЛХОЗ УРАЛ"</f>
        <v>КОЛХОЗ УРАЛ</v>
      </c>
      <c r="O1074" t="str">
        <f>"620000"</f>
        <v>620000</v>
      </c>
      <c r="P1074" t="str">
        <f>"ОБЛ СВЕРДЛОВСКАЯ"</f>
        <v>ОБЛ СВЕРДЛОВСКАЯ</v>
      </c>
      <c r="Q1074" t="str">
        <f>"Р-Н ИРБИТСКИЙ"</f>
        <v>Р-Н ИРБИТСКИЙ</v>
      </c>
      <c r="R1074" t="str">
        <f>""</f>
        <v/>
      </c>
      <c r="S1074" t="str">
        <f>"С ЧЕРНОВСКОЕ"</f>
        <v>С ЧЕРНОВСКОЕ</v>
      </c>
      <c r="T1074" t="str">
        <f>"УЛ 60 ЛЕТ ОКТЯБРЯ"</f>
        <v>УЛ 60 ЛЕТ ОКТЯБРЯ</v>
      </c>
      <c r="U1074" s="1" t="str">
        <f>"12А"</f>
        <v>12А</v>
      </c>
      <c r="V1074" s="1" t="str">
        <f>""</f>
        <v/>
      </c>
      <c r="W1074" s="1" t="str">
        <f>""</f>
        <v/>
      </c>
      <c r="X1074" s="1" t="str">
        <f>""</f>
        <v/>
      </c>
      <c r="Y1074" s="1" t="str">
        <f>"9"</f>
        <v>9</v>
      </c>
      <c r="Z1074" t="str">
        <f>"9025854558"</f>
        <v>9025854558</v>
      </c>
      <c r="AA1074" t="str">
        <f>"9025854558"</f>
        <v>9025854558</v>
      </c>
      <c r="AB1074" t="str">
        <f>"9025854558"</f>
        <v>9025854558</v>
      </c>
      <c r="AC1074" t="str">
        <f>"9025854558"</f>
        <v>9025854558</v>
      </c>
      <c r="AD1074" t="str">
        <f>"9025854558"</f>
        <v>9025854558</v>
      </c>
      <c r="AE1074" t="str">
        <f>"9025854558"</f>
        <v>9025854558</v>
      </c>
    </row>
    <row r="1075" spans="1:31" x14ac:dyDescent="0.45">
      <c r="A1075" t="str">
        <f>"ЦУЦКИРИДЗЕ РОЛАНДИ ДАВИДОВИЧ"</f>
        <v>ЦУЦКИРИДЗЕ РОЛАНДИ ДАВИДОВИЧ</v>
      </c>
      <c r="B1075" t="str">
        <f>"1957-07-05"</f>
        <v>1957-07-05</v>
      </c>
      <c r="C1075" t="str">
        <f>"74 03 437116"</f>
        <v>74 03 437116</v>
      </c>
      <c r="D1075" t="str">
        <f>"5484016705399723"</f>
        <v>5484016705399723</v>
      </c>
      <c r="E1075" t="str">
        <f t="shared" ref="E1075:E1083" si="171">"2021-05-31"</f>
        <v>2021-05-31</v>
      </c>
      <c r="F1075" t="str">
        <f t="shared" si="170"/>
        <v>+</v>
      </c>
      <c r="G1075" t="str">
        <f>"7"</f>
        <v>7</v>
      </c>
      <c r="H1075" t="str">
        <f>"40817810416992241822"</f>
        <v>40817810416992241822</v>
      </c>
      <c r="I1075" t="str">
        <f>"8369"</f>
        <v>8369</v>
      </c>
      <c r="J1075" t="str">
        <f>"7770"</f>
        <v>7770</v>
      </c>
      <c r="K1075" t="str">
        <f>"209006.19"</f>
        <v>209006.19</v>
      </c>
      <c r="L1075" t="str">
        <f>"629300 АО ЯМАЛО-НЕНЕЦКИЙ   Г НОВЫЙ УРЕНГОЙ   ПРОЕЗД 1 КМ А/Д УРЕНГОЙ КОРОТЧАЕВО д. 1"</f>
        <v>629300 АО ЯМАЛО-НЕНЕЦКИЙ   Г НОВЫЙ УРЕНГОЙ   ПРОЕЗД 1 КМ А/Д УРЕНГОЙ КОРОТЧАЕВО д. 1</v>
      </c>
      <c r="M1075" t="str">
        <f t="shared" si="165"/>
        <v>2019-08-24</v>
      </c>
      <c r="N1075" t="str">
        <f>"ООО КАПИТАЛ Н"</f>
        <v>ООО КАПИТАЛ Н</v>
      </c>
      <c r="O1075" t="str">
        <f>"629300"</f>
        <v>629300</v>
      </c>
      <c r="P1075" t="str">
        <f>"АО ЯМАЛО-НЕНЕЦКИЙ"</f>
        <v>АО ЯМАЛО-НЕНЕЦКИЙ</v>
      </c>
      <c r="Q1075" t="str">
        <f>""</f>
        <v/>
      </c>
      <c r="R1075" t="str">
        <f>"Г НОВЫЙ УРЕНГОЙ"</f>
        <v>Г НОВЫЙ УРЕНГОЙ</v>
      </c>
      <c r="S1075" t="str">
        <f>""</f>
        <v/>
      </c>
      <c r="T1075" t="str">
        <f>"УЛ НАБЕРЕЖНАЯ"</f>
        <v>УЛ НАБЕРЕЖНАЯ</v>
      </c>
      <c r="U1075" s="1" t="str">
        <f>"48"</f>
        <v>48</v>
      </c>
      <c r="V1075" s="1" t="str">
        <f>""</f>
        <v/>
      </c>
      <c r="W1075" s="1" t="str">
        <f>""</f>
        <v/>
      </c>
      <c r="X1075" s="1" t="str">
        <f>""</f>
        <v/>
      </c>
      <c r="Y1075" s="1" t="str">
        <f>"3"</f>
        <v>3</v>
      </c>
      <c r="Z1075" t="str">
        <f>"8929255775"</f>
        <v>8929255775</v>
      </c>
      <c r="AA1075" t="str">
        <f>"9220559977"</f>
        <v>9220559977</v>
      </c>
      <c r="AB1075" t="str">
        <f>"9220559977"</f>
        <v>9220559977</v>
      </c>
      <c r="AC1075" t="str">
        <f>"9220559977"</f>
        <v>9220559977</v>
      </c>
      <c r="AD1075" t="str">
        <f>"9220559977"</f>
        <v>9220559977</v>
      </c>
      <c r="AE1075" t="str">
        <f>"8929255775"</f>
        <v>8929255775</v>
      </c>
    </row>
    <row r="1076" spans="1:31" x14ac:dyDescent="0.45">
      <c r="A1076" t="str">
        <f>"ГАЛИХАНОВА АЭЛИТА ИЛЬГИЗОВНА"</f>
        <v>ГАЛИХАНОВА АЭЛИТА ИЛЬГИЗОВНА</v>
      </c>
      <c r="B1076" t="str">
        <f>"1982-03-03"</f>
        <v>1982-03-03</v>
      </c>
      <c r="C1076" t="str">
        <f>"67 13 295197"</f>
        <v>67 13 295197</v>
      </c>
      <c r="D1076" t="str">
        <f>"5484016706552304"</f>
        <v>5484016706552304</v>
      </c>
      <c r="E1076" t="str">
        <f t="shared" si="171"/>
        <v>2021-05-31</v>
      </c>
      <c r="F1076" t="str">
        <f t="shared" si="170"/>
        <v>+</v>
      </c>
      <c r="G1076" t="str">
        <f>"+"</f>
        <v>+</v>
      </c>
      <c r="H1076" t="str">
        <f>"40817810416992301678"</f>
        <v>40817810416992301678</v>
      </c>
      <c r="I1076" t="str">
        <f>"5940"</f>
        <v>5940</v>
      </c>
      <c r="J1076" t="str">
        <f>"7772"</f>
        <v>7772</v>
      </c>
      <c r="K1076" t="str">
        <f>"145000.00"</f>
        <v>145000.00</v>
      </c>
      <c r="L1076" t="str">
        <f>"628600 ОБЛ ТЮМЕНСКАЯ   Г НИЖНЕВАРТОВСК   УЛ МЕНДЕЛЕЕВА д. 20 А"</f>
        <v>628600 ОБЛ ТЮМЕНСКАЯ   Г НИЖНЕВАРТОВСК   УЛ МЕНДЕЛЕЕВА д. 20 А</v>
      </c>
      <c r="M1076" t="str">
        <f t="shared" si="165"/>
        <v>2019-08-24</v>
      </c>
      <c r="N1076" t="str">
        <f>"МАДОУ ДС 10 БЕЛОЧКА"</f>
        <v>МАДОУ ДС 10 БЕЛОЧКА</v>
      </c>
      <c r="O1076" t="str">
        <f>"628600"</f>
        <v>628600</v>
      </c>
      <c r="P1076" t="str">
        <f>"ОБЛ ТЮМЕНСКАЯ"</f>
        <v>ОБЛ ТЮМЕНСКАЯ</v>
      </c>
      <c r="Q1076" t="str">
        <f>""</f>
        <v/>
      </c>
      <c r="R1076" t="str">
        <f>"Г НИЖНЕВАРТОВСК"</f>
        <v>Г НИЖНЕВАРТОВСК</v>
      </c>
      <c r="S1076" t="str">
        <f>""</f>
        <v/>
      </c>
      <c r="T1076" t="str">
        <f>"УЛ 60 ЛЕТ ОКТЯБРЯ"</f>
        <v>УЛ 60 ЛЕТ ОКТЯБРЯ</v>
      </c>
      <c r="U1076" s="1" t="str">
        <f>"59"</f>
        <v>59</v>
      </c>
      <c r="V1076" s="1" t="str">
        <f>""</f>
        <v/>
      </c>
      <c r="W1076" s="1" t="str">
        <f>""</f>
        <v/>
      </c>
      <c r="X1076" s="1" t="str">
        <f>""</f>
        <v/>
      </c>
      <c r="Y1076" s="1" t="str">
        <f>"95"</f>
        <v>95</v>
      </c>
      <c r="Z1076" t="str">
        <f>"3466244660"</f>
        <v>3466244660</v>
      </c>
      <c r="AA1076" t="str">
        <f>"9028510093"</f>
        <v>9028510093</v>
      </c>
      <c r="AB1076" t="str">
        <f>"9028510093"</f>
        <v>9028510093</v>
      </c>
      <c r="AC1076" t="str">
        <f>"9028510093"</f>
        <v>9028510093</v>
      </c>
      <c r="AD1076" t="str">
        <f>"9028510093"</f>
        <v>9028510093</v>
      </c>
      <c r="AE1076" t="str">
        <f>"3466244660"</f>
        <v>3466244660</v>
      </c>
    </row>
    <row r="1077" spans="1:31" x14ac:dyDescent="0.45">
      <c r="A1077" t="str">
        <f>"БАБЕНКО ДМИТРИЙ АЛЕКСЕЕВИЧ"</f>
        <v>БАБЕНКО ДМИТРИЙ АЛЕКСЕЕВИЧ</v>
      </c>
      <c r="B1077" t="str">
        <f>"1970-12-11"</f>
        <v>1970-12-11</v>
      </c>
      <c r="C1077" t="str">
        <f>"74 15 907492"</f>
        <v>74 15 907492</v>
      </c>
      <c r="D1077" t="str">
        <f>"4279016732970720"</f>
        <v>4279016732970720</v>
      </c>
      <c r="E1077" t="str">
        <f t="shared" si="171"/>
        <v>2021-05-31</v>
      </c>
      <c r="F1077" t="str">
        <f t="shared" si="170"/>
        <v>+</v>
      </c>
      <c r="G1077" t="str">
        <f>"+"</f>
        <v>+</v>
      </c>
      <c r="H1077" t="str">
        <f>"40817810216992301742"</f>
        <v>40817810216992301742</v>
      </c>
      <c r="I1077" t="str">
        <f>"8369"</f>
        <v>8369</v>
      </c>
      <c r="J1077" t="str">
        <f>"0025"</f>
        <v>0025</v>
      </c>
      <c r="K1077" t="str">
        <f>"20000.00"</f>
        <v>20000.00</v>
      </c>
      <c r="L1077" t="str">
        <f>"629800 ОБЛ ТЮМЕНСКАЯ   Г НОЯБРЬСК   УЛ ПРОМЗОНА д. 1"</f>
        <v>629800 ОБЛ ТЮМЕНСКАЯ   Г НОЯБРЬСК   УЛ ПРОМЗОНА д. 1</v>
      </c>
      <c r="M1077" t="str">
        <f t="shared" si="165"/>
        <v>2019-08-24</v>
      </c>
      <c r="N1077" t="str">
        <f>"НГС"</f>
        <v>НГС</v>
      </c>
      <c r="O1077" t="str">
        <f>"629800"</f>
        <v>629800</v>
      </c>
      <c r="P1077" t="str">
        <f>"ОБЛ ТЮМЕНСКАЯ"</f>
        <v>ОБЛ ТЮМЕНСКАЯ</v>
      </c>
      <c r="Q1077" t="str">
        <f>"АО ЯМАЛО-НЕНЕЦКИЙ"</f>
        <v>АО ЯМАЛО-НЕНЕЦКИЙ</v>
      </c>
      <c r="R1077" t="str">
        <f>"Г НОЯБРЬСК"</f>
        <v>Г НОЯБРЬСК</v>
      </c>
      <c r="S1077" t="str">
        <f>""</f>
        <v/>
      </c>
      <c r="T1077" t="str">
        <f>"УЛ РЕСПУБЛИКИ"</f>
        <v>УЛ РЕСПУБЛИКИ</v>
      </c>
      <c r="U1077" s="1" t="str">
        <f>"47/2"</f>
        <v>47/2</v>
      </c>
      <c r="V1077" s="1" t="str">
        <f>""</f>
        <v/>
      </c>
      <c r="W1077" s="1" t="str">
        <f>""</f>
        <v/>
      </c>
      <c r="X1077" s="1" t="str">
        <f>""</f>
        <v/>
      </c>
      <c r="Y1077" s="1" t="str">
        <f>"30"</f>
        <v>30</v>
      </c>
      <c r="Z1077" t="str">
        <f>""</f>
        <v/>
      </c>
      <c r="AA1077" t="str">
        <f>"9224540719"</f>
        <v>9224540719</v>
      </c>
      <c r="AB1077" t="str">
        <f>"9220689438"</f>
        <v>9220689438</v>
      </c>
      <c r="AC1077" t="str">
        <f>"9224540719"</f>
        <v>9224540719</v>
      </c>
      <c r="AD1077" t="str">
        <f>"9220689438"</f>
        <v>9220689438</v>
      </c>
      <c r="AE1077" t="str">
        <f>""</f>
        <v/>
      </c>
    </row>
    <row r="1078" spans="1:31" x14ac:dyDescent="0.45">
      <c r="A1078" t="str">
        <f>"ДЖУРАЕВА НИГОРА АБДУКАХАРОВНА"</f>
        <v>ДЖУРАЕВА НИГОРА АБДУКАХАРОВНА</v>
      </c>
      <c r="B1078" t="str">
        <f>"1991-03-10"</f>
        <v>1991-03-10</v>
      </c>
      <c r="C1078" t="str">
        <f>"67 17 623778"</f>
        <v>67 17 623778</v>
      </c>
      <c r="D1078" t="str">
        <f>"5484016709526925"</f>
        <v>5484016709526925</v>
      </c>
      <c r="E1078" t="str">
        <f t="shared" si="171"/>
        <v>2021-05-31</v>
      </c>
      <c r="F1078" t="str">
        <f t="shared" si="170"/>
        <v>+</v>
      </c>
      <c r="G1078" t="str">
        <f>"+"</f>
        <v>+</v>
      </c>
      <c r="H1078" t="str">
        <f>"40817810116992301787"</f>
        <v>40817810116992301787</v>
      </c>
      <c r="I1078" t="str">
        <f>"5940"</f>
        <v>5940</v>
      </c>
      <c r="J1078" t="str">
        <f>"7772"</f>
        <v>7772</v>
      </c>
      <c r="K1078" t="str">
        <f>"14000.00"</f>
        <v>14000.00</v>
      </c>
      <c r="L1078" t="str">
        <f>"628600 ОБЛ ТЮМЕНСКАЯ   Г НИЖНЕВАРТОВСК   УЛ МЕНДЕЛЕЕВА д. 22А"</f>
        <v>628600 ОБЛ ТЮМЕНСКАЯ   Г НИЖНЕВАРТОВСК   УЛ МЕНДЕЛЕЕВА д. 22А</v>
      </c>
      <c r="M1078" t="str">
        <f t="shared" si="165"/>
        <v>2019-08-24</v>
      </c>
      <c r="N1078" t="str">
        <f>"МАДОУ ДС 10 БЕЛОЧКА"</f>
        <v>МАДОУ ДС 10 БЕЛОЧКА</v>
      </c>
      <c r="O1078" t="str">
        <f>"628852"</f>
        <v>628852</v>
      </c>
      <c r="P1078" t="str">
        <f>"ОБЛ ТЮМЕНСКАЯ"</f>
        <v>ОБЛ ТЮМЕНСКАЯ</v>
      </c>
      <c r="Q1078" t="str">
        <f>"Р-Н СУРГУТСКИЙ"</f>
        <v>Р-Н СУРГУТСКИЙ</v>
      </c>
      <c r="R1078" t="str">
        <f>"Г ЛЯНТОР"</f>
        <v>Г ЛЯНТОР</v>
      </c>
      <c r="S1078" t="str">
        <f>""</f>
        <v/>
      </c>
      <c r="T1078" t="str">
        <f>"УЛ 7 МКР"</f>
        <v>УЛ 7 МКР</v>
      </c>
      <c r="U1078" s="1" t="str">
        <f>"43"</f>
        <v>43</v>
      </c>
      <c r="V1078" s="1" t="str">
        <f>""</f>
        <v/>
      </c>
      <c r="W1078" s="1" t="str">
        <f>""</f>
        <v/>
      </c>
      <c r="X1078" s="1" t="str">
        <f>""</f>
        <v/>
      </c>
      <c r="Y1078" s="1" t="str">
        <f>"5"</f>
        <v>5</v>
      </c>
      <c r="Z1078" t="str">
        <f>"3466671506"</f>
        <v>3466671506</v>
      </c>
      <c r="AA1078" t="str">
        <f>"9821839465"</f>
        <v>9821839465</v>
      </c>
      <c r="AB1078" t="str">
        <f>"9821839465"</f>
        <v>9821839465</v>
      </c>
      <c r="AC1078" t="str">
        <f>"9821839465"</f>
        <v>9821839465</v>
      </c>
      <c r="AD1078" t="str">
        <f>"9821839465"</f>
        <v>9821839465</v>
      </c>
      <c r="AE1078" t="str">
        <f>"3466671506"</f>
        <v>3466671506</v>
      </c>
    </row>
    <row r="1079" spans="1:31" x14ac:dyDescent="0.45">
      <c r="A1079" t="str">
        <f>"ГЕРМАН АНАСТАСИЯ АЛЕКСАНДРОВНА"</f>
        <v>ГЕРМАН АНАСТАСИЯ АЛЕКСАНДРОВНА</v>
      </c>
      <c r="B1079" t="str">
        <f>"1991-02-15"</f>
        <v>1991-02-15</v>
      </c>
      <c r="C1079" t="str">
        <f>"71 10 839749"</f>
        <v>71 10 839749</v>
      </c>
      <c r="D1079" t="str">
        <f>"5469016703993708"</f>
        <v>5469016703993708</v>
      </c>
      <c r="E1079" t="str">
        <f t="shared" si="171"/>
        <v>2021-05-31</v>
      </c>
      <c r="F1079" t="str">
        <f t="shared" si="170"/>
        <v>+</v>
      </c>
      <c r="G1079" t="str">
        <f>"+"</f>
        <v>+</v>
      </c>
      <c r="H1079" t="str">
        <f>"40817810716992242851"</f>
        <v>40817810716992242851</v>
      </c>
      <c r="I1079" t="str">
        <f>"8647"</f>
        <v>8647</v>
      </c>
      <c r="J1079" t="str">
        <f>"0229"</f>
        <v>0229</v>
      </c>
      <c r="K1079" t="str">
        <f>"80000.00"</f>
        <v>80000.00</v>
      </c>
      <c r="L1079" t="str">
        <f>"627180 ОБЛ ТЮМЕНСКАЯ Р-Н УПОРОВСКИЙ   С УПОРОВО УЛ ВОЛОДАРСКОГО д. 113"</f>
        <v>627180 ОБЛ ТЮМЕНСКАЯ Р-Н УПОРОВСКИЙ   С УПОРОВО УЛ ВОЛОДАРСКОГО д. 113</v>
      </c>
      <c r="M1079" t="str">
        <f t="shared" si="165"/>
        <v>2019-08-24</v>
      </c>
      <c r="N1079" t="str">
        <f>"ГБУЗ ТО ОБЛАСТНАЯ БОЛЬНИЦА 12"</f>
        <v>ГБУЗ ТО ОБЛАСТНАЯ БОЛЬНИЦА 12</v>
      </c>
      <c r="O1079" t="str">
        <f>"627180"</f>
        <v>627180</v>
      </c>
      <c r="P1079" t="str">
        <f>"ОБЛ ТЮМЕНСКАЯ"</f>
        <v>ОБЛ ТЮМЕНСКАЯ</v>
      </c>
      <c r="Q1079" t="str">
        <f>"Р-Н УПОРОВСКИЙ"</f>
        <v>Р-Н УПОРОВСКИЙ</v>
      </c>
      <c r="R1079" t="str">
        <f>""</f>
        <v/>
      </c>
      <c r="S1079" t="str">
        <f>"П ОКТЯБРЬСКИЙ"</f>
        <v>П ОКТЯБРЬСКИЙ</v>
      </c>
      <c r="T1079" t="str">
        <f>"УЛ ШОССЕЙНАЯ"</f>
        <v>УЛ ШОССЕЙНАЯ</v>
      </c>
      <c r="U1079" s="1" t="str">
        <f>"1"</f>
        <v>1</v>
      </c>
      <c r="V1079" s="1" t="str">
        <f>""</f>
        <v/>
      </c>
      <c r="W1079" s="1" t="str">
        <f>""</f>
        <v/>
      </c>
      <c r="X1079" s="1" t="str">
        <f>""</f>
        <v/>
      </c>
      <c r="Y1079" s="1" t="str">
        <f>"2"</f>
        <v>2</v>
      </c>
      <c r="Z1079" t="str">
        <f>"3454132359"</f>
        <v>3454132359</v>
      </c>
      <c r="AA1079" t="str">
        <f>"3454133075"</f>
        <v>3454133075</v>
      </c>
      <c r="AB1079" t="str">
        <f>"9526884998"</f>
        <v>9526884998</v>
      </c>
      <c r="AC1079" t="str">
        <f>""</f>
        <v/>
      </c>
      <c r="AD1079" t="str">
        <f>"9526757067"</f>
        <v>9526757067</v>
      </c>
      <c r="AE1079" t="str">
        <f>"3454132495"</f>
        <v>3454132495</v>
      </c>
    </row>
    <row r="1080" spans="1:31" x14ac:dyDescent="0.45">
      <c r="A1080" t="str">
        <f>"КОВТУН ЮЛИЯ СТЕПАНОВНА"</f>
        <v>КОВТУН ЮЛИЯ СТЕПАНОВНА</v>
      </c>
      <c r="B1080" t="str">
        <f>"1966-05-09"</f>
        <v>1966-05-09</v>
      </c>
      <c r="C1080" t="str">
        <f>"67 10 101035"</f>
        <v>67 10 101035</v>
      </c>
      <c r="D1080" t="str">
        <f>"5484016708211396"</f>
        <v>5484016708211396</v>
      </c>
      <c r="E1080" t="str">
        <f t="shared" si="171"/>
        <v>2021-05-31</v>
      </c>
      <c r="F1080" t="str">
        <f t="shared" si="170"/>
        <v>+</v>
      </c>
      <c r="G1080" t="str">
        <f>"+"</f>
        <v>+</v>
      </c>
      <c r="H1080" t="str">
        <f>"40817810416992301830"</f>
        <v>40817810416992301830</v>
      </c>
      <c r="I1080" t="str">
        <f>"5940"</f>
        <v>5940</v>
      </c>
      <c r="J1080" t="str">
        <f>"7772"</f>
        <v>7772</v>
      </c>
      <c r="K1080" t="str">
        <f>"54000.00"</f>
        <v>54000.00</v>
      </c>
      <c r="L1080" t="str">
        <f>"628600 ОБЛ ТЮМЕНСКАЯ   Г НИЖНЕВАРТОВСК   УЛ МЕНДЕЛЕЕВА д. 20 А"</f>
        <v>628600 ОБЛ ТЮМЕНСКАЯ   Г НИЖНЕВАРТОВСК   УЛ МЕНДЕЛЕЕВА д. 20 А</v>
      </c>
      <c r="M1080" t="str">
        <f t="shared" si="165"/>
        <v>2019-08-24</v>
      </c>
      <c r="N1080" t="str">
        <f>"МАДОУ ДС 10 БЕЛОЧКА"</f>
        <v>МАДОУ ДС 10 БЕЛОЧКА</v>
      </c>
      <c r="O1080" t="str">
        <f>"628600"</f>
        <v>628600</v>
      </c>
      <c r="P1080" t="str">
        <f>"ОБЛ ТЮМЕНСКАЯ"</f>
        <v>ОБЛ ТЮМЕНСКАЯ</v>
      </c>
      <c r="Q1080" t="str">
        <f>""</f>
        <v/>
      </c>
      <c r="R1080" t="str">
        <f>"Г НИЖНЕВАРТОВСК"</f>
        <v>Г НИЖНЕВАРТОВСК</v>
      </c>
      <c r="S1080" t="str">
        <f>""</f>
        <v/>
      </c>
      <c r="T1080" t="str">
        <f>"УЛ ДЗЕРЖИНСКОГО"</f>
        <v>УЛ ДЗЕРЖИНСКОГО</v>
      </c>
      <c r="U1080" s="1" t="str">
        <f>"15"</f>
        <v>15</v>
      </c>
      <c r="V1080" s="1" t="str">
        <f>""</f>
        <v/>
      </c>
      <c r="W1080" s="1" t="str">
        <f>""</f>
        <v/>
      </c>
      <c r="X1080" s="1" t="str">
        <f>""</f>
        <v/>
      </c>
      <c r="Y1080" s="1" t="str">
        <f>"212"</f>
        <v>212</v>
      </c>
      <c r="Z1080" t="str">
        <f>"3466244660"</f>
        <v>3466244660</v>
      </c>
      <c r="AA1080" t="str">
        <f>"3466410784"</f>
        <v>3466410784</v>
      </c>
      <c r="AB1080" t="str">
        <f>"9195320592"</f>
        <v>9195320592</v>
      </c>
      <c r="AC1080" t="str">
        <f>"9195320592"</f>
        <v>9195320592</v>
      </c>
      <c r="AD1080" t="str">
        <f>"9195320592"</f>
        <v>9195320592</v>
      </c>
      <c r="AE1080" t="str">
        <f>"3466244660"</f>
        <v>3466244660</v>
      </c>
    </row>
    <row r="1081" spans="1:31" x14ac:dyDescent="0.45">
      <c r="A1081" t="str">
        <f>"ХАМИДУЛЛИНА АЙГУЛЬ ФИЛАРИТОВНА"</f>
        <v>ХАМИДУЛЛИНА АЙГУЛЬ ФИЛАРИТОВНА</v>
      </c>
      <c r="B1081" t="str">
        <f>"1986-10-12"</f>
        <v>1986-10-12</v>
      </c>
      <c r="C1081" t="str">
        <f>"67 13 354794"</f>
        <v>67 13 354794</v>
      </c>
      <c r="D1081" t="str">
        <f>"5484016709139422"</f>
        <v>5484016709139422</v>
      </c>
      <c r="E1081" t="str">
        <f t="shared" si="171"/>
        <v>2021-05-31</v>
      </c>
      <c r="F1081" t="str">
        <f>"Q"</f>
        <v>Q</v>
      </c>
      <c r="G1081" t="str">
        <f>"Q"</f>
        <v>Q</v>
      </c>
      <c r="H1081" t="str">
        <f>"40817810316992301891"</f>
        <v>40817810316992301891</v>
      </c>
      <c r="I1081" t="str">
        <f>"5940"</f>
        <v>5940</v>
      </c>
      <c r="J1081" t="str">
        <f>"7772"</f>
        <v>7772</v>
      </c>
      <c r="K1081" t="str">
        <f>"0.00"</f>
        <v>0.00</v>
      </c>
      <c r="L1081" t="str">
        <f>"628600 ОБЛ ТЮМЕНСКАЯ   Г НИЖНЕВАРТОВСК   УЛ МЕНДЕЛЕЕВА д. 20А"</f>
        <v>628600 ОБЛ ТЮМЕНСКАЯ   Г НИЖНЕВАРТОВСК   УЛ МЕНДЕЛЕЕВА д. 20А</v>
      </c>
      <c r="M1081" t="str">
        <f t="shared" si="165"/>
        <v>2019-08-24</v>
      </c>
      <c r="N1081" t="str">
        <f>"МАДОУ ДС 10 БЕЛОЧКА"</f>
        <v>МАДОУ ДС 10 БЕЛОЧКА</v>
      </c>
      <c r="O1081" t="str">
        <f>"457360"</f>
        <v>457360</v>
      </c>
      <c r="P1081" t="str">
        <f>"РЕСП БАШКОРТОСТАН"</f>
        <v>РЕСП БАШКОРТОСТАН</v>
      </c>
      <c r="Q1081" t="str">
        <f>"Р-Н ДЮРТЮЛИНСКИЙ"</f>
        <v>Р-Н ДЮРТЮЛИНСКИЙ</v>
      </c>
      <c r="R1081" t="str">
        <f>""</f>
        <v/>
      </c>
      <c r="S1081" t="str">
        <f>"С КУШУЛЕВО"</f>
        <v>С КУШУЛЕВО</v>
      </c>
      <c r="T1081" t="str">
        <f>"УЛ ШОССЕЙНАЯ"</f>
        <v>УЛ ШОССЕЙНАЯ</v>
      </c>
      <c r="U1081" s="1" t="str">
        <f>"8"</f>
        <v>8</v>
      </c>
      <c r="V1081" s="1" t="str">
        <f>""</f>
        <v/>
      </c>
      <c r="W1081" s="1" t="str">
        <f>""</f>
        <v/>
      </c>
      <c r="X1081" s="1" t="str">
        <f>""</f>
        <v/>
      </c>
      <c r="Y1081" s="1" t="str">
        <f>""</f>
        <v/>
      </c>
      <c r="Z1081" t="str">
        <f>"+7 (3466) 671506"</f>
        <v>+7 (3466) 671506</v>
      </c>
      <c r="AA1081" t="str">
        <f>"+7 (987) 4935151"</f>
        <v>+7 (987) 4935151</v>
      </c>
      <c r="AB1081" t="str">
        <f>"+7 (987) 4996151"</f>
        <v>+7 (987) 4996151</v>
      </c>
      <c r="AC1081" t="str">
        <f>"9527063414"</f>
        <v>9527063414</v>
      </c>
      <c r="AD1081" t="str">
        <f>"9527063414"</f>
        <v>9527063414</v>
      </c>
      <c r="AE1081" t="str">
        <f>"3466671506"</f>
        <v>3466671506</v>
      </c>
    </row>
    <row r="1082" spans="1:31" x14ac:dyDescent="0.45">
      <c r="A1082" t="str">
        <f>"КАРПЕНЮК ВЯЧЕСЛАВ АЛЕКСАНДРОВИЧ"</f>
        <v>КАРПЕНЮК ВЯЧЕСЛАВ АЛЕКСАНДРОВИЧ</v>
      </c>
      <c r="B1082" t="str">
        <f>"1964-08-24"</f>
        <v>1964-08-24</v>
      </c>
      <c r="C1082" t="str">
        <f>"39 14 816221"</f>
        <v>39 14 816221</v>
      </c>
      <c r="D1082" t="str">
        <f>"4279016717168225"</f>
        <v>4279016717168225</v>
      </c>
      <c r="E1082" t="str">
        <f t="shared" si="171"/>
        <v>2021-05-31</v>
      </c>
      <c r="F1082" t="str">
        <f>"+"</f>
        <v>+</v>
      </c>
      <c r="G1082" t="str">
        <f>"+"</f>
        <v>+</v>
      </c>
      <c r="H1082" t="str">
        <f>"40817810616992301960"</f>
        <v>40817810616992301960</v>
      </c>
      <c r="I1082" t="str">
        <f>"1791"</f>
        <v>1791</v>
      </c>
      <c r="J1082" t="str">
        <f>"0058"</f>
        <v>0058</v>
      </c>
      <c r="K1082" t="str">
        <f>"63000.00"</f>
        <v>63000.00</v>
      </c>
      <c r="L1082" t="str">
        <f>"628403 ОБЛ ТЮМЕНСКАЯ   Г СУРГУТ   УЛ ЭНЕРГОСТРОИТЕЛЕЙ д. 5 офис 28"</f>
        <v>628403 ОБЛ ТЮМЕНСКАЯ   Г СУРГУТ   УЛ ЭНЕРГОСТРОИТЕЛЕЙ д. 5 офис 28</v>
      </c>
      <c r="M1082" t="str">
        <f t="shared" si="165"/>
        <v>2019-08-24</v>
      </c>
      <c r="N1082" t="s">
        <v>76</v>
      </c>
      <c r="O1082" t="str">
        <f>"298213"</f>
        <v>298213</v>
      </c>
      <c r="P1082" t="str">
        <f>"РЕСП КРЫМ"</f>
        <v>РЕСП КРЫМ</v>
      </c>
      <c r="Q1082" t="str">
        <f>"Р-Н ЛЕНИНСКИЙ"</f>
        <v>Р-Н ЛЕНИНСКИЙ</v>
      </c>
      <c r="R1082" t="str">
        <f>"Г ЩЕЛКИНО"</f>
        <v>Г ЩЕЛКИНО</v>
      </c>
      <c r="S1082" t="str">
        <f>""</f>
        <v/>
      </c>
      <c r="T1082" t="str">
        <f>""</f>
        <v/>
      </c>
      <c r="U1082" s="1" t="str">
        <f>"12"</f>
        <v>12</v>
      </c>
      <c r="V1082" s="1" t="str">
        <f>""</f>
        <v/>
      </c>
      <c r="W1082" s="1" t="str">
        <f>""</f>
        <v/>
      </c>
      <c r="X1082" s="1" t="str">
        <f>""</f>
        <v/>
      </c>
      <c r="Y1082" s="1" t="str">
        <f>"95"</f>
        <v>95</v>
      </c>
      <c r="Z1082" t="str">
        <f>""</f>
        <v/>
      </c>
      <c r="AA1082" t="str">
        <f>"0000000000"</f>
        <v>0000000000</v>
      </c>
      <c r="AB1082" t="str">
        <f>"9028173790"</f>
        <v>9028173790</v>
      </c>
      <c r="AC1082" t="str">
        <f>"0000000000"</f>
        <v>0000000000</v>
      </c>
      <c r="AD1082" t="str">
        <f>"9028173790"</f>
        <v>9028173790</v>
      </c>
      <c r="AE1082" t="str">
        <f>""</f>
        <v/>
      </c>
    </row>
    <row r="1083" spans="1:31" x14ac:dyDescent="0.45">
      <c r="A1083" t="str">
        <f>"КОРНИЕВСКИЙ ИГОРЬ ВЛАДИМИРОВИЧ"</f>
        <v>КОРНИЕВСКИЙ ИГОРЬ ВЛАДИМИРОВИЧ</v>
      </c>
      <c r="B1083" t="str">
        <f>"1972-12-14"</f>
        <v>1972-12-14</v>
      </c>
      <c r="C1083" t="str">
        <f>"65 17 552258"</f>
        <v>65 17 552258</v>
      </c>
      <c r="D1083" t="str">
        <f>"4854630356384720"</f>
        <v>4854630356384720</v>
      </c>
      <c r="E1083" t="str">
        <f t="shared" si="171"/>
        <v>2021-05-31</v>
      </c>
      <c r="F1083" t="str">
        <f>"+"</f>
        <v>+</v>
      </c>
      <c r="G1083" t="str">
        <f>"+"</f>
        <v>+</v>
      </c>
      <c r="H1083" t="str">
        <f>"40817810816991463120"</f>
        <v>40817810816991463120</v>
      </c>
      <c r="I1083" t="str">
        <f>"7003"</f>
        <v>7003</v>
      </c>
      <c r="J1083" t="str">
        <f>"0444"</f>
        <v>0444</v>
      </c>
      <c r="K1083" t="str">
        <f>"60000.00"</f>
        <v>60000.00</v>
      </c>
      <c r="L1083" t="str">
        <f>"620000 ОБЛ СВЕРДЛОВСКАЯ   Г ЕКАТЕРИНБУРГ   УЛ ЕКАТЕРИНБУРГ д. 28 корп. А"</f>
        <v>620000 ОБЛ СВЕРДЛОВСКАЯ   Г ЕКАТЕРИНБУРГ   УЛ ЕКАТЕРИНБУРГ д. 28 корп. А</v>
      </c>
      <c r="M1083" t="str">
        <f t="shared" si="165"/>
        <v>2019-08-24</v>
      </c>
      <c r="N1083" t="str">
        <f>"АО АГРОТОРГ"</f>
        <v>АО АГРОТОРГ</v>
      </c>
      <c r="O1083" t="str">
        <f>"620000"</f>
        <v>620000</v>
      </c>
      <c r="P1083" t="str">
        <f>"ОБЛ СВЕРДЛОВСКАЯ"</f>
        <v>ОБЛ СВЕРДЛОВСКАЯ</v>
      </c>
      <c r="Q1083" t="str">
        <f>""</f>
        <v/>
      </c>
      <c r="R1083" t="str">
        <f>"Г ЕКАТЕРИНБУРГ"</f>
        <v>Г ЕКАТЕРИНБУРГ</v>
      </c>
      <c r="S1083" t="str">
        <f>""</f>
        <v/>
      </c>
      <c r="T1083" t="str">
        <f>"УЛ ПОСАДСКАЯ"</f>
        <v>УЛ ПОСАДСКАЯ</v>
      </c>
      <c r="U1083" s="1" t="str">
        <f>"42"</f>
        <v>42</v>
      </c>
      <c r="V1083" s="1" t="str">
        <f>""</f>
        <v/>
      </c>
      <c r="W1083" s="1" t="str">
        <f>""</f>
        <v/>
      </c>
      <c r="X1083" s="1" t="str">
        <f>""</f>
        <v/>
      </c>
      <c r="Y1083" s="1" t="str">
        <f>"42"</f>
        <v>42</v>
      </c>
      <c r="Z1083" t="str">
        <f>""</f>
        <v/>
      </c>
      <c r="AA1083" t="str">
        <f>"9521397387"</f>
        <v>9521397387</v>
      </c>
      <c r="AB1083" t="str">
        <f>"9521397387"</f>
        <v>9521397387</v>
      </c>
      <c r="AC1083" t="str">
        <f>"9521397387"</f>
        <v>9521397387</v>
      </c>
      <c r="AD1083" t="str">
        <f>"9521397387"</f>
        <v>9521397387</v>
      </c>
      <c r="AE1083" t="str">
        <f>""</f>
        <v/>
      </c>
    </row>
    <row r="1084" spans="1:31" x14ac:dyDescent="0.45">
      <c r="A1084" t="str">
        <f>"МУХАМЕДЬЯНОВА ЛИЛИЯ ФАХРЕТДИНОВНА"</f>
        <v>МУХАМЕДЬЯНОВА ЛИЛИЯ ФАХРЕТДИНОВНА</v>
      </c>
      <c r="B1084" t="str">
        <f>"1981-07-23"</f>
        <v>1981-07-23</v>
      </c>
      <c r="C1084" t="str">
        <f>"75 03 047458"</f>
        <v>75 03 047458</v>
      </c>
      <c r="D1084" t="str">
        <f>"4854630298168132"</f>
        <v>4854630298168132</v>
      </c>
      <c r="E1084" t="str">
        <f>"2020-11-30"</f>
        <v>2020-11-30</v>
      </c>
      <c r="F1084" t="str">
        <f>"Q"</f>
        <v>Q</v>
      </c>
      <c r="G1084" t="str">
        <f>"Q"</f>
        <v>Q</v>
      </c>
      <c r="H1084" t="str">
        <f>"40817810116991463121"</f>
        <v>40817810116991463121</v>
      </c>
      <c r="I1084" t="str">
        <f>"8597"</f>
        <v>8597</v>
      </c>
      <c r="J1084" t="str">
        <f>"0508"</f>
        <v>0508</v>
      </c>
      <c r="K1084" t="str">
        <f>"0.00"</f>
        <v>0.00</v>
      </c>
      <c r="L1084" t="str">
        <f>"456910 ОБЛ ЧЕЛЯБИНСКАЯ Р-Н САТКИСНКИЙ Г САТКА НП НЕ УКАЗАН УЛ ПЛОЩАДЬ 1 МАЯ д. 1"</f>
        <v>456910 ОБЛ ЧЕЛЯБИНСКАЯ Р-Н САТКИСНКИЙ Г САТКА НП НЕ УКАЗАН УЛ ПЛОЩАДЬ 1 МАЯ д. 1</v>
      </c>
      <c r="M1084" t="str">
        <f t="shared" si="165"/>
        <v>2019-08-24</v>
      </c>
      <c r="N1084" t="str">
        <f>"ОАО СЧПЗ"</f>
        <v>ОАО СЧПЗ</v>
      </c>
      <c r="O1084" t="str">
        <f>"454000"</f>
        <v>454000</v>
      </c>
      <c r="P1084" t="str">
        <f>"ОБЛ ЧЕЛЯБИНСКАЯ"</f>
        <v>ОБЛ ЧЕЛЯБИНСКАЯ</v>
      </c>
      <c r="Q1084" t="str">
        <f>"Р-Н САТКИНСКИЙ"</f>
        <v>Р-Н САТКИНСКИЙ</v>
      </c>
      <c r="R1084" t="str">
        <f>"Г САТКА"</f>
        <v>Г САТКА</v>
      </c>
      <c r="S1084" t="str">
        <f>"НП НЕ УКАЗАН"</f>
        <v>НП НЕ УКАЗАН</v>
      </c>
      <c r="T1084" t="str">
        <f>"УЛ ПОБЕДЫ"</f>
        <v>УЛ ПОБЕДЫ</v>
      </c>
      <c r="U1084" s="1" t="str">
        <f>"38"</f>
        <v>38</v>
      </c>
      <c r="V1084" s="1" t="str">
        <f>""</f>
        <v/>
      </c>
      <c r="W1084" s="1" t="str">
        <f>""</f>
        <v/>
      </c>
      <c r="X1084" s="1" t="str">
        <f>""</f>
        <v/>
      </c>
      <c r="Y1084" s="1" t="str">
        <f>"0"</f>
        <v>0</v>
      </c>
      <c r="Z1084" t="str">
        <f>"3516194338"</f>
        <v>3516194338</v>
      </c>
      <c r="AA1084" t="str">
        <f>"9821137869"</f>
        <v>9821137869</v>
      </c>
      <c r="AB1084" t="str">
        <f>"9821137869"</f>
        <v>9821137869</v>
      </c>
      <c r="AC1084" t="str">
        <f>"9226956381"</f>
        <v>9226956381</v>
      </c>
      <c r="AD1084" t="str">
        <f>"9226956381"</f>
        <v>9226956381</v>
      </c>
      <c r="AE1084" t="str">
        <f>"9226956381"</f>
        <v>9226956381</v>
      </c>
    </row>
    <row r="1085" spans="1:31" x14ac:dyDescent="0.45">
      <c r="A1085" t="str">
        <f>"АНДРЕЕВ ВАСИЛИЙ ВИКТОРОВИЧ"</f>
        <v>АНДРЕЕВ ВАСИЛИЙ ВИКТОРОВИЧ</v>
      </c>
      <c r="B1085" t="str">
        <f>"1988-07-18"</f>
        <v>1988-07-18</v>
      </c>
      <c r="C1085" t="str">
        <f>"67 08 814341"</f>
        <v>67 08 814341</v>
      </c>
      <c r="D1085" t="str">
        <f>"5484016705635068"</f>
        <v>5484016705635068</v>
      </c>
      <c r="E1085" t="str">
        <f t="shared" ref="E1085:E1091" si="172">"2021-05-31"</f>
        <v>2021-05-31</v>
      </c>
      <c r="F1085" t="str">
        <f>"+"</f>
        <v>+</v>
      </c>
      <c r="G1085" t="str">
        <f>"+"</f>
        <v>+</v>
      </c>
      <c r="H1085" t="str">
        <f>"40817810316992097516"</f>
        <v>40817810316992097516</v>
      </c>
      <c r="I1085" t="str">
        <f>"8647"</f>
        <v>8647</v>
      </c>
      <c r="J1085" t="str">
        <f t="shared" ref="J1085:J1091" si="173">"7770"</f>
        <v>7770</v>
      </c>
      <c r="K1085" t="str">
        <f>"40000.00"</f>
        <v>40000.00</v>
      </c>
      <c r="L1085" t="str">
        <f>"625000 ОБЛ ТЮМЕНСКАЯ   Г ТЮМЕНЬ   УЛ ТИМИРЯЗЕВА д. 9"</f>
        <v>625000 ОБЛ ТЮМЕНСКАЯ   Г ТЮМЕНЬ   УЛ ТИМИРЯЗЕВА д. 9</v>
      </c>
      <c r="M1085" t="str">
        <f t="shared" si="165"/>
        <v>2019-08-24</v>
      </c>
      <c r="N1085" t="str">
        <f>"ООО ЛАНА-ЭЛЕКТРИК"</f>
        <v>ООО ЛАНА-ЭЛЕКТРИК</v>
      </c>
      <c r="O1085" t="str">
        <f>"625056"</f>
        <v>625056</v>
      </c>
      <c r="P1085" t="str">
        <f t="shared" ref="P1085:P1091" si="174">"ОБЛ ТЮМЕНСКАЯ"</f>
        <v>ОБЛ ТЮМЕНСКАЯ</v>
      </c>
      <c r="Q1085" t="str">
        <f>""</f>
        <v/>
      </c>
      <c r="R1085" t="str">
        <f>"Г ТЮМЕНЬ"</f>
        <v>Г ТЮМЕНЬ</v>
      </c>
      <c r="S1085" t="str">
        <f>""</f>
        <v/>
      </c>
      <c r="T1085" t="str">
        <f>"УЛ МЕТЕЛЁВСКАЯ"</f>
        <v>УЛ МЕТЕЛЁВСКАЯ</v>
      </c>
      <c r="U1085" s="1" t="str">
        <f>"5"</f>
        <v>5</v>
      </c>
      <c r="V1085" s="1" t="str">
        <f>""</f>
        <v/>
      </c>
      <c r="W1085" s="1" t="str">
        <f>""</f>
        <v/>
      </c>
      <c r="X1085" s="1" t="str">
        <f>""</f>
        <v/>
      </c>
      <c r="Y1085" s="1" t="str">
        <f>"40"</f>
        <v>40</v>
      </c>
      <c r="Z1085" t="str">
        <f>"3452317924"</f>
        <v>3452317924</v>
      </c>
      <c r="AA1085" t="str">
        <f>"9097399598"</f>
        <v>9097399598</v>
      </c>
      <c r="AB1085" t="str">
        <f>"9097399598"</f>
        <v>9097399598</v>
      </c>
      <c r="AC1085" t="str">
        <f>"9097399598"</f>
        <v>9097399598</v>
      </c>
      <c r="AD1085" t="str">
        <f>"9097399598"</f>
        <v>9097399598</v>
      </c>
      <c r="AE1085" t="str">
        <f>"3452317924"</f>
        <v>3452317924</v>
      </c>
    </row>
    <row r="1086" spans="1:31" x14ac:dyDescent="0.45">
      <c r="A1086" t="str">
        <f>"СЛОНИМЕЦ ЯНА ВЯЧЕСЛАВОВНА"</f>
        <v>СЛОНИМЕЦ ЯНА ВЯЧЕСЛАВОВНА</v>
      </c>
      <c r="B1086" t="str">
        <f>"1994-10-24"</f>
        <v>1994-10-24</v>
      </c>
      <c r="C1086" t="str">
        <f>"71 14 112749"</f>
        <v>71 14 112749</v>
      </c>
      <c r="D1086" t="str">
        <f>"5484016704399146"</f>
        <v>5484016704399146</v>
      </c>
      <c r="E1086" t="str">
        <f t="shared" si="172"/>
        <v>2021-05-31</v>
      </c>
      <c r="F1086" t="str">
        <f>"Q"</f>
        <v>Q</v>
      </c>
      <c r="G1086" t="str">
        <f>"Q"</f>
        <v>Q</v>
      </c>
      <c r="H1086" t="str">
        <f>"40817810567720693026"</f>
        <v>40817810567720693026</v>
      </c>
      <c r="I1086" t="str">
        <f>"0029"</f>
        <v>0029</v>
      </c>
      <c r="J1086" t="str">
        <f t="shared" si="173"/>
        <v>7770</v>
      </c>
      <c r="K1086" t="str">
        <f t="shared" ref="K1086:K1087" si="175">"0.00"</f>
        <v>0.00</v>
      </c>
      <c r="L1086" t="str">
        <f>"625000 ОБЛ ТЮМЕНСКАЯ   Г ТЮМЕНЬ   УЛ КОТОВСКОГО д. 55"</f>
        <v>625000 ОБЛ ТЮМЕНСКАЯ   Г ТЮМЕНЬ   УЛ КОТОВСКОГО д. 55</v>
      </c>
      <c r="M1086" t="str">
        <f t="shared" si="165"/>
        <v>2019-08-24</v>
      </c>
      <c r="N1086" t="str">
        <f>"ГБУЗ ТО ОКБ № 1"</f>
        <v>ГБУЗ ТО ОКБ № 1</v>
      </c>
      <c r="O1086" t="str">
        <f>"625000"</f>
        <v>625000</v>
      </c>
      <c r="P1086" t="str">
        <f t="shared" si="174"/>
        <v>ОБЛ ТЮМЕНСКАЯ</v>
      </c>
      <c r="Q1086" t="str">
        <f>""</f>
        <v/>
      </c>
      <c r="R1086" t="str">
        <f>"Г ТЮМЕНЬ"</f>
        <v>Г ТЮМЕНЬ</v>
      </c>
      <c r="S1086" t="str">
        <f>""</f>
        <v/>
      </c>
      <c r="T1086" t="str">
        <f>"УЛ ПРИОЗЕРНАЯ"</f>
        <v>УЛ ПРИОЗЕРНАЯ</v>
      </c>
      <c r="U1086" s="1" t="str">
        <f>"20"</f>
        <v>20</v>
      </c>
      <c r="V1086" s="1" t="str">
        <f>""</f>
        <v/>
      </c>
      <c r="W1086" s="1" t="str">
        <f>""</f>
        <v/>
      </c>
      <c r="X1086" s="1" t="str">
        <f>""</f>
        <v/>
      </c>
      <c r="Y1086" s="1" t="str">
        <f>""</f>
        <v/>
      </c>
      <c r="Z1086" t="str">
        <f>"3452287559"</f>
        <v>3452287559</v>
      </c>
      <c r="AA1086" t="str">
        <f>"9829052539"</f>
        <v>9829052539</v>
      </c>
      <c r="AB1086" t="str">
        <f>"9829052539"</f>
        <v>9829052539</v>
      </c>
      <c r="AC1086" t="str">
        <f>"9829052539"</f>
        <v>9829052539</v>
      </c>
      <c r="AD1086" t="str">
        <f>"9829052539"</f>
        <v>9829052539</v>
      </c>
      <c r="AE1086" t="str">
        <f>"3452287559"</f>
        <v>3452287559</v>
      </c>
    </row>
    <row r="1087" spans="1:31" x14ac:dyDescent="0.45">
      <c r="A1087" t="str">
        <f>"КЛИШЕВА МАРИЯ АЛЕКСЕЕВНА"</f>
        <v>КЛИШЕВА МАРИЯ АЛЕКСЕЕВНА</v>
      </c>
      <c r="B1087" t="str">
        <f>"1988-11-24"</f>
        <v>1988-11-24</v>
      </c>
      <c r="C1087" t="str">
        <f>"71 11 881239"</f>
        <v>71 11 881239</v>
      </c>
      <c r="D1087" t="str">
        <f>"5484016709841993"</f>
        <v>5484016709841993</v>
      </c>
      <c r="E1087" t="str">
        <f t="shared" si="172"/>
        <v>2021-05-31</v>
      </c>
      <c r="F1087" t="str">
        <f>"Y"</f>
        <v>Y</v>
      </c>
      <c r="G1087" t="str">
        <f>"Q"</f>
        <v>Q</v>
      </c>
      <c r="H1087" t="str">
        <f>"40817810916992302339"</f>
        <v>40817810916992302339</v>
      </c>
      <c r="I1087" t="str">
        <f>"8647"</f>
        <v>8647</v>
      </c>
      <c r="J1087" t="str">
        <f t="shared" si="173"/>
        <v>7770</v>
      </c>
      <c r="K1087" t="str">
        <f t="shared" si="175"/>
        <v>0.00</v>
      </c>
      <c r="L1087" t="str">
        <f>"625013 ОБЛ ТЮМЕНСКАЯ   Г ТЮМЕНЬ   УЛ ЭНЕРГЕТИКОВ д. 26"</f>
        <v>625013 ОБЛ ТЮМЕНСКАЯ   Г ТЮМЕНЬ   УЛ ЭНЕРГЕТИКОВ д. 26</v>
      </c>
      <c r="M1087" t="str">
        <f t="shared" si="165"/>
        <v>2019-08-24</v>
      </c>
      <c r="N1087" t="str">
        <f>"ОКБ 1"</f>
        <v>ОКБ 1</v>
      </c>
      <c r="O1087" t="str">
        <f>"625046"</f>
        <v>625046</v>
      </c>
      <c r="P1087" t="str">
        <f t="shared" si="174"/>
        <v>ОБЛ ТЮМЕНСКАЯ</v>
      </c>
      <c r="Q1087" t="str">
        <f>""</f>
        <v/>
      </c>
      <c r="R1087" t="str">
        <f>"Г ТЮМЕНЬ"</f>
        <v>Г ТЮМЕНЬ</v>
      </c>
      <c r="S1087" t="str">
        <f>""</f>
        <v/>
      </c>
      <c r="T1087" t="str">
        <f>"УЛ НАРОДНАЯ"</f>
        <v>УЛ НАРОДНАЯ</v>
      </c>
      <c r="U1087" s="1" t="str">
        <f>"4"</f>
        <v>4</v>
      </c>
      <c r="V1087" s="1" t="str">
        <f>""</f>
        <v/>
      </c>
      <c r="W1087" s="1" t="str">
        <f>"6"</f>
        <v>6</v>
      </c>
      <c r="X1087" s="1" t="str">
        <f>""</f>
        <v/>
      </c>
      <c r="Y1087" s="1" t="str">
        <f>"23"</f>
        <v>23</v>
      </c>
      <c r="Z1087" t="str">
        <f>"+7 (3452) 287559"</f>
        <v>+7 (3452) 287559</v>
      </c>
      <c r="AA1087" t="str">
        <f>"+7 (919) 9540722"</f>
        <v>+7 (919) 9540722</v>
      </c>
      <c r="AB1087" t="str">
        <f>"+7 (919) 9540722"</f>
        <v>+7 (919) 9540722</v>
      </c>
      <c r="AC1087" t="str">
        <f>"9199540722"</f>
        <v>9199540722</v>
      </c>
      <c r="AD1087" t="str">
        <f>"9199540722"</f>
        <v>9199540722</v>
      </c>
      <c r="AE1087" t="str">
        <f>"3452287559"</f>
        <v>3452287559</v>
      </c>
    </row>
    <row r="1088" spans="1:31" x14ac:dyDescent="0.45">
      <c r="A1088" t="str">
        <f>"БУНЬКОВА КЛАРА МАРВАНОВНА"</f>
        <v>БУНЬКОВА КЛАРА МАРВАНОВНА</v>
      </c>
      <c r="B1088" t="str">
        <f>"1974-04-02"</f>
        <v>1974-04-02</v>
      </c>
      <c r="C1088" t="str">
        <f>"67 00 281858"</f>
        <v>67 00 281858</v>
      </c>
      <c r="D1088" t="str">
        <f>"5484016708354857"</f>
        <v>5484016708354857</v>
      </c>
      <c r="E1088" t="str">
        <f t="shared" si="172"/>
        <v>2021-05-31</v>
      </c>
      <c r="F1088" t="str">
        <f>"+"</f>
        <v>+</v>
      </c>
      <c r="G1088" t="str">
        <f>"+"</f>
        <v>+</v>
      </c>
      <c r="H1088" t="str">
        <f>"40817810116992302540"</f>
        <v>40817810116992302540</v>
      </c>
      <c r="I1088" t="str">
        <f>"5940"</f>
        <v>5940</v>
      </c>
      <c r="J1088" t="str">
        <f t="shared" si="173"/>
        <v>7770</v>
      </c>
      <c r="K1088" t="str">
        <f>"10000.00"</f>
        <v>10000.00</v>
      </c>
      <c r="L1088" t="str">
        <f>"628400 ОБЛ ТЮМЕНСКАЯ   Г ЛЯНТОР   МКР 7 д. 68"</f>
        <v>628400 ОБЛ ТЮМЕНСКАЯ   Г ЛЯНТОР   МКР 7 д. 68</v>
      </c>
      <c r="M1088" t="str">
        <f t="shared" si="165"/>
        <v>2019-08-24</v>
      </c>
      <c r="N1088" t="str">
        <f>"ДС РОДНИЧОК"</f>
        <v>ДС РОДНИЧОК</v>
      </c>
      <c r="O1088" t="str">
        <f>"628400"</f>
        <v>628400</v>
      </c>
      <c r="P1088" t="str">
        <f t="shared" si="174"/>
        <v>ОБЛ ТЮМЕНСКАЯ</v>
      </c>
      <c r="Q1088" t="str">
        <f>"Р-Н СУРГУТСКИЙ"</f>
        <v>Р-Н СУРГУТСКИЙ</v>
      </c>
      <c r="R1088" t="str">
        <f>"Г ЛЯНТОР"</f>
        <v>Г ЛЯНТОР</v>
      </c>
      <c r="S1088" t="str">
        <f>""</f>
        <v/>
      </c>
      <c r="T1088" t="str">
        <f>"МКР 7"</f>
        <v>МКР 7</v>
      </c>
      <c r="U1088" s="1" t="str">
        <f>"41"</f>
        <v>41</v>
      </c>
      <c r="V1088" s="1" t="str">
        <f>""</f>
        <v/>
      </c>
      <c r="W1088" s="1" t="str">
        <f>""</f>
        <v/>
      </c>
      <c r="X1088" s="1" t="str">
        <f>""</f>
        <v/>
      </c>
      <c r="Y1088" s="1" t="str">
        <f>"3"</f>
        <v>3</v>
      </c>
      <c r="Z1088" t="str">
        <f>"3463824915"</f>
        <v>3463824915</v>
      </c>
      <c r="AA1088" t="str">
        <f>"9044894219"</f>
        <v>9044894219</v>
      </c>
      <c r="AB1088" t="str">
        <f>"9044894219"</f>
        <v>9044894219</v>
      </c>
      <c r="AC1088" t="str">
        <f>"9044894219"</f>
        <v>9044894219</v>
      </c>
      <c r="AD1088" t="str">
        <f>"9044894219"</f>
        <v>9044894219</v>
      </c>
      <c r="AE1088" t="str">
        <f>"3463824915"</f>
        <v>3463824915</v>
      </c>
    </row>
    <row r="1089" spans="1:31" x14ac:dyDescent="0.45">
      <c r="A1089" t="str">
        <f>"БЕЗРУКОВ АЛЕКСАНДР ВАСИЛЬЕВИЧ"</f>
        <v>БЕЗРУКОВ АЛЕКСАНДР ВАСИЛЬЕВИЧ</v>
      </c>
      <c r="B1089" t="str">
        <f>"1972-07-22"</f>
        <v>1972-07-22</v>
      </c>
      <c r="C1089" t="str">
        <f>"71 17 303782"</f>
        <v>71 17 303782</v>
      </c>
      <c r="D1089" t="str">
        <f>"5484016704292341"</f>
        <v>5484016704292341</v>
      </c>
      <c r="E1089" t="str">
        <f t="shared" si="172"/>
        <v>2021-05-31</v>
      </c>
      <c r="F1089" t="str">
        <f>"+"</f>
        <v>+</v>
      </c>
      <c r="G1089" t="str">
        <f>"+"</f>
        <v>+</v>
      </c>
      <c r="H1089" t="str">
        <f>"40817810216992097784"</f>
        <v>40817810216992097784</v>
      </c>
      <c r="I1089" t="str">
        <f>"8647"</f>
        <v>8647</v>
      </c>
      <c r="J1089" t="str">
        <f t="shared" si="173"/>
        <v>7770</v>
      </c>
      <c r="K1089" t="str">
        <f>"40000.00"</f>
        <v>40000.00</v>
      </c>
      <c r="L1089" t="str">
        <f>"625000 ОБЛ ТЮМЕНСКАЯ   Г ТЮМЕНЬ   УЛ ХОЛОДИЛЬНАЯ"</f>
        <v>625000 ОБЛ ТЮМЕНСКАЯ   Г ТЮМЕНЬ   УЛ ХОЛОДИЛЬНАЯ</v>
      </c>
      <c r="M1089" t="str">
        <f t="shared" si="165"/>
        <v>2019-08-24</v>
      </c>
      <c r="N1089" t="str">
        <f>"ИП ВАГИНА СВЕТЛАНА ВАСИЛЬЕВНА"</f>
        <v>ИП ВАГИНА СВЕТЛАНА ВАСИЛЬЕВНА</v>
      </c>
      <c r="O1089" t="str">
        <f>"625019"</f>
        <v>625019</v>
      </c>
      <c r="P1089" t="str">
        <f t="shared" si="174"/>
        <v>ОБЛ ТЮМЕНСКАЯ</v>
      </c>
      <c r="Q1089" t="str">
        <f>""</f>
        <v/>
      </c>
      <c r="R1089" t="str">
        <f>"Г ТЮМЕНЬ"</f>
        <v>Г ТЮМЕНЬ</v>
      </c>
      <c r="S1089" t="str">
        <f>""</f>
        <v/>
      </c>
      <c r="T1089" t="str">
        <f>"УЛ ПОЛЕТАЕВА"</f>
        <v>УЛ ПОЛЕТАЕВА</v>
      </c>
      <c r="U1089" s="1" t="str">
        <f>"17"</f>
        <v>17</v>
      </c>
      <c r="V1089" s="1" t="str">
        <f>""</f>
        <v/>
      </c>
      <c r="W1089" s="1" t="str">
        <f>""</f>
        <v/>
      </c>
      <c r="X1089" s="1" t="str">
        <f>""</f>
        <v/>
      </c>
      <c r="Y1089" s="1" t="str">
        <f>""</f>
        <v/>
      </c>
      <c r="Z1089" t="str">
        <f>"3452387784"</f>
        <v>3452387784</v>
      </c>
      <c r="AA1089" t="str">
        <f>"9123956090"</f>
        <v>9123956090</v>
      </c>
      <c r="AB1089" t="str">
        <f>"9123956090"</f>
        <v>9123956090</v>
      </c>
      <c r="AC1089" t="str">
        <f>"9123956090"</f>
        <v>9123956090</v>
      </c>
      <c r="AD1089" t="str">
        <f>"9123956090"</f>
        <v>9123956090</v>
      </c>
      <c r="AE1089" t="str">
        <f>"3452387784"</f>
        <v>3452387784</v>
      </c>
    </row>
    <row r="1090" spans="1:31" x14ac:dyDescent="0.45">
      <c r="A1090" t="str">
        <f>"ГРЕБЕНЕВА ОЛЬГА АЛЕКСАНДРОВНА"</f>
        <v>ГРЕБЕНЕВА ОЛЬГА АЛЕКСАНДРОВНА</v>
      </c>
      <c r="B1090" t="str">
        <f>"1985-09-18"</f>
        <v>1985-09-18</v>
      </c>
      <c r="C1090" t="str">
        <f>"71 18 381868"</f>
        <v>71 18 381868</v>
      </c>
      <c r="D1090" t="str">
        <f>"5484016702649070"</f>
        <v>5484016702649070</v>
      </c>
      <c r="E1090" t="str">
        <f t="shared" si="172"/>
        <v>2021-05-31</v>
      </c>
      <c r="F1090" t="str">
        <f>"K"</f>
        <v>K</v>
      </c>
      <c r="G1090" t="str">
        <f>"+"</f>
        <v>+</v>
      </c>
      <c r="H1090" t="str">
        <f>"40817810716992302746"</f>
        <v>40817810716992302746</v>
      </c>
      <c r="I1090" t="str">
        <f>"8647"</f>
        <v>8647</v>
      </c>
      <c r="J1090" t="str">
        <f t="shared" si="173"/>
        <v>7770</v>
      </c>
      <c r="K1090" t="str">
        <f>"83000.00"</f>
        <v>83000.00</v>
      </c>
      <c r="L1090" t="str">
        <f>"625000 ОБЛ ТЮМЕНСКАЯ   Г ТЮМЕНЬ   УЛ МЕЛЬНИКАЙТЕ д. 112 стр. 3"</f>
        <v>625000 ОБЛ ТЮМЕНСКАЯ   Г ТЮМЕНЬ   УЛ МЕЛЬНИКАЙТЕ д. 112 стр. 3</v>
      </c>
      <c r="M1090" t="str">
        <f t="shared" ref="M1090:M1153" si="176">"2019-08-24"</f>
        <v>2019-08-24</v>
      </c>
      <c r="N1090" t="str">
        <f>"ФГУП ГЛАВНЫЙ ЦЕНТР СПЕЦИАЛЬНОЙ СВЯЗИ"</f>
        <v>ФГУП ГЛАВНЫЙ ЦЕНТР СПЕЦИАЛЬНОЙ СВЯЗИ</v>
      </c>
      <c r="O1090" t="str">
        <f>"625000"</f>
        <v>625000</v>
      </c>
      <c r="P1090" t="str">
        <f t="shared" si="174"/>
        <v>ОБЛ ТЮМЕНСКАЯ</v>
      </c>
      <c r="Q1090" t="str">
        <f>""</f>
        <v/>
      </c>
      <c r="R1090" t="str">
        <f>"Г ТЮМЕНЬ"</f>
        <v>Г ТЮМЕНЬ</v>
      </c>
      <c r="S1090" t="str">
        <f>""</f>
        <v/>
      </c>
      <c r="T1090" t="str">
        <f>"УЛ НИКОЛАЯ ФЕДОРОВА"</f>
        <v>УЛ НИКОЛАЯ ФЕДОРОВА</v>
      </c>
      <c r="U1090" s="1" t="str">
        <f>"17"</f>
        <v>17</v>
      </c>
      <c r="V1090" s="1" t="str">
        <f>""</f>
        <v/>
      </c>
      <c r="W1090" s="1" t="str">
        <f>"2"</f>
        <v>2</v>
      </c>
      <c r="X1090" s="1" t="str">
        <f>""</f>
        <v/>
      </c>
      <c r="Y1090" s="1" t="str">
        <f>"117"</f>
        <v>117</v>
      </c>
      <c r="Z1090" t="str">
        <f>"+7 (3452) 630068"</f>
        <v>+7 (3452) 630068</v>
      </c>
      <c r="AA1090" t="str">
        <f>"+7 (912) 3865176"</f>
        <v>+7 (912) 3865176</v>
      </c>
      <c r="AB1090" t="str">
        <f>"+7 (912) 3865176"</f>
        <v>+7 (912) 3865176</v>
      </c>
      <c r="AC1090" t="str">
        <f>"9123865176"</f>
        <v>9123865176</v>
      </c>
      <c r="AD1090" t="str">
        <f>"9123865176"</f>
        <v>9123865176</v>
      </c>
      <c r="AE1090" t="str">
        <f>"3452608218"</f>
        <v>3452608218</v>
      </c>
    </row>
    <row r="1091" spans="1:31" x14ac:dyDescent="0.45">
      <c r="A1091" t="str">
        <f>"МЕЛЬНИКОВА ЮЛИЯ СЕРГЕЕВНА"</f>
        <v>МЕЛЬНИКОВА ЮЛИЯ СЕРГЕЕВНА</v>
      </c>
      <c r="B1091" t="str">
        <f>"1977-01-11"</f>
        <v>1977-01-11</v>
      </c>
      <c r="C1091" t="str">
        <f>"67 98 145221"</f>
        <v>67 98 145221</v>
      </c>
      <c r="D1091" t="str">
        <f>"5484011615863926"</f>
        <v>5484011615863926</v>
      </c>
      <c r="E1091" t="str">
        <f t="shared" si="172"/>
        <v>2021-05-31</v>
      </c>
      <c r="F1091" t="str">
        <f>"+"</f>
        <v>+</v>
      </c>
      <c r="G1091" t="str">
        <f>"+"</f>
        <v>+</v>
      </c>
      <c r="H1091" t="str">
        <f>"40817810216992401558"</f>
        <v>40817810216992401558</v>
      </c>
      <c r="I1091" t="str">
        <f>"5940"</f>
        <v>5940</v>
      </c>
      <c r="J1091" t="str">
        <f t="shared" si="173"/>
        <v>7770</v>
      </c>
      <c r="K1091" t="str">
        <f>"80000.00"</f>
        <v>80000.00</v>
      </c>
      <c r="L1091" t="str">
        <f>"628400 ОБЛ ТЮМЕНСКАЯ     Г СУРГУТ УЛ ЛЕРМОНТОВА д. 7/2"</f>
        <v>628400 ОБЛ ТЮМЕНСКАЯ     Г СУРГУТ УЛ ЛЕРМОНТОВА д. 7/2</v>
      </c>
      <c r="M1091" t="str">
        <f t="shared" si="176"/>
        <v>2019-08-24</v>
      </c>
      <c r="N1091" t="str">
        <f>"МБУ ВАРИАНТ"</f>
        <v>МБУ ВАРИАНТ</v>
      </c>
      <c r="O1091" t="str">
        <f>"628400"</f>
        <v>628400</v>
      </c>
      <c r="P1091" t="str">
        <f t="shared" si="174"/>
        <v>ОБЛ ТЮМЕНСКАЯ</v>
      </c>
      <c r="Q1091" t="str">
        <f>"АО ХМАО"</f>
        <v>АО ХМАО</v>
      </c>
      <c r="R1091" t="str">
        <f>""</f>
        <v/>
      </c>
      <c r="S1091" t="str">
        <f>"Г СУРГУТ"</f>
        <v>Г СУРГУТ</v>
      </c>
      <c r="T1091" t="str">
        <f>"УЛ РЕСПУБЛИКИ"</f>
        <v>УЛ РЕСПУБЛИКИ</v>
      </c>
      <c r="U1091" s="1" t="str">
        <f>"84"</f>
        <v>84</v>
      </c>
      <c r="V1091" s="1" t="str">
        <f>""</f>
        <v/>
      </c>
      <c r="W1091" s="1" t="str">
        <f>""</f>
        <v/>
      </c>
      <c r="X1091" s="1" t="str">
        <f>""</f>
        <v/>
      </c>
      <c r="Y1091" s="1" t="str">
        <f>"10"</f>
        <v>10</v>
      </c>
      <c r="Z1091" t="str">
        <f>"3462345455"</f>
        <v>3462345455</v>
      </c>
      <c r="AA1091" t="str">
        <f>"9128140558"</f>
        <v>9128140558</v>
      </c>
      <c r="AB1091" t="str">
        <f>"9128140558"</f>
        <v>9128140558</v>
      </c>
      <c r="AC1091" t="str">
        <f>"9128140558"</f>
        <v>9128140558</v>
      </c>
      <c r="AD1091" t="str">
        <f>"9128140558"</f>
        <v>9128140558</v>
      </c>
      <c r="AE1091" t="str">
        <f>"3462345455"</f>
        <v>3462345455</v>
      </c>
    </row>
    <row r="1092" spans="1:31" x14ac:dyDescent="0.45">
      <c r="A1092" t="str">
        <f>"ШАЙХИСЛАМОВА РАЗИНА АНВАРОВНА"</f>
        <v>ШАЙХИСЛАМОВА РАЗИНА АНВАРОВНА</v>
      </c>
      <c r="B1092" t="str">
        <f>"1961-02-14"</f>
        <v>1961-02-14</v>
      </c>
      <c r="C1092" t="str">
        <f>"75 05 760729"</f>
        <v>75 05 760729</v>
      </c>
      <c r="D1092" t="str">
        <f>"4854630301490556"</f>
        <v>4854630301490556</v>
      </c>
      <c r="E1092" t="str">
        <f>"2020-11-30"</f>
        <v>2020-11-30</v>
      </c>
      <c r="F1092" t="str">
        <f>"+"</f>
        <v>+</v>
      </c>
      <c r="G1092" t="str">
        <f>"+"</f>
        <v>+</v>
      </c>
      <c r="H1092" t="str">
        <f>"40817810416991391317"</f>
        <v>40817810416991391317</v>
      </c>
      <c r="I1092" t="str">
        <f>"8597"</f>
        <v>8597</v>
      </c>
      <c r="J1092" t="str">
        <f>"0383"</f>
        <v>0383</v>
      </c>
      <c r="K1092" t="str">
        <f>"14000.00"</f>
        <v>14000.00</v>
      </c>
      <c r="L1092" t="str">
        <f>"454000 ОБЛ ЧЕЛЯБИНСКАЯ Р-Н АГАПОВСКИЙ   С АГАПОВКА УЛ ДОРОЖНАЯ д. 34 стр. А"</f>
        <v>454000 ОБЛ ЧЕЛЯБИНСКАЯ Р-Н АГАПОВСКИЙ   С АГАПОВКА УЛ ДОРОЖНАЯ д. 34 стр. А</v>
      </c>
      <c r="M1092" t="str">
        <f t="shared" si="176"/>
        <v>2019-08-24</v>
      </c>
      <c r="N1092" t="str">
        <f>"АГАПОВСКИЙ ПФ РФ"</f>
        <v>АГАПОВСКИЙ ПФ РФ</v>
      </c>
      <c r="O1092" t="str">
        <f>"454000"</f>
        <v>454000</v>
      </c>
      <c r="P1092" t="str">
        <f>"ОБЛ ЧЕЛЯБИНСКАЯ"</f>
        <v>ОБЛ ЧЕЛЯБИНСКАЯ</v>
      </c>
      <c r="Q1092" t="str">
        <f>"Р-Н АГАПОВСКИЙ"</f>
        <v>Р-Н АГАПОВСКИЙ</v>
      </c>
      <c r="R1092" t="str">
        <f>""</f>
        <v/>
      </c>
      <c r="S1092" t="str">
        <f>"П ХАРЬКОВСКИЙ"</f>
        <v>П ХАРЬКОВСКИЙ</v>
      </c>
      <c r="T1092" t="str">
        <f>"УЛ ЗЕЛЕНАЯ"</f>
        <v>УЛ ЗЕЛЕНАЯ</v>
      </c>
      <c r="U1092" s="1" t="str">
        <f>"21"</f>
        <v>21</v>
      </c>
      <c r="V1092" s="1" t="str">
        <f>""</f>
        <v/>
      </c>
      <c r="W1092" s="1" t="str">
        <f>""</f>
        <v/>
      </c>
      <c r="X1092" s="1" t="str">
        <f>""</f>
        <v/>
      </c>
      <c r="Y1092" s="1" t="str">
        <f>""</f>
        <v/>
      </c>
      <c r="Z1092" t="str">
        <f>""</f>
        <v/>
      </c>
      <c r="AA1092" t="str">
        <f>"9085885393"</f>
        <v>9085885393</v>
      </c>
      <c r="AB1092" t="str">
        <f>"9085885393"</f>
        <v>9085885393</v>
      </c>
      <c r="AC1092" t="str">
        <f>"9085885393"</f>
        <v>9085885393</v>
      </c>
      <c r="AD1092" t="str">
        <f>"9085885393"</f>
        <v>9085885393</v>
      </c>
      <c r="AE1092" t="str">
        <f>""</f>
        <v/>
      </c>
    </row>
    <row r="1093" spans="1:31" x14ac:dyDescent="0.45">
      <c r="A1093" t="str">
        <f>"ЕВСИН АНДРЕЙ ЮРЬЕВИЧ"</f>
        <v>ЕВСИН АНДРЕЙ ЮРЬЕВИЧ</v>
      </c>
      <c r="B1093" t="str">
        <f>"1966-10-05"</f>
        <v>1966-10-05</v>
      </c>
      <c r="C1093" t="str">
        <f>"80 11 324750"</f>
        <v>80 11 324750</v>
      </c>
      <c r="D1093" t="str">
        <f>"4854630398967284"</f>
        <v>4854630398967284</v>
      </c>
      <c r="E1093" t="str">
        <f>"2020-11-30"</f>
        <v>2020-11-30</v>
      </c>
      <c r="F1093" t="str">
        <f>"+"</f>
        <v>+</v>
      </c>
      <c r="G1093" t="str">
        <f>"+"</f>
        <v>+</v>
      </c>
      <c r="H1093" t="str">
        <f>"40817810216991391339"</f>
        <v>40817810216991391339</v>
      </c>
      <c r="I1093" t="str">
        <f>"8598"</f>
        <v>8598</v>
      </c>
      <c r="J1093" t="str">
        <f>"0317"</f>
        <v>0317</v>
      </c>
      <c r="K1093" t="str">
        <f>"25000.00"</f>
        <v>25000.00</v>
      </c>
      <c r="L1093" t="str">
        <f>"453571 РЕСП БАШКОРТОСТАН   Г МЕЖГОРЬЕ   УЛ СОВЕТСКАЯ д. 23"</f>
        <v>453571 РЕСП БАШКОРТОСТАН   Г МЕЖГОРЬЕ   УЛ СОВЕТСКАЯ д. 23</v>
      </c>
      <c r="M1093" t="str">
        <f t="shared" si="176"/>
        <v>2019-08-24</v>
      </c>
      <c r="N1093" t="str">
        <f>"ПЕНСИОНЕР"</f>
        <v>ПЕНСИОНЕР</v>
      </c>
      <c r="O1093" t="str">
        <f>"453571"</f>
        <v>453571</v>
      </c>
      <c r="P1093" t="str">
        <f>"РЕСП БАШКОРТОСТАН"</f>
        <v>РЕСП БАШКОРТОСТАН</v>
      </c>
      <c r="Q1093" t="str">
        <f>""</f>
        <v/>
      </c>
      <c r="R1093" t="str">
        <f>"Г МЕЖГОРЬЕ"</f>
        <v>Г МЕЖГОРЬЕ</v>
      </c>
      <c r="S1093" t="str">
        <f>""</f>
        <v/>
      </c>
      <c r="T1093" t="str">
        <f>"УЛ 40 ЛЕТ ПОБЕДЫ"</f>
        <v>УЛ 40 ЛЕТ ПОБЕДЫ</v>
      </c>
      <c r="U1093" s="1" t="str">
        <f>"23"</f>
        <v>23</v>
      </c>
      <c r="V1093" s="1" t="str">
        <f>""</f>
        <v/>
      </c>
      <c r="W1093" s="1" t="str">
        <f>""</f>
        <v/>
      </c>
      <c r="X1093" s="1" t="str">
        <f>""</f>
        <v/>
      </c>
      <c r="Y1093" s="1" t="str">
        <f>"41"</f>
        <v>41</v>
      </c>
      <c r="Z1093" t="str">
        <f>""</f>
        <v/>
      </c>
      <c r="AA1093" t="str">
        <f>"9050050216"</f>
        <v>9050050216</v>
      </c>
      <c r="AB1093" t="str">
        <f>"9050050216"</f>
        <v>9050050216</v>
      </c>
      <c r="AC1093" t="str">
        <f>"9050050216"</f>
        <v>9050050216</v>
      </c>
      <c r="AD1093" t="str">
        <f>"9050050216"</f>
        <v>9050050216</v>
      </c>
      <c r="AE1093" t="str">
        <f>""</f>
        <v/>
      </c>
    </row>
    <row r="1094" spans="1:31" x14ac:dyDescent="0.45">
      <c r="A1094" t="str">
        <f>"МАСЛОВА ОЛЬГА ГЕННАДЬЕВНА"</f>
        <v>МАСЛОВА ОЛЬГА ГЕННАДЬЕВНА</v>
      </c>
      <c r="B1094" t="str">
        <f>"1966-09-05"</f>
        <v>1966-09-05</v>
      </c>
      <c r="C1094" t="str">
        <f>"75 11 964608"</f>
        <v>75 11 964608</v>
      </c>
      <c r="D1094" t="str">
        <f>"5313100167836153"</f>
        <v>5313100167836153</v>
      </c>
      <c r="E1094" t="str">
        <f>"2020-04-30"</f>
        <v>2020-04-30</v>
      </c>
      <c r="F1094" t="str">
        <f>"Q"</f>
        <v>Q</v>
      </c>
      <c r="G1094" t="str">
        <f>"Q"</f>
        <v>Q</v>
      </c>
      <c r="H1094" t="str">
        <f>"40817810616991391340"</f>
        <v>40817810616991391340</v>
      </c>
      <c r="I1094" t="str">
        <f>"8597"</f>
        <v>8597</v>
      </c>
      <c r="J1094" t="str">
        <f>"0342"</f>
        <v>0342</v>
      </c>
      <c r="K1094" t="str">
        <f>"0.00"</f>
        <v>0.00</v>
      </c>
      <c r="L1094" t="str">
        <f>"454000 ОБЛ ЧЕЛЯБИНСКАЯ   Г МАГНИТОГОРСК   УЛ СОВЕТСКОЙ АРМИИ д. 12"</f>
        <v>454000 ОБЛ ЧЕЛЯБИНСКАЯ   Г МАГНИТОГОРСК   УЛ СОВЕТСКОЙ АРМИИ д. 12</v>
      </c>
      <c r="M1094" t="str">
        <f t="shared" si="176"/>
        <v>2019-08-24</v>
      </c>
      <c r="N1094" t="str">
        <f>"МОУ ПОЛИТЕХНИЧЕСКИЙ КОЛЛЕЖД"</f>
        <v>МОУ ПОЛИТЕХНИЧЕСКИЙ КОЛЛЕЖД</v>
      </c>
      <c r="O1094" t="str">
        <f>"454000"</f>
        <v>454000</v>
      </c>
      <c r="P1094" t="str">
        <f>"ОБЛ ЧЕЛЯБИНСКАЯ"</f>
        <v>ОБЛ ЧЕЛЯБИНСКАЯ</v>
      </c>
      <c r="Q1094" t="str">
        <f>""</f>
        <v/>
      </c>
      <c r="R1094" t="str">
        <f>"Г МАГНИТОГОРСК"</f>
        <v>Г МАГНИТОГОРСК</v>
      </c>
      <c r="S1094" t="str">
        <f>""</f>
        <v/>
      </c>
      <c r="T1094" t="str">
        <f>"УЛ ЖЕМЧУЖНАЯ"</f>
        <v>УЛ ЖЕМЧУЖНАЯ</v>
      </c>
      <c r="U1094" s="1" t="str">
        <f>"17"</f>
        <v>17</v>
      </c>
      <c r="V1094" s="1" t="str">
        <f>""</f>
        <v/>
      </c>
      <c r="W1094" s="1" t="str">
        <f>""</f>
        <v/>
      </c>
      <c r="X1094" s="1" t="str">
        <f>""</f>
        <v/>
      </c>
      <c r="Y1094" s="1" t="str">
        <f>"60"</f>
        <v>60</v>
      </c>
      <c r="Z1094" t="str">
        <f>""</f>
        <v/>
      </c>
      <c r="AA1094" t="str">
        <f>"9193501625"</f>
        <v>9193501625</v>
      </c>
      <c r="AB1094" t="str">
        <f>"9517895935"</f>
        <v>9517895935</v>
      </c>
      <c r="AC1094" t="str">
        <f>"9193501625"</f>
        <v>9193501625</v>
      </c>
      <c r="AD1094" t="str">
        <f>"9517895935"</f>
        <v>9517895935</v>
      </c>
      <c r="AE1094" t="str">
        <f>""</f>
        <v/>
      </c>
    </row>
    <row r="1095" spans="1:31" x14ac:dyDescent="0.45">
      <c r="A1095" t="str">
        <f>"ЮСУПОВ НИЯЗ ИЛЬГАМОВИЧ"</f>
        <v>ЮСУПОВ НИЯЗ ИЛЬГАМОВИЧ</v>
      </c>
      <c r="B1095" t="str">
        <f>"1996-08-07"</f>
        <v>1996-08-07</v>
      </c>
      <c r="C1095" t="str">
        <f>"80 15 305311"</f>
        <v>80 15 305311</v>
      </c>
      <c r="D1095" t="str">
        <f>"5313100713646114"</f>
        <v>5313100713646114</v>
      </c>
      <c r="E1095" t="str">
        <f>"2020-10-31"</f>
        <v>2020-10-31</v>
      </c>
      <c r="F1095" t="str">
        <f>"+"</f>
        <v>+</v>
      </c>
      <c r="G1095" t="str">
        <f>"+"</f>
        <v>+</v>
      </c>
      <c r="H1095" t="str">
        <f>"40817810916991391341"</f>
        <v>40817810916991391341</v>
      </c>
      <c r="I1095" t="str">
        <f>"8598"</f>
        <v>8598</v>
      </c>
      <c r="J1095" t="str">
        <f>"0544"</f>
        <v>0544</v>
      </c>
      <c r="K1095" t="str">
        <f>"50000.00"</f>
        <v>50000.00</v>
      </c>
      <c r="L1095" t="str">
        <f>"000000 ОБЛ ТЮМЕНСКАЯ   Г УРАЙ   УЛ ПРОМЗОНА д. 1"</f>
        <v>000000 ОБЛ ТЮМЕНСКАЯ   Г УРАЙ   УЛ ПРОМЗОНА д. 1</v>
      </c>
      <c r="M1095" t="str">
        <f t="shared" si="176"/>
        <v>2019-08-24</v>
      </c>
      <c r="N1095" t="str">
        <f>"ООО КРС ЕВРАЗИЯ"</f>
        <v>ООО КРС ЕВРАЗИЯ</v>
      </c>
      <c r="O1095" t="str">
        <f>"450000"</f>
        <v>450000</v>
      </c>
      <c r="P1095" t="str">
        <f>"РЕСП БАШКОРТОСТАН"</f>
        <v>РЕСП БАШКОРТОСТАН</v>
      </c>
      <c r="Q1095" t="str">
        <f>"Р-Н БАЛТАЧЕВСКИЙ"</f>
        <v>Р-Н БАЛТАЧЕВСКИЙ</v>
      </c>
      <c r="R1095" t="str">
        <f>""</f>
        <v/>
      </c>
      <c r="S1095" t="str">
        <f>"Д МАТА"</f>
        <v>Д МАТА</v>
      </c>
      <c r="T1095" t="str">
        <f>"УЛ СОВЕТСКАЯ"</f>
        <v>УЛ СОВЕТСКАЯ</v>
      </c>
      <c r="U1095" s="1" t="str">
        <f>"27"</f>
        <v>27</v>
      </c>
      <c r="V1095" s="1" t="str">
        <f>""</f>
        <v/>
      </c>
      <c r="W1095" s="1" t="str">
        <f>""</f>
        <v/>
      </c>
      <c r="X1095" s="1" t="str">
        <f>""</f>
        <v/>
      </c>
      <c r="Y1095" s="1" t="str">
        <f>""</f>
        <v/>
      </c>
      <c r="Z1095" t="str">
        <f>""</f>
        <v/>
      </c>
      <c r="AA1095" t="str">
        <f>"9371620030"</f>
        <v>9371620030</v>
      </c>
      <c r="AB1095" t="str">
        <f>"9371620030"</f>
        <v>9371620030</v>
      </c>
      <c r="AC1095" t="str">
        <f>"9371620030"</f>
        <v>9371620030</v>
      </c>
      <c r="AD1095" t="str">
        <f>"9371620030"</f>
        <v>9371620030</v>
      </c>
      <c r="AE1095" t="str">
        <f>""</f>
        <v/>
      </c>
    </row>
    <row r="1096" spans="1:31" x14ac:dyDescent="0.45">
      <c r="A1096" t="str">
        <f>"ЧЕСНОКОВА НАТАЛЬЯ ВАСИЛЬЕВНА"</f>
        <v>ЧЕСНОКОВА НАТАЛЬЯ ВАСИЛЬЕВНА</v>
      </c>
      <c r="B1096" t="str">
        <f>"1977-06-29"</f>
        <v>1977-06-29</v>
      </c>
      <c r="C1096" t="str">
        <f>"75 00 811354"</f>
        <v>75 00 811354</v>
      </c>
      <c r="D1096" t="str">
        <f>"4279011602149091"</f>
        <v>4279011602149091</v>
      </c>
      <c r="E1096" t="str">
        <f t="shared" ref="E1096:E1113" si="177">"2021-05-31"</f>
        <v>2021-05-31</v>
      </c>
      <c r="F1096" t="str">
        <f>"+"</f>
        <v>+</v>
      </c>
      <c r="G1096" t="str">
        <f>"+"</f>
        <v>+</v>
      </c>
      <c r="H1096" t="str">
        <f>"40817810816991391357"</f>
        <v>40817810816991391357</v>
      </c>
      <c r="I1096" t="str">
        <f>"8597"</f>
        <v>8597</v>
      </c>
      <c r="J1096" t="str">
        <f>"0304"</f>
        <v>0304</v>
      </c>
      <c r="K1096" t="str">
        <f>"80000.00"</f>
        <v>80000.00</v>
      </c>
      <c r="L1096" t="str">
        <f>"454000 ОБЛ ЧЕЛЯБИНСКАЯ   Г ЧЕЛЯБИНСК   УЛ ВИТЕБСКАЯ д. 4/1"</f>
        <v>454000 ОБЛ ЧЕЛЯБИНСКАЯ   Г ЧЕЛЯБИНСК   УЛ ВИТЕБСКАЯ д. 4/1</v>
      </c>
      <c r="M1096" t="str">
        <f t="shared" si="176"/>
        <v>2019-08-24</v>
      </c>
      <c r="N1096" t="str">
        <f>"ИП СИЧКАР ДО"</f>
        <v>ИП СИЧКАР ДО</v>
      </c>
      <c r="O1096" t="str">
        <f>"454000"</f>
        <v>454000</v>
      </c>
      <c r="P1096" t="str">
        <f>"ОБЛ ЧЕЛЯБИНСКАЯ"</f>
        <v>ОБЛ ЧЕЛЯБИНСКАЯ</v>
      </c>
      <c r="Q1096" t="str">
        <f>""</f>
        <v/>
      </c>
      <c r="R1096" t="str">
        <f>"Г КОПЕЙСК"</f>
        <v>Г КОПЕЙСК</v>
      </c>
      <c r="S1096" t="str">
        <f>""</f>
        <v/>
      </c>
      <c r="T1096" t="str">
        <f>"УЛ ГЛАДКОВА"</f>
        <v>УЛ ГЛАДКОВА</v>
      </c>
      <c r="U1096" s="1" t="str">
        <f>"84А"</f>
        <v>84А</v>
      </c>
      <c r="V1096" s="1" t="str">
        <f>""</f>
        <v/>
      </c>
      <c r="W1096" s="1" t="str">
        <f>""</f>
        <v/>
      </c>
      <c r="X1096" s="1" t="str">
        <f>""</f>
        <v/>
      </c>
      <c r="Y1096" s="1" t="str">
        <f>"2"</f>
        <v>2</v>
      </c>
      <c r="Z1096" t="str">
        <f>""</f>
        <v/>
      </c>
      <c r="AA1096" t="str">
        <f>"9085783706"</f>
        <v>9085783706</v>
      </c>
      <c r="AB1096" t="str">
        <f>"9085727009"</f>
        <v>9085727009</v>
      </c>
      <c r="AC1096" t="str">
        <f>"9085783706"</f>
        <v>9085783706</v>
      </c>
      <c r="AD1096" t="str">
        <f>"9085727009"</f>
        <v>9085727009</v>
      </c>
      <c r="AE1096" t="str">
        <f>""</f>
        <v/>
      </c>
    </row>
    <row r="1097" spans="1:31" x14ac:dyDescent="0.45">
      <c r="A1097" t="str">
        <f>"АЛЕКСЕЕВ АЛЕКСАНДР ЛЮДВИГОВИЧ"</f>
        <v>АЛЕКСЕЕВ АЛЕКСАНДР ЛЮДВИГОВИЧ</v>
      </c>
      <c r="B1097" t="str">
        <f>"1977-08-15"</f>
        <v>1977-08-15</v>
      </c>
      <c r="C1097" t="str">
        <f>"37 02 368684"</f>
        <v>37 02 368684</v>
      </c>
      <c r="D1097" t="str">
        <f>"4279011681382381"</f>
        <v>4279011681382381</v>
      </c>
      <c r="E1097" t="str">
        <f t="shared" si="177"/>
        <v>2021-05-31</v>
      </c>
      <c r="F1097" t="str">
        <f>"Y"</f>
        <v>Y</v>
      </c>
      <c r="G1097" t="str">
        <f>"Q"</f>
        <v>Q</v>
      </c>
      <c r="H1097" t="str">
        <f>"40817810116991391358"</f>
        <v>40817810116991391358</v>
      </c>
      <c r="I1097" t="str">
        <f>"8597"</f>
        <v>8597</v>
      </c>
      <c r="J1097" t="str">
        <f>"0169"</f>
        <v>0169</v>
      </c>
      <c r="K1097" t="str">
        <f>"0.00"</f>
        <v>0.00</v>
      </c>
      <c r="L1097" t="str">
        <f>"454000 ОБЛ ЧЕЛЯБИНСКАЯ   Г ЧЕЛЯБИНСК   УЛ МОГИЛЬНИКОВА д. 169"</f>
        <v>454000 ОБЛ ЧЕЛЯБИНСКАЯ   Г ЧЕЛЯБИНСК   УЛ МОГИЛЬНИКОВА д. 169</v>
      </c>
      <c r="M1097" t="str">
        <f t="shared" si="176"/>
        <v>2019-08-24</v>
      </c>
      <c r="N1097" t="str">
        <f>"ОАО РЖД"</f>
        <v>ОАО РЖД</v>
      </c>
      <c r="O1097" t="str">
        <f>"454000"</f>
        <v>454000</v>
      </c>
      <c r="P1097" t="str">
        <f>"ОБЛ ЧЕЛЯБИНСКАЯ"</f>
        <v>ОБЛ ЧЕЛЯБИНСКАЯ</v>
      </c>
      <c r="Q1097" t="str">
        <f>""</f>
        <v/>
      </c>
      <c r="R1097" t="str">
        <f>"Г КОПЕЙСК"</f>
        <v>Г КОПЕЙСК</v>
      </c>
      <c r="S1097" t="str">
        <f>""</f>
        <v/>
      </c>
      <c r="T1097" t="str">
        <f>"УЛ ЛЕНИНА"</f>
        <v>УЛ ЛЕНИНА</v>
      </c>
      <c r="U1097" s="1" t="str">
        <f>"11"</f>
        <v>11</v>
      </c>
      <c r="V1097" s="1" t="str">
        <f>""</f>
        <v/>
      </c>
      <c r="W1097" s="1" t="str">
        <f>""</f>
        <v/>
      </c>
      <c r="X1097" s="1" t="str">
        <f>""</f>
        <v/>
      </c>
      <c r="Y1097" s="1" t="str">
        <f>"14"</f>
        <v>14</v>
      </c>
      <c r="Z1097" t="str">
        <f>"9000807734"</f>
        <v>9000807734</v>
      </c>
      <c r="AA1097" t="str">
        <f>"9000807734"</f>
        <v>9000807734</v>
      </c>
      <c r="AB1097" t="str">
        <f>"9000904820"</f>
        <v>9000904820</v>
      </c>
      <c r="AC1097" t="str">
        <f>"9000807734"</f>
        <v>9000807734</v>
      </c>
      <c r="AD1097" t="str">
        <f>"9000904820"</f>
        <v>9000904820</v>
      </c>
      <c r="AE1097" t="str">
        <f>""</f>
        <v/>
      </c>
    </row>
    <row r="1098" spans="1:31" x14ac:dyDescent="0.45">
      <c r="A1098" t="str">
        <f>"ВЛАСОВ МАКСИМ ВИКТОРОВИЧ"</f>
        <v>ВЛАСОВ МАКСИМ ВИКТОРОВИЧ</v>
      </c>
      <c r="B1098" t="str">
        <f>"1978-12-29"</f>
        <v>1978-12-29</v>
      </c>
      <c r="C1098" t="str">
        <f>"65 16 331096"</f>
        <v>65 16 331096</v>
      </c>
      <c r="D1098" t="str">
        <f>"4279011640373372"</f>
        <v>4279011640373372</v>
      </c>
      <c r="E1098" t="str">
        <f t="shared" si="177"/>
        <v>2021-05-31</v>
      </c>
      <c r="F1098" t="str">
        <f>"+"</f>
        <v>+</v>
      </c>
      <c r="G1098" t="str">
        <f>"W"</f>
        <v>W</v>
      </c>
      <c r="H1098" t="str">
        <f>"40817810916991391419"</f>
        <v>40817810916991391419</v>
      </c>
      <c r="I1098" t="str">
        <f>"7003"</f>
        <v>7003</v>
      </c>
      <c r="J1098" t="str">
        <f>"0448"</f>
        <v>0448</v>
      </c>
      <c r="K1098" t="str">
        <f>"72000.00"</f>
        <v>72000.00</v>
      </c>
      <c r="L1098" t="str">
        <f>"620000 ОБЛ СВЕРДЛОВСКАЯ   Г ЕКАТЕРИНБУРГ   УЛ РЕПИНА д. 107"</f>
        <v>620000 ОБЛ СВЕРДЛОВСКАЯ   Г ЕКАТЕРИНБУРГ   УЛ РЕПИНА д. 107</v>
      </c>
      <c r="M1098" t="str">
        <f t="shared" si="176"/>
        <v>2019-08-24</v>
      </c>
      <c r="N1098" t="s">
        <v>77</v>
      </c>
      <c r="O1098" t="str">
        <f>"620000"</f>
        <v>620000</v>
      </c>
      <c r="P1098" t="str">
        <f>"ОБЛ СВЕРДЛОВСКАЯ"</f>
        <v>ОБЛ СВЕРДЛОВСКАЯ</v>
      </c>
      <c r="Q1098" t="str">
        <f>"Р-Н АРТЕМОВСКИЙ"</f>
        <v>Р-Н АРТЕМОВСКИЙ</v>
      </c>
      <c r="R1098" t="str">
        <f>""</f>
        <v/>
      </c>
      <c r="S1098" t="str">
        <f>"П БУЛАНАШ"</f>
        <v>П БУЛАНАШ</v>
      </c>
      <c r="T1098" t="str">
        <f>"УЛ ЧАПАЕВА"</f>
        <v>УЛ ЧАПАЕВА</v>
      </c>
      <c r="U1098" s="1" t="str">
        <f>"21"</f>
        <v>21</v>
      </c>
      <c r="V1098" s="1" t="str">
        <f>""</f>
        <v/>
      </c>
      <c r="W1098" s="1" t="str">
        <f>""</f>
        <v/>
      </c>
      <c r="X1098" s="1" t="str">
        <f>""</f>
        <v/>
      </c>
      <c r="Y1098" s="1" t="str">
        <f>""</f>
        <v/>
      </c>
      <c r="Z1098" t="str">
        <f>"2339858"</f>
        <v>2339858</v>
      </c>
      <c r="AA1098" t="str">
        <f>"9826973812"</f>
        <v>9826973812</v>
      </c>
      <c r="AB1098" t="str">
        <f>"9826973812"</f>
        <v>9826973812</v>
      </c>
      <c r="AC1098" t="str">
        <f>"9826973812"</f>
        <v>9826973812</v>
      </c>
      <c r="AD1098" t="str">
        <f>"9826973812"</f>
        <v>9826973812</v>
      </c>
      <c r="AE1098" t="str">
        <f>""</f>
        <v/>
      </c>
    </row>
    <row r="1099" spans="1:31" x14ac:dyDescent="0.45">
      <c r="A1099" t="str">
        <f>"КАРГАПОЛОВ ВЛАДИМИР ВЛАДИМИРОВИЧ"</f>
        <v>КАРГАПОЛОВ ВЛАДИМИР ВЛАДИМИРОВИЧ</v>
      </c>
      <c r="B1099" t="str">
        <f>"1984-03-16"</f>
        <v>1984-03-16</v>
      </c>
      <c r="C1099" t="str">
        <f>"37 15 644917"</f>
        <v>37 15 644917</v>
      </c>
      <c r="D1099" t="str">
        <f>"4279011614818170"</f>
        <v>4279011614818170</v>
      </c>
      <c r="E1099" t="str">
        <f t="shared" si="177"/>
        <v>2021-05-31</v>
      </c>
      <c r="F1099" t="str">
        <f>"+"</f>
        <v>+</v>
      </c>
      <c r="G1099" t="str">
        <f>"W"</f>
        <v>W</v>
      </c>
      <c r="H1099" t="str">
        <f>"40817810316991391420"</f>
        <v>40817810316991391420</v>
      </c>
      <c r="I1099" t="str">
        <f>"8599"</f>
        <v>8599</v>
      </c>
      <c r="J1099" t="str">
        <f>"0269"</f>
        <v>0269</v>
      </c>
      <c r="K1099" t="str">
        <f>"93000.00"</f>
        <v>93000.00</v>
      </c>
      <c r="L1099" t="str">
        <f>"000000 ОБЛ ТЮМЕНСКАЯ АО ХМАО Г СУРГУТ   УЛ САЯНСКАЯ д. 16"</f>
        <v>000000 ОБЛ ТЮМЕНСКАЯ АО ХМАО Г СУРГУТ   УЛ САЯНСКАЯ д. 16</v>
      </c>
      <c r="M1099" t="str">
        <f t="shared" si="176"/>
        <v>2019-08-24</v>
      </c>
      <c r="N1099" t="str">
        <f>"ООО СТК ЮВИС"</f>
        <v>ООО СТК ЮВИС</v>
      </c>
      <c r="O1099" t="str">
        <f>"641000"</f>
        <v>641000</v>
      </c>
      <c r="P1099" t="str">
        <f>"ОБЛ КУРГАНСКАЯ"</f>
        <v>ОБЛ КУРГАНСКАЯ</v>
      </c>
      <c r="Q1099" t="str">
        <f>"Р-Н ШАДРИНСКИЙ"</f>
        <v>Р-Н ШАДРИНСКИЙ</v>
      </c>
      <c r="R1099" t="str">
        <f>""</f>
        <v/>
      </c>
      <c r="S1099" t="str">
        <f>"С СУХРИНСКОЕ"</f>
        <v>С СУХРИНСКОЕ</v>
      </c>
      <c r="T1099" t="str">
        <f>"УЛ ШКОЛЬНАЯ"</f>
        <v>УЛ ШКОЛЬНАЯ</v>
      </c>
      <c r="U1099" s="1" t="str">
        <f>"107"</f>
        <v>107</v>
      </c>
      <c r="V1099" s="1" t="str">
        <f>""</f>
        <v/>
      </c>
      <c r="W1099" s="1" t="str">
        <f>""</f>
        <v/>
      </c>
      <c r="X1099" s="1" t="str">
        <f>""</f>
        <v/>
      </c>
      <c r="Y1099" s="1" t="str">
        <f>""</f>
        <v/>
      </c>
      <c r="Z1099" t="str">
        <f>""</f>
        <v/>
      </c>
      <c r="AA1099" t="str">
        <f>"9828725768"</f>
        <v>9828725768</v>
      </c>
      <c r="AB1099" t="str">
        <f>"9195849030"</f>
        <v>9195849030</v>
      </c>
      <c r="AC1099" t="str">
        <f>"9828725768"</f>
        <v>9828725768</v>
      </c>
      <c r="AD1099" t="str">
        <f>"9828725768"</f>
        <v>9828725768</v>
      </c>
      <c r="AE1099" t="str">
        <f>""</f>
        <v/>
      </c>
    </row>
    <row r="1100" spans="1:31" x14ac:dyDescent="0.45">
      <c r="A1100" t="str">
        <f>"СОЛОВЬЕВА НАДЕЖДА АЛЕКСАНДРОВНА"</f>
        <v>СОЛОВЬЕВА НАДЕЖДА АЛЕКСАНДРОВНА</v>
      </c>
      <c r="B1100" t="str">
        <f>"1977-11-29"</f>
        <v>1977-11-29</v>
      </c>
      <c r="C1100" t="str">
        <f>"65 03 330023"</f>
        <v>65 03 330023</v>
      </c>
      <c r="D1100" t="str">
        <f>"4279011616819150"</f>
        <v>4279011616819150</v>
      </c>
      <c r="E1100" t="str">
        <f t="shared" si="177"/>
        <v>2021-05-31</v>
      </c>
      <c r="F1100" t="str">
        <f>"+"</f>
        <v>+</v>
      </c>
      <c r="G1100" t="str">
        <f t="shared" ref="G1100:G1107" si="178">"+"</f>
        <v>+</v>
      </c>
      <c r="H1100" t="str">
        <f>"40817810916991391422"</f>
        <v>40817810916991391422</v>
      </c>
      <c r="I1100" t="str">
        <f>"7003"</f>
        <v>7003</v>
      </c>
      <c r="J1100" t="str">
        <f>"0720"</f>
        <v>0720</v>
      </c>
      <c r="K1100" t="str">
        <f>"130000.00"</f>
        <v>130000.00</v>
      </c>
      <c r="L1100" t="str">
        <f>"620000 ОБЛ СВЕРДЛОВСКАЯ   Г НЕВЬЯНСК   УЛ ЧАПАЕВА д. 26"</f>
        <v>620000 ОБЛ СВЕРДЛОВСКАЯ   Г НЕВЬЯНСК   УЛ ЧАПАЕВА д. 26</v>
      </c>
      <c r="M1100" t="str">
        <f t="shared" si="176"/>
        <v>2019-08-24</v>
      </c>
      <c r="N1100" t="str">
        <f>"ФНД ПОДДЕРЖКИ ПРЕДПРИНЕМАТЕЛЬСКОЙ"</f>
        <v>ФНД ПОДДЕРЖКИ ПРЕДПРИНЕМАТЕЛЬСКОЙ</v>
      </c>
      <c r="O1100" t="str">
        <f>"620000"</f>
        <v>620000</v>
      </c>
      <c r="P1100" t="str">
        <f>"ОБЛ СВЕРДЛОВСКАЯ"</f>
        <v>ОБЛ СВЕРДЛОВСКАЯ</v>
      </c>
      <c r="Q1100" t="str">
        <f>""</f>
        <v/>
      </c>
      <c r="R1100" t="str">
        <f>"Г НЕВЬЯНСК"</f>
        <v>Г НЕВЬЯНСК</v>
      </c>
      <c r="S1100" t="str">
        <f>""</f>
        <v/>
      </c>
      <c r="T1100" t="str">
        <f>"УЛ ПРОФСОЮЗОВ"</f>
        <v>УЛ ПРОФСОЮЗОВ</v>
      </c>
      <c r="U1100" s="1" t="str">
        <f>"19"</f>
        <v>19</v>
      </c>
      <c r="V1100" s="1" t="str">
        <f>""</f>
        <v/>
      </c>
      <c r="W1100" s="1" t="str">
        <f>""</f>
        <v/>
      </c>
      <c r="X1100" s="1" t="str">
        <f>""</f>
        <v/>
      </c>
      <c r="Y1100" s="1" t="str">
        <f>"90"</f>
        <v>90</v>
      </c>
      <c r="Z1100" t="str">
        <f>""</f>
        <v/>
      </c>
      <c r="AA1100" t="str">
        <f>"9920133771"</f>
        <v>9920133771</v>
      </c>
      <c r="AB1100" t="str">
        <f>"9097036519"</f>
        <v>9097036519</v>
      </c>
      <c r="AC1100" t="str">
        <f>"9920133771"</f>
        <v>9920133771</v>
      </c>
      <c r="AD1100" t="str">
        <f>"9097036519"</f>
        <v>9097036519</v>
      </c>
      <c r="AE1100" t="str">
        <f>""</f>
        <v/>
      </c>
    </row>
    <row r="1101" spans="1:31" x14ac:dyDescent="0.45">
      <c r="A1101" t="str">
        <f>"ВЕЩЕВА ИРАИДА ВИТАЛЬЕВНА"</f>
        <v>ВЕЩЕВА ИРАИДА ВИТАЛЬЕВНА</v>
      </c>
      <c r="B1101" t="str">
        <f>"1972-08-29"</f>
        <v>1972-08-29</v>
      </c>
      <c r="C1101" t="str">
        <f>"65 17 485130"</f>
        <v>65 17 485130</v>
      </c>
      <c r="D1101" t="str">
        <f>"4279011669134465"</f>
        <v>4279011669134465</v>
      </c>
      <c r="E1101" t="str">
        <f t="shared" si="177"/>
        <v>2021-05-31</v>
      </c>
      <c r="F1101" t="str">
        <f>"K"</f>
        <v>K</v>
      </c>
      <c r="G1101" t="str">
        <f t="shared" si="178"/>
        <v>+</v>
      </c>
      <c r="H1101" t="str">
        <f>"40817810216991391423"</f>
        <v>40817810216991391423</v>
      </c>
      <c r="I1101" t="str">
        <f>"7003"</f>
        <v>7003</v>
      </c>
      <c r="J1101" t="str">
        <f>"0565"</f>
        <v>0565</v>
      </c>
      <c r="K1101" t="str">
        <f>"200000.00"</f>
        <v>200000.00</v>
      </c>
      <c r="L1101" t="str">
        <f>"620000 ОБЛ СВЕРДЛОВСКАЯ   Г КРАСНОУРАЛЬСК   УЛ ТОЛСТОГО д. 4"</f>
        <v>620000 ОБЛ СВЕРДЛОВСКАЯ   Г КРАСНОУРАЛЬСК   УЛ ТОЛСТОГО д. 4</v>
      </c>
      <c r="M1101" t="str">
        <f t="shared" si="176"/>
        <v>2019-08-24</v>
      </c>
      <c r="N1101" t="str">
        <f>"АО ТАНДЕР"</f>
        <v>АО ТАНДЕР</v>
      </c>
      <c r="O1101" t="str">
        <f>"620000"</f>
        <v>620000</v>
      </c>
      <c r="P1101" t="str">
        <f>"ОБЛ СВЕРДЛОВСКАЯ"</f>
        <v>ОБЛ СВЕРДЛОВСКАЯ</v>
      </c>
      <c r="Q1101" t="str">
        <f>""</f>
        <v/>
      </c>
      <c r="R1101" t="str">
        <f>"Г КРАСНОУРАЛЬСК"</f>
        <v>Г КРАСНОУРАЛЬСК</v>
      </c>
      <c r="S1101" t="str">
        <f>""</f>
        <v/>
      </c>
      <c r="T1101" t="str">
        <f>"УЛ ТОЛСТОГО"</f>
        <v>УЛ ТОЛСТОГО</v>
      </c>
      <c r="U1101" s="1" t="str">
        <f>"4"</f>
        <v>4</v>
      </c>
      <c r="V1101" s="1" t="str">
        <f>""</f>
        <v/>
      </c>
      <c r="W1101" s="1" t="str">
        <f>""</f>
        <v/>
      </c>
      <c r="X1101" s="1" t="str">
        <f>""</f>
        <v/>
      </c>
      <c r="Y1101" s="1" t="str">
        <f>"42"</f>
        <v>42</v>
      </c>
      <c r="Z1101" t="str">
        <f>"9122030723"</f>
        <v>9122030723</v>
      </c>
      <c r="AA1101" t="str">
        <f>"9122412847"</f>
        <v>9122412847</v>
      </c>
      <c r="AB1101" t="str">
        <f>"9122412847"</f>
        <v>9122412847</v>
      </c>
      <c r="AC1101" t="str">
        <f>"9122412847"</f>
        <v>9122412847</v>
      </c>
      <c r="AD1101" t="str">
        <f>"9122412847"</f>
        <v>9122412847</v>
      </c>
      <c r="AE1101" t="str">
        <f>"9122030723"</f>
        <v>9122030723</v>
      </c>
    </row>
    <row r="1102" spans="1:31" x14ac:dyDescent="0.45">
      <c r="A1102" t="str">
        <f>"ЕЛИСЕЕВ ПЕТР АНАТОЛЬЕВИЧ"</f>
        <v>ЕЛИСЕЕВ ПЕТР АНАТОЛЬЕВИЧ</v>
      </c>
      <c r="B1102" t="str">
        <f>"1985-04-06"</f>
        <v>1985-04-06</v>
      </c>
      <c r="C1102" t="str">
        <f>"75 07 167694"</f>
        <v>75 07 167694</v>
      </c>
      <c r="D1102" t="str">
        <f>"4279011624885060"</f>
        <v>4279011624885060</v>
      </c>
      <c r="E1102" t="str">
        <f t="shared" si="177"/>
        <v>2021-05-31</v>
      </c>
      <c r="F1102" t="str">
        <f t="shared" ref="F1102:G1119" si="179">"+"</f>
        <v>+</v>
      </c>
      <c r="G1102" t="str">
        <f t="shared" si="178"/>
        <v>+</v>
      </c>
      <c r="H1102" t="str">
        <f>"40817810516991391424"</f>
        <v>40817810516991391424</v>
      </c>
      <c r="I1102" t="str">
        <f>"8597"</f>
        <v>8597</v>
      </c>
      <c r="J1102" t="str">
        <f>"0384"</f>
        <v>0384</v>
      </c>
      <c r="K1102" t="str">
        <f>"30000.00"</f>
        <v>30000.00</v>
      </c>
      <c r="L1102" t="str">
        <f>"454000 ОБЛ ЧЕЛЯБИНСКАЯ     Г КАРТАЛЫ УЛ ЗАВОДСКАЯ д. 2"</f>
        <v>454000 ОБЛ ЧЕЛЯБИНСКАЯ     Г КАРТАЛЫ УЛ ЗАВОДСКАЯ д. 2</v>
      </c>
      <c r="M1102" t="str">
        <f t="shared" si="176"/>
        <v>2019-08-24</v>
      </c>
      <c r="N1102" t="str">
        <f>"ПАО ЧЕЛИНДБАНК"</f>
        <v>ПАО ЧЕЛИНДБАНК</v>
      </c>
      <c r="O1102" t="str">
        <f>"454000"</f>
        <v>454000</v>
      </c>
      <c r="P1102" t="str">
        <f>"ОБЛ ЧЕЛЯБИНСКАЯ"</f>
        <v>ОБЛ ЧЕЛЯБИНСКАЯ</v>
      </c>
      <c r="Q1102" t="str">
        <f>""</f>
        <v/>
      </c>
      <c r="R1102" t="str">
        <f>""</f>
        <v/>
      </c>
      <c r="S1102" t="str">
        <f>"Г КАРТАЛЫ"</f>
        <v>Г КАРТАЛЫ</v>
      </c>
      <c r="T1102" t="str">
        <f>"УЛ ЛЕНИНА"</f>
        <v>УЛ ЛЕНИНА</v>
      </c>
      <c r="U1102" s="1" t="str">
        <f>"4"</f>
        <v>4</v>
      </c>
      <c r="V1102" s="1" t="str">
        <f>""</f>
        <v/>
      </c>
      <c r="W1102" s="1" t="str">
        <f>""</f>
        <v/>
      </c>
      <c r="X1102" s="1" t="str">
        <f>""</f>
        <v/>
      </c>
      <c r="Y1102" s="1" t="str">
        <f>"33"</f>
        <v>33</v>
      </c>
      <c r="Z1102" t="str">
        <f>""</f>
        <v/>
      </c>
      <c r="AA1102" t="str">
        <f>"9514599304"</f>
        <v>9514599304</v>
      </c>
      <c r="AB1102" t="str">
        <f>"9514599304"</f>
        <v>9514599304</v>
      </c>
      <c r="AC1102" t="str">
        <f>"9514599304"</f>
        <v>9514599304</v>
      </c>
      <c r="AD1102" t="str">
        <f>"9514599304"</f>
        <v>9514599304</v>
      </c>
      <c r="AE1102" t="str">
        <f>""</f>
        <v/>
      </c>
    </row>
    <row r="1103" spans="1:31" x14ac:dyDescent="0.45">
      <c r="A1103" t="str">
        <f>"ИХСАНОВА ИЛЬСИЯР МИРХАТОВНА"</f>
        <v>ИХСАНОВА ИЛЬСИЯР МИРХАТОВНА</v>
      </c>
      <c r="B1103" t="str">
        <f>"1969-03-20"</f>
        <v>1969-03-20</v>
      </c>
      <c r="C1103" t="str">
        <f>"80 13 924438"</f>
        <v>80 13 924438</v>
      </c>
      <c r="D1103" t="str">
        <f>"4279011671135450"</f>
        <v>4279011671135450</v>
      </c>
      <c r="E1103" t="str">
        <f t="shared" si="177"/>
        <v>2021-05-31</v>
      </c>
      <c r="F1103" t="str">
        <f t="shared" si="179"/>
        <v>+</v>
      </c>
      <c r="G1103" t="str">
        <f t="shared" si="178"/>
        <v>+</v>
      </c>
      <c r="H1103" t="str">
        <f>"40817810816991391425"</f>
        <v>40817810816991391425</v>
      </c>
      <c r="I1103" t="str">
        <f>"8598"</f>
        <v>8598</v>
      </c>
      <c r="J1103" t="str">
        <f>"0636"</f>
        <v>0636</v>
      </c>
      <c r="K1103" t="str">
        <f>"60000.00"</f>
        <v>60000.00</v>
      </c>
      <c r="L1103" t="str">
        <f>"450000 РЕСП БАШКОРТОСТАН   Г ОКТЯБРЬСКИЙ   УЛ КОСМОНАВТОВ д. 5"</f>
        <v>450000 РЕСП БАШКОРТОСТАН   Г ОКТЯБРЬСКИЙ   УЛ КОСМОНАВТОВ д. 5</v>
      </c>
      <c r="M1103" t="str">
        <f t="shared" si="176"/>
        <v>2019-08-24</v>
      </c>
      <c r="N1103" t="str">
        <f>"ООО ЧОП САФИТИ-ТЭК"</f>
        <v>ООО ЧОП САФИТИ-ТЭК</v>
      </c>
      <c r="O1103" t="str">
        <f>"450000"</f>
        <v>450000</v>
      </c>
      <c r="P1103" t="str">
        <f>"РЕСП БАШКОРТОСТАН"</f>
        <v>РЕСП БАШКОРТОСТАН</v>
      </c>
      <c r="Q1103" t="str">
        <f>""</f>
        <v/>
      </c>
      <c r="R1103" t="str">
        <f>"Г ОКТЯБРЬСКИЙ"</f>
        <v>Г ОКТЯБРЬСКИЙ</v>
      </c>
      <c r="S1103" t="str">
        <f>""</f>
        <v/>
      </c>
      <c r="T1103" t="str">
        <f>"УЛ СВОБОДЫ"</f>
        <v>УЛ СВОБОДЫ</v>
      </c>
      <c r="U1103" s="1" t="str">
        <f>"3"</f>
        <v>3</v>
      </c>
      <c r="V1103" s="1" t="str">
        <f>""</f>
        <v/>
      </c>
      <c r="W1103" s="1" t="str">
        <f>""</f>
        <v/>
      </c>
      <c r="X1103" s="1" t="str">
        <f>""</f>
        <v/>
      </c>
      <c r="Y1103" s="1" t="str">
        <f>""</f>
        <v/>
      </c>
      <c r="Z1103" t="str">
        <f>""</f>
        <v/>
      </c>
      <c r="AA1103" t="str">
        <f>"+7 (981) 1977072"</f>
        <v>+7 (981) 1977072</v>
      </c>
      <c r="AB1103" t="str">
        <f>"+7 (981) 1977072"</f>
        <v>+7 (981) 1977072</v>
      </c>
      <c r="AC1103" t="str">
        <f>"9373011583"</f>
        <v>9373011583</v>
      </c>
      <c r="AD1103" t="str">
        <f>"9373011583"</f>
        <v>9373011583</v>
      </c>
      <c r="AE1103" t="str">
        <f>""</f>
        <v/>
      </c>
    </row>
    <row r="1104" spans="1:31" x14ac:dyDescent="0.45">
      <c r="A1104" t="str">
        <f>"ДАВЫДОВА ЛАРИСА АЛЕКСЕЕВНА"</f>
        <v>ДАВЫДОВА ЛАРИСА АЛЕКСЕЕВНА</v>
      </c>
      <c r="B1104" t="str">
        <f>"1974-03-20"</f>
        <v>1974-03-20</v>
      </c>
      <c r="C1104" t="str">
        <f>"75 05 974711"</f>
        <v>75 05 974711</v>
      </c>
      <c r="D1104" t="str">
        <f>"4279011615424655"</f>
        <v>4279011615424655</v>
      </c>
      <c r="E1104" t="str">
        <f t="shared" si="177"/>
        <v>2021-05-31</v>
      </c>
      <c r="F1104" t="str">
        <f t="shared" si="179"/>
        <v>+</v>
      </c>
      <c r="G1104" t="str">
        <f t="shared" si="178"/>
        <v>+</v>
      </c>
      <c r="H1104" t="str">
        <f>"40817810416991391540"</f>
        <v>40817810416991391540</v>
      </c>
      <c r="I1104" t="str">
        <f>"8597"</f>
        <v>8597</v>
      </c>
      <c r="J1104" t="str">
        <f>"0345"</f>
        <v>0345</v>
      </c>
      <c r="K1104" t="str">
        <f>"200000.00"</f>
        <v>200000.00</v>
      </c>
      <c r="L1104" t="str">
        <f>"455000 ОБЛ ЧЕЛЯБИНСКАЯ   Г МАГНИТОГОРСК   УЛ МОСКОВСКАЯ д. 14"</f>
        <v>455000 ОБЛ ЧЕЛЯБИНСКАЯ   Г МАГНИТОГОРСК   УЛ МОСКОВСКАЯ д. 14</v>
      </c>
      <c r="M1104" t="str">
        <f t="shared" si="176"/>
        <v>2019-08-24</v>
      </c>
      <c r="N1104" t="s">
        <v>78</v>
      </c>
      <c r="O1104" t="str">
        <f>"455000"</f>
        <v>455000</v>
      </c>
      <c r="P1104" t="str">
        <f>"ОБЛ ЧЕЛЯБИНСКАЯ"</f>
        <v>ОБЛ ЧЕЛЯБИНСКАЯ</v>
      </c>
      <c r="Q1104" t="str">
        <f>""</f>
        <v/>
      </c>
      <c r="R1104" t="str">
        <f>"Г МАГНИТОГОРСК"</f>
        <v>Г МАГНИТОГОРСК</v>
      </c>
      <c r="S1104" t="str">
        <f>""</f>
        <v/>
      </c>
      <c r="T1104" t="str">
        <f>"ПР-КТ СОВЕТСКАЯ"</f>
        <v>ПР-КТ СОВЕТСКАЯ</v>
      </c>
      <c r="U1104" s="1" t="str">
        <f>"143"</f>
        <v>143</v>
      </c>
      <c r="V1104" s="1" t="str">
        <f>""</f>
        <v/>
      </c>
      <c r="W1104" s="1" t="str">
        <f>""</f>
        <v/>
      </c>
      <c r="X1104" s="1" t="str">
        <f>""</f>
        <v/>
      </c>
      <c r="Y1104" s="1" t="str">
        <f>"78-1"</f>
        <v>78-1</v>
      </c>
      <c r="Z1104" t="str">
        <f>""</f>
        <v/>
      </c>
      <c r="AA1104" t="str">
        <f>"9507441072"</f>
        <v>9507441072</v>
      </c>
      <c r="AB1104" t="str">
        <f>"9507441072"</f>
        <v>9507441072</v>
      </c>
      <c r="AC1104" t="str">
        <f>"9507441072"</f>
        <v>9507441072</v>
      </c>
      <c r="AD1104" t="str">
        <f>"9507441072"</f>
        <v>9507441072</v>
      </c>
      <c r="AE1104" t="str">
        <f>""</f>
        <v/>
      </c>
    </row>
    <row r="1105" spans="1:31" x14ac:dyDescent="0.45">
      <c r="A1105" t="str">
        <f>"ШАЙМАРДАНОВА ГЮЛЬНАРА НАЭЛИЕВНА"</f>
        <v>ШАЙМАРДАНОВА ГЮЛЬНАРА НАЭЛИЕВНА</v>
      </c>
      <c r="B1105" t="str">
        <f>"1970-08-02"</f>
        <v>1970-08-02</v>
      </c>
      <c r="C1105" t="str">
        <f>"65 16 222933"</f>
        <v>65 16 222933</v>
      </c>
      <c r="D1105" t="str">
        <f>"4279011664462556"</f>
        <v>4279011664462556</v>
      </c>
      <c r="E1105" t="str">
        <f t="shared" si="177"/>
        <v>2021-05-31</v>
      </c>
      <c r="F1105" t="str">
        <f t="shared" si="179"/>
        <v>+</v>
      </c>
      <c r="G1105" t="str">
        <f t="shared" si="178"/>
        <v>+</v>
      </c>
      <c r="H1105" t="str">
        <f>"40817810216991391546"</f>
        <v>40817810216991391546</v>
      </c>
      <c r="I1105" t="str">
        <f>"7003"</f>
        <v>7003</v>
      </c>
      <c r="J1105" t="str">
        <f>"0346"</f>
        <v>0346</v>
      </c>
      <c r="K1105" t="str">
        <f>"20000.00"</f>
        <v>20000.00</v>
      </c>
      <c r="L1105" t="str">
        <f>"620000 ОБЛ СВЕРДЛОВСКАЯ   Г ЕКАТЕРИНБУРГ   УЛ ТИТОВА д. 26"</f>
        <v>620000 ОБЛ СВЕРДЛОВСКАЯ   Г ЕКАТЕРИНБУРГ   УЛ ТИТОВА д. 26</v>
      </c>
      <c r="M1105" t="str">
        <f t="shared" si="176"/>
        <v>2019-08-24</v>
      </c>
      <c r="N1105" t="str">
        <f>"ООО СИНАР"</f>
        <v>ООО СИНАР</v>
      </c>
      <c r="O1105" t="str">
        <f>"620000"</f>
        <v>620000</v>
      </c>
      <c r="P1105" t="str">
        <f>"ОБЛ СВЕРДЛОВСКАЯ"</f>
        <v>ОБЛ СВЕРДЛОВСКАЯ</v>
      </c>
      <c r="Q1105" t="str">
        <f>""</f>
        <v/>
      </c>
      <c r="R1105" t="str">
        <f>"Г ЕКАТЕРИНБУРГ"</f>
        <v>Г ЕКАТЕРИНБУРГ</v>
      </c>
      <c r="S1105" t="str">
        <f>""</f>
        <v/>
      </c>
      <c r="T1105" t="str">
        <f>"ТЕР 32 ВОЕННЫЙ ГОРОДОК"</f>
        <v>ТЕР 32 ВОЕННЫЙ ГОРОДОК</v>
      </c>
      <c r="U1105" s="1" t="str">
        <f>"29"</f>
        <v>29</v>
      </c>
      <c r="V1105" s="1" t="str">
        <f>""</f>
        <v/>
      </c>
      <c r="W1105" s="1" t="str">
        <f>""</f>
        <v/>
      </c>
      <c r="X1105" s="1" t="str">
        <f>""</f>
        <v/>
      </c>
      <c r="Y1105" s="1" t="str">
        <f>"15"</f>
        <v>15</v>
      </c>
      <c r="Z1105" t="str">
        <f>""</f>
        <v/>
      </c>
      <c r="AA1105" t="str">
        <f>"9536015670"</f>
        <v>9536015670</v>
      </c>
      <c r="AB1105" t="str">
        <f>"9536015670"</f>
        <v>9536015670</v>
      </c>
      <c r="AC1105" t="str">
        <f>"9536015670"</f>
        <v>9536015670</v>
      </c>
      <c r="AD1105" t="str">
        <f>"9536015670"</f>
        <v>9536015670</v>
      </c>
      <c r="AE1105" t="str">
        <f>""</f>
        <v/>
      </c>
    </row>
    <row r="1106" spans="1:31" x14ac:dyDescent="0.45">
      <c r="A1106" t="str">
        <f>"ШЕВКУНОВА ЕВГЕНИЯ МИХАЙЛОВНА"</f>
        <v>ШЕВКУНОВА ЕВГЕНИЯ МИХАЙЛОВНА</v>
      </c>
      <c r="B1106" t="str">
        <f>"1992-01-02"</f>
        <v>1992-01-02</v>
      </c>
      <c r="C1106" t="str">
        <f>"65 11 334768"</f>
        <v>65 11 334768</v>
      </c>
      <c r="D1106" t="str">
        <f>"4279011651684956"</f>
        <v>4279011651684956</v>
      </c>
      <c r="E1106" t="str">
        <f t="shared" si="177"/>
        <v>2021-05-31</v>
      </c>
      <c r="F1106" t="str">
        <f t="shared" si="179"/>
        <v>+</v>
      </c>
      <c r="G1106" t="str">
        <f t="shared" si="178"/>
        <v>+</v>
      </c>
      <c r="H1106" t="str">
        <f>"40817810616991391544"</f>
        <v>40817810616991391544</v>
      </c>
      <c r="I1106" t="str">
        <f>"7003"</f>
        <v>7003</v>
      </c>
      <c r="J1106" t="str">
        <f>"0707"</f>
        <v>0707</v>
      </c>
      <c r="K1106" t="str">
        <f>"300000.00"</f>
        <v>300000.00</v>
      </c>
      <c r="L1106" t="str">
        <f>"620000 ОБЛ СВЕРДЛОВСКАЯ   Г ЕКАТЕРИНБУРГ   УЛ ГОРЬКОГО д. 67"</f>
        <v>620000 ОБЛ СВЕРДЛОВСКАЯ   Г ЕКАТЕРИНБУРГ   УЛ ГОРЬКОГО д. 67</v>
      </c>
      <c r="M1106" t="str">
        <f t="shared" si="176"/>
        <v>2019-08-24</v>
      </c>
      <c r="N1106" t="str">
        <f>"ПАО СБЕРБАНК"</f>
        <v>ПАО СБЕРБАНК</v>
      </c>
      <c r="O1106" t="str">
        <f>"623270"</f>
        <v>623270</v>
      </c>
      <c r="P1106" t="str">
        <f>"ОБЛ СВЕРДЛОВСКАЯ"</f>
        <v>ОБЛ СВЕРДЛОВСКАЯ</v>
      </c>
      <c r="Q1106" t="str">
        <f>""</f>
        <v/>
      </c>
      <c r="R1106" t="str">
        <f>"Г ДЕГТЯРСК"</f>
        <v>Г ДЕГТЯРСК</v>
      </c>
      <c r="S1106" t="str">
        <f>""</f>
        <v/>
      </c>
      <c r="T1106" t="str">
        <f>"УЛ ПУГАЧЕВА"</f>
        <v>УЛ ПУГАЧЕВА</v>
      </c>
      <c r="U1106" s="1" t="str">
        <f>"7"</f>
        <v>7</v>
      </c>
      <c r="V1106" s="1" t="str">
        <f>""</f>
        <v/>
      </c>
      <c r="W1106" s="1" t="str">
        <f>"А"</f>
        <v>А</v>
      </c>
      <c r="X1106" s="1" t="str">
        <f>""</f>
        <v/>
      </c>
      <c r="Y1106" s="1" t="str">
        <f>""</f>
        <v/>
      </c>
      <c r="Z1106" t="str">
        <f>"3432950075"</f>
        <v>3432950075</v>
      </c>
      <c r="AA1106" t="str">
        <f>"9030854405"</f>
        <v>9030854405</v>
      </c>
      <c r="AB1106" t="str">
        <f>"9030854405"</f>
        <v>9030854405</v>
      </c>
      <c r="AC1106" t="str">
        <f>"9030854405"</f>
        <v>9030854405</v>
      </c>
      <c r="AD1106" t="str">
        <f>"9030854405"</f>
        <v>9030854405</v>
      </c>
      <c r="AE1106" t="str">
        <f>""</f>
        <v/>
      </c>
    </row>
    <row r="1107" spans="1:31" x14ac:dyDescent="0.45">
      <c r="A1107" t="str">
        <f>"СИДОРОВ АЛЕКСЕЙ ВАЛЕРЬЕВИЧ"</f>
        <v>СИДОРОВ АЛЕКСЕЙ ВАЛЕРЬЕВИЧ</v>
      </c>
      <c r="B1107" t="str">
        <f>"1983-01-06"</f>
        <v>1983-01-06</v>
      </c>
      <c r="C1107" t="str">
        <f>"60 04 797921"</f>
        <v>60 04 797921</v>
      </c>
      <c r="D1107" t="str">
        <f>"4279011667520137"</f>
        <v>4279011667520137</v>
      </c>
      <c r="E1107" t="str">
        <f t="shared" si="177"/>
        <v>2021-05-31</v>
      </c>
      <c r="F1107" t="str">
        <f t="shared" si="179"/>
        <v>+</v>
      </c>
      <c r="G1107" t="str">
        <f t="shared" si="178"/>
        <v>+</v>
      </c>
      <c r="H1107" t="str">
        <f>"40817810816991391548"</f>
        <v>40817810816991391548</v>
      </c>
      <c r="I1107" t="str">
        <f>"8599"</f>
        <v>8599</v>
      </c>
      <c r="J1107" t="str">
        <f>"0290"</f>
        <v>0290</v>
      </c>
      <c r="K1107" t="str">
        <f>"22000.00"</f>
        <v>22000.00</v>
      </c>
      <c r="L1107" t="str">
        <f>"641000 ОБЛ КУРГАНСКАЯ   Г КУРГАН   УЛ К МЯГОТИНА д. 175"</f>
        <v>641000 ОБЛ КУРГАНСКАЯ   Г КУРГАН   УЛ К МЯГОТИНА д. 175</v>
      </c>
      <c r="M1107" t="str">
        <f t="shared" si="176"/>
        <v>2019-08-24</v>
      </c>
      <c r="N1107" t="str">
        <f>"ООО ПРОДВИЖЕНИЕ+"</f>
        <v>ООО ПРОДВИЖЕНИЕ+</v>
      </c>
      <c r="O1107" t="str">
        <f>"641000"</f>
        <v>641000</v>
      </c>
      <c r="P1107" t="str">
        <f>"ОБЛ КУРГАНСКАЯ"</f>
        <v>ОБЛ КУРГАНСКАЯ</v>
      </c>
      <c r="Q1107" t="str">
        <f>""</f>
        <v/>
      </c>
      <c r="R1107" t="str">
        <f>"Г КУРГАН"</f>
        <v>Г КУРГАН</v>
      </c>
      <c r="S1107" t="str">
        <f>"МКР ЧЕРЕМУХОВО"</f>
        <v>МКР ЧЕРЕМУХОВО</v>
      </c>
      <c r="T1107" t="str">
        <f>"УЛ ФЕСТИВАЛЬНАЯ"</f>
        <v>УЛ ФЕСТИВАЛЬНАЯ</v>
      </c>
      <c r="U1107" s="1" t="str">
        <f>"15"</f>
        <v>15</v>
      </c>
      <c r="V1107" s="1" t="str">
        <f>""</f>
        <v/>
      </c>
      <c r="W1107" s="1" t="str">
        <f>""</f>
        <v/>
      </c>
      <c r="X1107" s="1" t="str">
        <f>""</f>
        <v/>
      </c>
      <c r="Y1107" s="1" t="str">
        <f>""</f>
        <v/>
      </c>
      <c r="Z1107" t="str">
        <f>"9128356661"</f>
        <v>9128356661</v>
      </c>
      <c r="AA1107" t="str">
        <f>"9638666661"</f>
        <v>9638666661</v>
      </c>
      <c r="AB1107" t="str">
        <f>"9638666661"</f>
        <v>9638666661</v>
      </c>
      <c r="AC1107" t="str">
        <f>"9638666661"</f>
        <v>9638666661</v>
      </c>
      <c r="AD1107" t="str">
        <f>"9638666661"</f>
        <v>9638666661</v>
      </c>
      <c r="AE1107" t="str">
        <f>"9128356661"</f>
        <v>9128356661</v>
      </c>
    </row>
    <row r="1108" spans="1:31" x14ac:dyDescent="0.45">
      <c r="A1108" t="str">
        <f>"СКУБЧЕНКО МАКСИМ ВАСИЛЬЕВИЧ"</f>
        <v>СКУБЧЕНКО МАКСИМ ВАСИЛЬЕВИЧ</v>
      </c>
      <c r="B1108" t="str">
        <f>"1981-07-03"</f>
        <v>1981-07-03</v>
      </c>
      <c r="C1108" t="str">
        <f>"80 04 700425"</f>
        <v>80 04 700425</v>
      </c>
      <c r="D1108" t="str">
        <f>"4279011682936938"</f>
        <v>4279011682936938</v>
      </c>
      <c r="E1108" t="str">
        <f t="shared" si="177"/>
        <v>2021-05-31</v>
      </c>
      <c r="F1108" t="str">
        <f t="shared" si="179"/>
        <v>+</v>
      </c>
      <c r="G1108" t="str">
        <f>"W"</f>
        <v>W</v>
      </c>
      <c r="H1108" t="str">
        <f>"40817810116991391552"</f>
        <v>40817810116991391552</v>
      </c>
      <c r="I1108" t="str">
        <f>"8598"</f>
        <v>8598</v>
      </c>
      <c r="J1108" t="str">
        <f>"0657"</f>
        <v>0657</v>
      </c>
      <c r="K1108" t="str">
        <f>"590000.00"</f>
        <v>590000.00</v>
      </c>
      <c r="L1108" t="str">
        <f>"000000 АО ХАНТЫ-МАНСИЙСКИЙ АВТОНОМНЫЙ ОКРУГ-ЮГРА   Г СУРГУТ   УЛ МАНТАЖНАЯ д. 5"</f>
        <v>000000 АО ХАНТЫ-МАНСИЙСКИЙ АВТОНОМНЫЙ ОКРУГ-ЮГРА   Г СУРГУТ   УЛ МАНТАЖНАЯ д. 5</v>
      </c>
      <c r="M1108" t="str">
        <f t="shared" si="176"/>
        <v>2019-08-24</v>
      </c>
      <c r="N1108" t="str">
        <f>"ОАО МОСТООТРЯД-69"</f>
        <v>ОАО МОСТООТРЯД-69</v>
      </c>
      <c r="O1108" t="str">
        <f>"452600"</f>
        <v>452600</v>
      </c>
      <c r="P1108" t="str">
        <f>"РЕСП БАШКОРТОСТАН"</f>
        <v>РЕСП БАШКОРТОСТАН</v>
      </c>
      <c r="Q1108" t="str">
        <f>""</f>
        <v/>
      </c>
      <c r="R1108" t="str">
        <f>"Г ОКТЯБРЬСКИЙ"</f>
        <v>Г ОКТЯБРЬСКИЙ</v>
      </c>
      <c r="S1108" t="str">
        <f>""</f>
        <v/>
      </c>
      <c r="T1108" t="str">
        <f>"УЛ ПР.ЛЕНИНА"</f>
        <v>УЛ ПР.ЛЕНИНА</v>
      </c>
      <c r="U1108" s="1" t="str">
        <f>"8"</f>
        <v>8</v>
      </c>
      <c r="V1108" s="1" t="str">
        <f>""</f>
        <v/>
      </c>
      <c r="W1108" s="1" t="str">
        <f>""</f>
        <v/>
      </c>
      <c r="X1108" s="1" t="str">
        <f>""</f>
        <v/>
      </c>
      <c r="Y1108" s="1" t="str">
        <f>"18"</f>
        <v>18</v>
      </c>
      <c r="Z1108" t="str">
        <f>""</f>
        <v/>
      </c>
      <c r="AA1108" t="str">
        <f>"9373612732"</f>
        <v>9373612732</v>
      </c>
      <c r="AB1108" t="str">
        <f>"9373612732"</f>
        <v>9373612732</v>
      </c>
      <c r="AC1108" t="str">
        <f>"9373612732"</f>
        <v>9373612732</v>
      </c>
      <c r="AD1108" t="str">
        <f>"9373612732"</f>
        <v>9373612732</v>
      </c>
      <c r="AE1108" t="str">
        <f>""</f>
        <v/>
      </c>
    </row>
    <row r="1109" spans="1:31" x14ac:dyDescent="0.45">
      <c r="A1109" t="str">
        <f>"ЕФИМОВА ОЛЕСЯ АНАТОЛЬЕВНА"</f>
        <v>ЕФИМОВА ОЛЕСЯ АНАТОЛЬЕВНА</v>
      </c>
      <c r="B1109" t="str">
        <f>"1991-01-02"</f>
        <v>1991-01-02</v>
      </c>
      <c r="C1109" t="str">
        <f>"75 12 196743"</f>
        <v>75 12 196743</v>
      </c>
      <c r="D1109" t="str">
        <f>"4279011666575736"</f>
        <v>4279011666575736</v>
      </c>
      <c r="E1109" t="str">
        <f t="shared" si="177"/>
        <v>2021-05-31</v>
      </c>
      <c r="F1109" t="str">
        <f t="shared" si="179"/>
        <v>+</v>
      </c>
      <c r="G1109" t="str">
        <f>"W"</f>
        <v>W</v>
      </c>
      <c r="H1109" t="str">
        <f>"40817810316991391556"</f>
        <v>40817810316991391556</v>
      </c>
      <c r="I1109" t="str">
        <f>"8597"</f>
        <v>8597</v>
      </c>
      <c r="J1109" t="str">
        <f>"0231"</f>
        <v>0231</v>
      </c>
      <c r="K1109" t="str">
        <f>"190000.00"</f>
        <v>190000.00</v>
      </c>
      <c r="L1109" t="str">
        <f>"454000 ОБЛ ЧЕЛЯБИНСКАЯ   Г ЧЕЛЯБИНСК   ПР-КТ КОМСОМОЛЬСКИЙ д. 66 корп. 2"</f>
        <v>454000 ОБЛ ЧЕЛЯБИНСКАЯ   Г ЧЕЛЯБИНСК   ПР-КТ КОМСОМОЛЬСКИЙ д. 66 корп. 2</v>
      </c>
      <c r="M1109" t="str">
        <f t="shared" si="176"/>
        <v>2019-08-24</v>
      </c>
      <c r="N1109" t="str">
        <f>"ИП ПОСКРЯКОВА Ю.Ф."</f>
        <v>ИП ПОСКРЯКОВА Ю.Ф.</v>
      </c>
      <c r="O1109" t="str">
        <f>"454000"</f>
        <v>454000</v>
      </c>
      <c r="P1109" t="str">
        <f>"ОБЛ ЧЕЛЯБИНСКАЯ"</f>
        <v>ОБЛ ЧЕЛЯБИНСКАЯ</v>
      </c>
      <c r="Q1109" t="str">
        <f>""</f>
        <v/>
      </c>
      <c r="R1109" t="str">
        <f>"Г ЧЕЛЯБИНСК"</f>
        <v>Г ЧЕЛЯБИНСК</v>
      </c>
      <c r="S1109" t="str">
        <f>""</f>
        <v/>
      </c>
      <c r="T1109" t="str">
        <f>"УЛ КАЛИНИНА"</f>
        <v>УЛ КАЛИНИНА</v>
      </c>
      <c r="U1109" s="1" t="str">
        <f>"10"</f>
        <v>10</v>
      </c>
      <c r="V1109" s="1" t="str">
        <f>""</f>
        <v/>
      </c>
      <c r="W1109" s="1" t="str">
        <f>""</f>
        <v/>
      </c>
      <c r="X1109" s="1" t="str">
        <f>""</f>
        <v/>
      </c>
      <c r="Y1109" s="1" t="str">
        <f>"31"</f>
        <v>31</v>
      </c>
      <c r="Z1109" t="str">
        <f>""</f>
        <v/>
      </c>
      <c r="AA1109" t="str">
        <f>"9525237443"</f>
        <v>9525237443</v>
      </c>
      <c r="AB1109" t="str">
        <f>"9525237443"</f>
        <v>9525237443</v>
      </c>
      <c r="AC1109" t="str">
        <f>"9507332634"</f>
        <v>9507332634</v>
      </c>
      <c r="AD1109" t="str">
        <f>"9525237443"</f>
        <v>9525237443</v>
      </c>
      <c r="AE1109" t="str">
        <f>""</f>
        <v/>
      </c>
    </row>
    <row r="1110" spans="1:31" x14ac:dyDescent="0.45">
      <c r="A1110" t="str">
        <f>"ВАЛИШИН ЭДГАР ХАНИФОВИЧ"</f>
        <v>ВАЛИШИН ЭДГАР ХАНИФОВИЧ</v>
      </c>
      <c r="B1110" t="str">
        <f>"1990-08-06"</f>
        <v>1990-08-06</v>
      </c>
      <c r="C1110" t="str">
        <f>"80 10 124970"</f>
        <v>80 10 124970</v>
      </c>
      <c r="D1110" t="str">
        <f>"4279011688215329"</f>
        <v>4279011688215329</v>
      </c>
      <c r="E1110" t="str">
        <f t="shared" si="177"/>
        <v>2021-05-31</v>
      </c>
      <c r="F1110" t="str">
        <f t="shared" si="179"/>
        <v>+</v>
      </c>
      <c r="G1110" t="str">
        <f t="shared" si="179"/>
        <v>+</v>
      </c>
      <c r="H1110" t="str">
        <f>"40817810516991391550"</f>
        <v>40817810516991391550</v>
      </c>
      <c r="I1110" t="str">
        <f>"8598"</f>
        <v>8598</v>
      </c>
      <c r="J1110" t="str">
        <f>"0193"</f>
        <v>0193</v>
      </c>
      <c r="K1110" t="str">
        <f>"23000.00"</f>
        <v>23000.00</v>
      </c>
      <c r="L1110" t="str">
        <f>"614002 КРАЙ ПЕРМСКИЙ   Г ПЕРМЬ   УЛ ЧЕРНЫШЕВСКОГО д. 15"</f>
        <v>614002 КРАЙ ПЕРМСКИЙ   Г ПЕРМЬ   УЛ ЧЕРНЫШЕВСКОГО д. 15</v>
      </c>
      <c r="M1110" t="str">
        <f t="shared" si="176"/>
        <v>2019-08-24</v>
      </c>
      <c r="N1110" t="str">
        <f>"ООО АВЕНЮ"</f>
        <v>ООО АВЕНЮ</v>
      </c>
      <c r="O1110" t="str">
        <f>"450000"</f>
        <v>450000</v>
      </c>
      <c r="P1110" t="str">
        <f>"РЕСП БАШКОРТОСТАН"</f>
        <v>РЕСП БАШКОРТОСТАН</v>
      </c>
      <c r="Q1110" t="str">
        <f>""</f>
        <v/>
      </c>
      <c r="R1110" t="str">
        <f>"Г УФА"</f>
        <v>Г УФА</v>
      </c>
      <c r="S1110" t="str">
        <f>""</f>
        <v/>
      </c>
      <c r="T1110" t="str">
        <f>"УЛ М. ГУБАЙДУЛЛИНА"</f>
        <v>УЛ М. ГУБАЙДУЛЛИНА</v>
      </c>
      <c r="U1110" s="1" t="str">
        <f>"25"</f>
        <v>25</v>
      </c>
      <c r="V1110" s="1" t="str">
        <f>""</f>
        <v/>
      </c>
      <c r="W1110" s="1" t="str">
        <f>""</f>
        <v/>
      </c>
      <c r="X1110" s="1" t="str">
        <f>""</f>
        <v/>
      </c>
      <c r="Y1110" s="1" t="str">
        <f>"18"</f>
        <v>18</v>
      </c>
      <c r="Z1110" t="str">
        <f>""</f>
        <v/>
      </c>
      <c r="AA1110" t="str">
        <f>"+7 (987) 5952274"</f>
        <v>+7 (987) 5952274</v>
      </c>
      <c r="AB1110" t="str">
        <f>"+7 (987) 5952274"</f>
        <v>+7 (987) 5952274</v>
      </c>
      <c r="AC1110" t="str">
        <f>"9191466925"</f>
        <v>9191466925</v>
      </c>
      <c r="AD1110" t="str">
        <f>"9875952274"</f>
        <v>9875952274</v>
      </c>
      <c r="AE1110" t="str">
        <f>""</f>
        <v/>
      </c>
    </row>
    <row r="1111" spans="1:31" x14ac:dyDescent="0.45">
      <c r="A1111" t="str">
        <f>"АРЖИНТ ЮЛИЯ МИХАЙЛОВНА"</f>
        <v>АРЖИНТ ЮЛИЯ МИХАЙЛОВНА</v>
      </c>
      <c r="B1111" t="str">
        <f>"1987-10-22"</f>
        <v>1987-10-22</v>
      </c>
      <c r="C1111" t="str">
        <f>"65 17 546198"</f>
        <v>65 17 546198</v>
      </c>
      <c r="D1111" t="str">
        <f>"4279011665299312"</f>
        <v>4279011665299312</v>
      </c>
      <c r="E1111" t="str">
        <f t="shared" si="177"/>
        <v>2021-05-31</v>
      </c>
      <c r="F1111" t="str">
        <f t="shared" si="179"/>
        <v>+</v>
      </c>
      <c r="G1111" t="str">
        <f t="shared" si="179"/>
        <v>+</v>
      </c>
      <c r="H1111" t="str">
        <f>"40817810516991391547"</f>
        <v>40817810516991391547</v>
      </c>
      <c r="I1111" t="str">
        <f>"7003"</f>
        <v>7003</v>
      </c>
      <c r="J1111" t="str">
        <f>"0809"</f>
        <v>0809</v>
      </c>
      <c r="K1111" t="str">
        <f>"20000.00"</f>
        <v>20000.00</v>
      </c>
      <c r="L1111" t="str">
        <f>"620000 ОБЛ СВЕРДЛОВСКАЯ   Г ВЕРХНЯЯ САЛДА   УЛ КАРЛА МАРКСА д. 51"</f>
        <v>620000 ОБЛ СВЕРДЛОВСКАЯ   Г ВЕРХНЯЯ САЛДА   УЛ КАРЛА МАРКСА д. 51</v>
      </c>
      <c r="M1111" t="str">
        <f t="shared" si="176"/>
        <v>2019-08-24</v>
      </c>
      <c r="N1111" t="str">
        <f>"ИП ПРОНИН"</f>
        <v>ИП ПРОНИН</v>
      </c>
      <c r="O1111" t="str">
        <f>"620000"</f>
        <v>620000</v>
      </c>
      <c r="P1111" t="str">
        <f>"ОБЛ СВЕРДЛОВСКАЯ"</f>
        <v>ОБЛ СВЕРДЛОВСКАЯ</v>
      </c>
      <c r="Q1111" t="str">
        <f>""</f>
        <v/>
      </c>
      <c r="R1111" t="str">
        <f>"Г ВЕРХНЯЯ САЛДА"</f>
        <v>Г ВЕРХНЯЯ САЛДА</v>
      </c>
      <c r="S1111" t="str">
        <f>""</f>
        <v/>
      </c>
      <c r="T1111" t="str">
        <f>"УЛ ВОРОНОВА"</f>
        <v>УЛ ВОРОНОВА</v>
      </c>
      <c r="U1111" s="1" t="str">
        <f>"11"</f>
        <v>11</v>
      </c>
      <c r="V1111" s="1" t="str">
        <f>""</f>
        <v/>
      </c>
      <c r="W1111" s="1" t="str">
        <f>""</f>
        <v/>
      </c>
      <c r="X1111" s="1" t="str">
        <f>""</f>
        <v/>
      </c>
      <c r="Y1111" s="1" t="str">
        <f>"108"</f>
        <v>108</v>
      </c>
      <c r="Z1111" t="str">
        <f>""</f>
        <v/>
      </c>
      <c r="AA1111" t="str">
        <f>"9920197644"</f>
        <v>9920197644</v>
      </c>
      <c r="AB1111" t="str">
        <f>"9530005205"</f>
        <v>9530005205</v>
      </c>
      <c r="AC1111" t="str">
        <f>"9920197644"</f>
        <v>9920197644</v>
      </c>
      <c r="AD1111" t="str">
        <f>"9530005205"</f>
        <v>9530005205</v>
      </c>
      <c r="AE1111" t="str">
        <f>""</f>
        <v/>
      </c>
    </row>
    <row r="1112" spans="1:31" x14ac:dyDescent="0.45">
      <c r="A1112" t="str">
        <f>"ВОТИНЦЕВ КОНСТАНТИН ИГОРЕВИЧ"</f>
        <v>ВОТИНЦЕВ КОНСТАНТИН ИГОРЕВИЧ</v>
      </c>
      <c r="B1112" t="str">
        <f>"1995-01-14"</f>
        <v>1995-01-14</v>
      </c>
      <c r="C1112" t="str">
        <f>"37 15 643855"</f>
        <v>37 15 643855</v>
      </c>
      <c r="D1112" t="str">
        <f>"4279011642383304"</f>
        <v>4279011642383304</v>
      </c>
      <c r="E1112" t="str">
        <f t="shared" si="177"/>
        <v>2021-05-31</v>
      </c>
      <c r="F1112" t="str">
        <f t="shared" si="179"/>
        <v>+</v>
      </c>
      <c r="G1112" t="str">
        <f t="shared" si="179"/>
        <v>+</v>
      </c>
      <c r="H1112" t="str">
        <f>"40817810816991391551"</f>
        <v>40817810816991391551</v>
      </c>
      <c r="I1112" t="str">
        <f>"7003"</f>
        <v>7003</v>
      </c>
      <c r="J1112" t="str">
        <f>"0469"</f>
        <v>0469</v>
      </c>
      <c r="K1112" t="str">
        <f>"50000.00"</f>
        <v>50000.00</v>
      </c>
      <c r="L1112" t="str">
        <f>"620000 ОБЛ СВЕРДЛОВСКАЯ   Г ЕКАТЕРИНБУРГ   ПР-КТ КОСМОНАВТОВ д. 18"</f>
        <v>620000 ОБЛ СВЕРДЛОВСКАЯ   Г ЕКАТЕРИНБУРГ   ПР-КТ КОСМОНАВТОВ д. 18</v>
      </c>
      <c r="M1112" t="str">
        <f t="shared" si="176"/>
        <v>2019-08-24</v>
      </c>
      <c r="N1112" t="str">
        <f>"ПАО МАШИНОСТРОИТЕЛЬНЫЙ ЗАВОД ИМ.КАЛИНИНА М.И Г.ЕКАТЕРИНБУРГ"</f>
        <v>ПАО МАШИНОСТРОИТЕЛЬНЫЙ ЗАВОД ИМ.КАЛИНИНА М.И Г.ЕКАТЕРИНБУРГ</v>
      </c>
      <c r="O1112" t="str">
        <f>"641000"</f>
        <v>641000</v>
      </c>
      <c r="P1112" t="str">
        <f>"ОБЛ КУРГАНСКАЯ"</f>
        <v>ОБЛ КУРГАНСКАЯ</v>
      </c>
      <c r="Q1112" t="str">
        <f>""</f>
        <v/>
      </c>
      <c r="R1112" t="str">
        <f>""</f>
        <v/>
      </c>
      <c r="S1112" t="str">
        <f>"С СУХНИНСКОЕ"</f>
        <v>С СУХНИНСКОЕ</v>
      </c>
      <c r="T1112" t="str">
        <f>"УЛ -"</f>
        <v>УЛ -</v>
      </c>
      <c r="U1112" s="1" t="str">
        <f>"-"</f>
        <v>-</v>
      </c>
      <c r="V1112" s="1" t="str">
        <f>""</f>
        <v/>
      </c>
      <c r="W1112" s="1" t="str">
        <f>""</f>
        <v/>
      </c>
      <c r="X1112" s="1" t="str">
        <f>""</f>
        <v/>
      </c>
      <c r="Y1112" s="1" t="str">
        <f>""</f>
        <v/>
      </c>
      <c r="Z1112" t="str">
        <f>"3433297359"</f>
        <v>3433297359</v>
      </c>
      <c r="AA1112" t="str">
        <f>"9126029453"</f>
        <v>9126029453</v>
      </c>
      <c r="AB1112" t="str">
        <f>"9126029453"</f>
        <v>9126029453</v>
      </c>
      <c r="AC1112" t="str">
        <f>"9126029453"</f>
        <v>9126029453</v>
      </c>
      <c r="AD1112" t="str">
        <f>"9126029453"</f>
        <v>9126029453</v>
      </c>
      <c r="AE1112" t="str">
        <f>""</f>
        <v/>
      </c>
    </row>
    <row r="1113" spans="1:31" x14ac:dyDescent="0.45">
      <c r="A1113" t="str">
        <f>"ЗАХАРОВ ОЛЕГ ВЛАДИМИРОВИЧ"</f>
        <v>ЗАХАРОВ ОЛЕГ ВЛАДИМИРОВИЧ</v>
      </c>
      <c r="B1113" t="str">
        <f>"1972-12-14"</f>
        <v>1972-12-14</v>
      </c>
      <c r="C1113" t="str">
        <f>"75 18 087417"</f>
        <v>75 18 087417</v>
      </c>
      <c r="D1113" t="str">
        <f>"4279011665717693"</f>
        <v>4279011665717693</v>
      </c>
      <c r="E1113" t="str">
        <f t="shared" si="177"/>
        <v>2021-05-31</v>
      </c>
      <c r="F1113" t="str">
        <f t="shared" si="179"/>
        <v>+</v>
      </c>
      <c r="G1113" t="str">
        <f t="shared" si="179"/>
        <v>+</v>
      </c>
      <c r="H1113" t="str">
        <f>"40817810616991391560"</f>
        <v>40817810616991391560</v>
      </c>
      <c r="I1113" t="str">
        <f>"8597"</f>
        <v>8597</v>
      </c>
      <c r="J1113" t="str">
        <f>"0532"</f>
        <v>0532</v>
      </c>
      <c r="K1113" t="str">
        <f>"92000.00"</f>
        <v>92000.00</v>
      </c>
      <c r="L1113" t="str">
        <f>"454000 ОБЛ ЧЕЛЯБИНСКАЯ   Г МИАСС   УЛ ПАРКОВАЯ д. 88"</f>
        <v>454000 ОБЛ ЧЕЛЯБИНСКАЯ   Г МИАСС   УЛ ПАРКОВАЯ д. 88</v>
      </c>
      <c r="M1113" t="str">
        <f t="shared" si="176"/>
        <v>2019-08-24</v>
      </c>
      <c r="N1113" t="str">
        <f>"ООО ФИНИНВЕСТ ПЛЮС"</f>
        <v>ООО ФИНИНВЕСТ ПЛЮС</v>
      </c>
      <c r="O1113" t="str">
        <f>"454000"</f>
        <v>454000</v>
      </c>
      <c r="P1113" t="str">
        <f>"ОБЛ ЧЕЛЯБИНСКАЯ"</f>
        <v>ОБЛ ЧЕЛЯБИНСКАЯ</v>
      </c>
      <c r="Q1113" t="str">
        <f>""</f>
        <v/>
      </c>
      <c r="R1113" t="str">
        <f>"Г МИАСС"</f>
        <v>Г МИАСС</v>
      </c>
      <c r="S1113" t="str">
        <f>""</f>
        <v/>
      </c>
      <c r="T1113" t="str">
        <f>"УЛ ДОНСКАЯ"</f>
        <v>УЛ ДОНСКАЯ</v>
      </c>
      <c r="U1113" s="1" t="str">
        <f>"15"</f>
        <v>15</v>
      </c>
      <c r="V1113" s="1" t="str">
        <f>""</f>
        <v/>
      </c>
      <c r="W1113" s="1" t="str">
        <f>""</f>
        <v/>
      </c>
      <c r="X1113" s="1" t="str">
        <f>""</f>
        <v/>
      </c>
      <c r="Y1113" s="1" t="str">
        <f>"89"</f>
        <v>89</v>
      </c>
      <c r="Z1113" t="str">
        <f>"+7 (3513) 543616"</f>
        <v>+7 (3513) 543616</v>
      </c>
      <c r="AA1113" t="str">
        <f>"+7 (952) 5089843"</f>
        <v>+7 (952) 5089843</v>
      </c>
      <c r="AB1113" t="str">
        <f>"9320168733"</f>
        <v>9320168733</v>
      </c>
      <c r="AC1113" t="str">
        <f>"9823174192"</f>
        <v>9823174192</v>
      </c>
      <c r="AD1113" t="str">
        <f>"9514514733"</f>
        <v>9514514733</v>
      </c>
      <c r="AE1113" t="str">
        <f>""</f>
        <v/>
      </c>
    </row>
    <row r="1114" spans="1:31" x14ac:dyDescent="0.45">
      <c r="A1114" t="str">
        <f>"ХАЛИТОВА ИРИНА СЕРГЕЕВНА"</f>
        <v>ХАЛИТОВА ИРИНА СЕРГЕЕВНА</v>
      </c>
      <c r="B1114" t="str">
        <f>"1960-07-04"</f>
        <v>1960-07-04</v>
      </c>
      <c r="C1114" t="str">
        <f>"65 05 619262"</f>
        <v>65 05 619262</v>
      </c>
      <c r="D1114" t="str">
        <f>"4279011665516210"</f>
        <v>4279011665516210</v>
      </c>
      <c r="E1114" t="str">
        <f t="shared" ref="E1114:E1119" si="180">"2021-06-30"</f>
        <v>2021-06-30</v>
      </c>
      <c r="F1114" t="str">
        <f t="shared" si="179"/>
        <v>+</v>
      </c>
      <c r="G1114" t="str">
        <f t="shared" si="179"/>
        <v>+</v>
      </c>
      <c r="H1114" t="str">
        <f>"40817810616991463142"</f>
        <v>40817810616991463142</v>
      </c>
      <c r="I1114" t="str">
        <f>"7003"</f>
        <v>7003</v>
      </c>
      <c r="J1114" t="str">
        <f>"0441"</f>
        <v>0441</v>
      </c>
      <c r="K1114" t="str">
        <f>"170000.00"</f>
        <v>170000.00</v>
      </c>
      <c r="L1114" t="str">
        <f>"620000 ОБЛ СВЕРДЛОВСКАЯ   Г ЕКАТЕРИНБУРГ   УЛ АНТОНА ВАЛИКА д. 13"</f>
        <v>620000 ОБЛ СВЕРДЛОВСКАЯ   Г ЕКАТЕРИНБУРГ   УЛ АНТОНА ВАЛИКА д. 13</v>
      </c>
      <c r="M1114" t="str">
        <f t="shared" si="176"/>
        <v>2019-08-24</v>
      </c>
      <c r="N1114" t="str">
        <f>"ООО ЛОТОС ЕКБ"</f>
        <v>ООО ЛОТОС ЕКБ</v>
      </c>
      <c r="O1114" t="str">
        <f>"620000"</f>
        <v>620000</v>
      </c>
      <c r="P1114" t="str">
        <f>"ОБЛ СВЕРДЛОВСКАЯ"</f>
        <v>ОБЛ СВЕРДЛОВСКАЯ</v>
      </c>
      <c r="Q1114" t="str">
        <f>""</f>
        <v/>
      </c>
      <c r="R1114" t="str">
        <f>"Г ЕКАТЕРИНБУРГ"</f>
        <v>Г ЕКАТЕРИНБУРГ</v>
      </c>
      <c r="S1114" t="str">
        <f>""</f>
        <v/>
      </c>
      <c r="T1114" t="str">
        <f>"УЛ ТАТИЩЕВА"</f>
        <v>УЛ ТАТИЩЕВА</v>
      </c>
      <c r="U1114" s="1" t="str">
        <f>"58"</f>
        <v>58</v>
      </c>
      <c r="V1114" s="1" t="str">
        <f>""</f>
        <v/>
      </c>
      <c r="W1114" s="1" t="str">
        <f>""</f>
        <v/>
      </c>
      <c r="X1114" s="1" t="str">
        <f>""</f>
        <v/>
      </c>
      <c r="Y1114" s="1" t="str">
        <f>"71"</f>
        <v>71</v>
      </c>
      <c r="Z1114" t="str">
        <f>""</f>
        <v/>
      </c>
      <c r="AA1114" t="str">
        <f>"9222963066"</f>
        <v>9222963066</v>
      </c>
      <c r="AB1114" t="str">
        <f>"9222963066"</f>
        <v>9222963066</v>
      </c>
      <c r="AC1114" t="str">
        <f>"9222963066"</f>
        <v>9222963066</v>
      </c>
      <c r="AD1114" t="str">
        <f>"9222963066"</f>
        <v>9222963066</v>
      </c>
      <c r="AE1114" t="str">
        <f>""</f>
        <v/>
      </c>
    </row>
    <row r="1115" spans="1:31" x14ac:dyDescent="0.45">
      <c r="A1115" t="str">
        <f>"НОВИКОВ СЕРГЕЙ СЕРГЕЕВИЧ"</f>
        <v>НОВИКОВ СЕРГЕЙ СЕРГЕЕВИЧ</v>
      </c>
      <c r="B1115" t="str">
        <f>"1992-06-28"</f>
        <v>1992-06-28</v>
      </c>
      <c r="C1115" t="str">
        <f>"65 16 249965"</f>
        <v>65 16 249965</v>
      </c>
      <c r="D1115" t="str">
        <f>"5469011600261325"</f>
        <v>5469011600261325</v>
      </c>
      <c r="E1115" t="str">
        <f t="shared" si="180"/>
        <v>2021-06-30</v>
      </c>
      <c r="F1115" t="str">
        <f t="shared" si="179"/>
        <v>+</v>
      </c>
      <c r="G1115" t="str">
        <f t="shared" si="179"/>
        <v>+</v>
      </c>
      <c r="H1115" t="str">
        <f>"40817810216991463144"</f>
        <v>40817810216991463144</v>
      </c>
      <c r="I1115" t="str">
        <f>"7003"</f>
        <v>7003</v>
      </c>
      <c r="J1115" t="str">
        <f>"0628"</f>
        <v>0628</v>
      </c>
      <c r="K1115" t="str">
        <f>"165000.00"</f>
        <v>165000.00</v>
      </c>
      <c r="L1115" t="str">
        <f>"624285 ОБЛ СВЕРДЛОВСКАЯ Р-Н АСБЕСТОВСКИЙ   П РЕФТИНСКИЙ УЛ ПРОМЗОНА"</f>
        <v>624285 ОБЛ СВЕРДЛОВСКАЯ Р-Н АСБЕСТОВСКИЙ   П РЕФТИНСКИЙ УЛ ПРОМЗОНА</v>
      </c>
      <c r="M1115" t="str">
        <f t="shared" si="176"/>
        <v>2019-08-24</v>
      </c>
      <c r="N1115" t="str">
        <f>"АО ДИТСМАНН"</f>
        <v>АО ДИТСМАНН</v>
      </c>
      <c r="O1115" t="str">
        <f>"624285"</f>
        <v>624285</v>
      </c>
      <c r="P1115" t="str">
        <f>"ОБЛ СВЕРДЛОВСКАЯ"</f>
        <v>ОБЛ СВЕРДЛОВСКАЯ</v>
      </c>
      <c r="Q1115" t="str">
        <f>"Р-Н СВЕРДЛОВСКАЯ"</f>
        <v>Р-Н СВЕРДЛОВСКАЯ</v>
      </c>
      <c r="R1115" t="str">
        <f>""</f>
        <v/>
      </c>
      <c r="S1115" t="str">
        <f>"П РЕФТИНСКИЙ"</f>
        <v>П РЕФТИНСКИЙ</v>
      </c>
      <c r="T1115" t="str">
        <f>"УЛ ЛЕСНАЯ"</f>
        <v>УЛ ЛЕСНАЯ</v>
      </c>
      <c r="U1115" s="1" t="str">
        <f>"1"</f>
        <v>1</v>
      </c>
      <c r="V1115" s="1" t="str">
        <f>""</f>
        <v/>
      </c>
      <c r="W1115" s="1" t="str">
        <f>""</f>
        <v/>
      </c>
      <c r="X1115" s="1" t="str">
        <f>""</f>
        <v/>
      </c>
      <c r="Y1115" s="1" t="str">
        <f>"10"</f>
        <v>10</v>
      </c>
      <c r="Z1115" t="str">
        <f>"3436533303"</f>
        <v>3436533303</v>
      </c>
      <c r="AA1115" t="str">
        <f>"9827548154"</f>
        <v>9827548154</v>
      </c>
      <c r="AB1115" t="str">
        <f>"9827548154"</f>
        <v>9827548154</v>
      </c>
      <c r="AC1115" t="str">
        <f>""</f>
        <v/>
      </c>
      <c r="AD1115" t="str">
        <f>"9827548154"</f>
        <v>9827548154</v>
      </c>
      <c r="AE1115" t="str">
        <f>""</f>
        <v/>
      </c>
    </row>
    <row r="1116" spans="1:31" x14ac:dyDescent="0.45">
      <c r="A1116" t="str">
        <f>"ДОСТОВАЛОВА СВЕТЛАНА ЛЕОНИДОВНА"</f>
        <v>ДОСТОВАЛОВА СВЕТЛАНА ЛЕОНИДОВНА</v>
      </c>
      <c r="B1116" t="str">
        <f>"1987-07-14"</f>
        <v>1987-07-14</v>
      </c>
      <c r="C1116" t="str">
        <f>"37 08 306101"</f>
        <v>37 08 306101</v>
      </c>
      <c r="D1116" t="str">
        <f>"4279011624513373"</f>
        <v>4279011624513373</v>
      </c>
      <c r="E1116" t="str">
        <f t="shared" si="180"/>
        <v>2021-06-30</v>
      </c>
      <c r="F1116" t="str">
        <f t="shared" si="179"/>
        <v>+</v>
      </c>
      <c r="G1116" t="str">
        <f t="shared" si="179"/>
        <v>+</v>
      </c>
      <c r="H1116" t="str">
        <f>"40817810516991463145"</f>
        <v>40817810516991463145</v>
      </c>
      <c r="I1116" t="str">
        <f>"8599"</f>
        <v>8599</v>
      </c>
      <c r="J1116" t="str">
        <f>"7770"</f>
        <v>7770</v>
      </c>
      <c r="K1116" t="str">
        <f>"65000.00"</f>
        <v>65000.00</v>
      </c>
      <c r="L1116" t="str">
        <f>"641000 ОБЛ КУРГАНСКАЯ     РП ВАРГАШИ УЛ ЧКАЛОВА д. 22"</f>
        <v>641000 ОБЛ КУРГАНСКАЯ     РП ВАРГАШИ УЛ ЧКАЛОВА д. 22</v>
      </c>
      <c r="M1116" t="str">
        <f t="shared" si="176"/>
        <v>2019-08-24</v>
      </c>
      <c r="N1116" t="str">
        <f>"МКУ ЦЕНТРАЛЬНАЯ БИБЛИОТЕКА ВАРГАШИНСКОГО РАЙОНА"</f>
        <v>МКУ ЦЕНТРАЛЬНАЯ БИБЛИОТЕКА ВАРГАШИНСКОГО РАЙОНА</v>
      </c>
      <c r="O1116" t="str">
        <f>"641000"</f>
        <v>641000</v>
      </c>
      <c r="P1116" t="str">
        <f>"ОБЛ КУРГАНСКАЯ"</f>
        <v>ОБЛ КУРГАНСКАЯ</v>
      </c>
      <c r="Q1116" t="str">
        <f>"Р-Н ВАРГАШИНСКИЙ"</f>
        <v>Р-Н ВАРГАШИНСКИЙ</v>
      </c>
      <c r="R1116" t="str">
        <f>""</f>
        <v/>
      </c>
      <c r="S1116" t="str">
        <f>"С МОСТОВСКОЕ"</f>
        <v>С МОСТОВСКОЕ</v>
      </c>
      <c r="T1116" t="str">
        <f>"УЛ ЛЕСНАЯ"</f>
        <v>УЛ ЛЕСНАЯ</v>
      </c>
      <c r="U1116" s="1" t="str">
        <f>"8"</f>
        <v>8</v>
      </c>
      <c r="V1116" s="1" t="str">
        <f>""</f>
        <v/>
      </c>
      <c r="W1116" s="1" t="str">
        <f>""</f>
        <v/>
      </c>
      <c r="X1116" s="1" t="str">
        <f>""</f>
        <v/>
      </c>
      <c r="Y1116" s="1" t="str">
        <f>"2"</f>
        <v>2</v>
      </c>
      <c r="Z1116" t="str">
        <f>"3523310257"</f>
        <v>3523310257</v>
      </c>
      <c r="AA1116" t="str">
        <f>"9617513860"</f>
        <v>9617513860</v>
      </c>
      <c r="AB1116" t="str">
        <f>"9617513860"</f>
        <v>9617513860</v>
      </c>
      <c r="AC1116" t="str">
        <f>"9617513860"</f>
        <v>9617513860</v>
      </c>
      <c r="AD1116" t="str">
        <f>"9617513860"</f>
        <v>9617513860</v>
      </c>
      <c r="AE1116" t="str">
        <f>"3523310257"</f>
        <v>3523310257</v>
      </c>
    </row>
    <row r="1117" spans="1:31" x14ac:dyDescent="0.45">
      <c r="A1117" t="str">
        <f>"УРАКАЕВ РАДМИР САГАДИЕВИЧ"</f>
        <v>УРАКАЕВ РАДМИР САГАДИЕВИЧ</v>
      </c>
      <c r="B1117" t="str">
        <f>"1973-11-06"</f>
        <v>1973-11-06</v>
      </c>
      <c r="C1117" t="str">
        <f>"80 18 865414"</f>
        <v>80 18 865414</v>
      </c>
      <c r="D1117" t="str">
        <f>"4279011674322386"</f>
        <v>4279011674322386</v>
      </c>
      <c r="E1117" t="str">
        <f t="shared" si="180"/>
        <v>2021-06-30</v>
      </c>
      <c r="F1117" t="str">
        <f t="shared" si="179"/>
        <v>+</v>
      </c>
      <c r="G1117" t="str">
        <f t="shared" si="179"/>
        <v>+</v>
      </c>
      <c r="H1117" t="str">
        <f>"40817810816991463146"</f>
        <v>40817810816991463146</v>
      </c>
      <c r="I1117" t="str">
        <f>"8598"</f>
        <v>8598</v>
      </c>
      <c r="J1117" t="str">
        <f>"0339"</f>
        <v>0339</v>
      </c>
      <c r="K1117" t="str">
        <f>"200000.00"</f>
        <v>200000.00</v>
      </c>
      <c r="L1117" t="str">
        <f>"000000 ОБЛ ТЮМЕНСКАЯ АО ХАНТЫ-МАНСИЙСКИЙ   Г КОГАЛЫМ УЛ ВОСТОЯНАЯ д. 4"</f>
        <v>000000 ОБЛ ТЮМЕНСКАЯ АО ХАНТЫ-МАНСИЙСКИЙ   Г КОГАЛЫМ УЛ ВОСТОЯНАЯ д. 4</v>
      </c>
      <c r="M1117" t="str">
        <f t="shared" si="176"/>
        <v>2019-08-24</v>
      </c>
      <c r="N1117" t="str">
        <f>"ООО АРГОС"</f>
        <v>ООО АРГОС</v>
      </c>
      <c r="O1117" t="str">
        <f>"450000"</f>
        <v>450000</v>
      </c>
      <c r="P1117" t="str">
        <f>"РЕСП БАШКОРТОСТАН"</f>
        <v>РЕСП БАШКОРТОСТАН</v>
      </c>
      <c r="Q1117" t="str">
        <f>"Р-Н ЗИАНЧУРИНСКИЙ"</f>
        <v>Р-Н ЗИАНЧУРИНСКИЙ</v>
      </c>
      <c r="R1117" t="str">
        <f>""</f>
        <v/>
      </c>
      <c r="S1117" t="str">
        <f>"Д ИДЯШЕВО"</f>
        <v>Д ИДЯШЕВО</v>
      </c>
      <c r="T1117" t="str">
        <f>"УЛ МОЛОДЕЖНАЯ"</f>
        <v>УЛ МОЛОДЕЖНАЯ</v>
      </c>
      <c r="U1117" s="1" t="str">
        <f>"14"</f>
        <v>14</v>
      </c>
      <c r="V1117" s="1" t="str">
        <f>""</f>
        <v/>
      </c>
      <c r="W1117" s="1" t="str">
        <f>""</f>
        <v/>
      </c>
      <c r="X1117" s="1" t="str">
        <f>""</f>
        <v/>
      </c>
      <c r="Y1117" s="1" t="str">
        <f>""</f>
        <v/>
      </c>
      <c r="Z1117" t="str">
        <f>"9373343283"</f>
        <v>9373343283</v>
      </c>
      <c r="AA1117" t="str">
        <f>"9373343283"</f>
        <v>9373343283</v>
      </c>
      <c r="AB1117" t="str">
        <f>"9373343283"</f>
        <v>9373343283</v>
      </c>
      <c r="AC1117" t="str">
        <f>"9373343283"</f>
        <v>9373343283</v>
      </c>
      <c r="AD1117" t="str">
        <f>"9373343283"</f>
        <v>9373343283</v>
      </c>
      <c r="AE1117" t="str">
        <f>"9373343283"</f>
        <v>9373343283</v>
      </c>
    </row>
    <row r="1118" spans="1:31" x14ac:dyDescent="0.45">
      <c r="A1118" t="str">
        <f>"МИХАЙЛОВА ЭЛЬВИРА МАРСОВНА"</f>
        <v>МИХАЙЛОВА ЭЛЬВИРА МАРСОВНА</v>
      </c>
      <c r="B1118" t="str">
        <f>"1971-07-30"</f>
        <v>1971-07-30</v>
      </c>
      <c r="C1118" t="str">
        <f>"80 16 416490"</f>
        <v>80 16 416490</v>
      </c>
      <c r="D1118" t="str">
        <f>"4279011686243281"</f>
        <v>4279011686243281</v>
      </c>
      <c r="E1118" t="str">
        <f t="shared" si="180"/>
        <v>2021-06-30</v>
      </c>
      <c r="F1118" t="str">
        <f t="shared" si="179"/>
        <v>+</v>
      </c>
      <c r="G1118" t="str">
        <f t="shared" si="179"/>
        <v>+</v>
      </c>
      <c r="H1118" t="str">
        <f>"40817810416991463232"</f>
        <v>40817810416991463232</v>
      </c>
      <c r="I1118" t="str">
        <f>"8598"</f>
        <v>8598</v>
      </c>
      <c r="J1118" t="str">
        <f>"0497"</f>
        <v>0497</v>
      </c>
      <c r="K1118" t="str">
        <f>"200000.00"</f>
        <v>200000.00</v>
      </c>
      <c r="L1118" t="str">
        <f>"450000 РЕСП БАШКОРТОСТАН   Г УФА   УЛ Б-Р МОЛОДЕЖНЫЙ д. 8 кв. 509"</f>
        <v>450000 РЕСП БАШКОРТОСТАН   Г УФА   УЛ Б-Р МОЛОДЕЖНЫЙ д. 8 кв. 509</v>
      </c>
      <c r="M1118" t="str">
        <f t="shared" si="176"/>
        <v>2019-08-24</v>
      </c>
      <c r="N1118" t="str">
        <f>"ИП МИХАЙЛОВА ЭЛЬВИРА МАРСОВНА"</f>
        <v>ИП МИХАЙЛОВА ЭЛЬВИРА МАРСОВНА</v>
      </c>
      <c r="O1118" t="str">
        <f>"450000"</f>
        <v>450000</v>
      </c>
      <c r="P1118" t="str">
        <f>"РЕСП БАШКОРТОСТАН"</f>
        <v>РЕСП БАШКОРТОСТАН</v>
      </c>
      <c r="Q1118" t="str">
        <f>""</f>
        <v/>
      </c>
      <c r="R1118" t="str">
        <f>"Г УФА"</f>
        <v>Г УФА</v>
      </c>
      <c r="S1118" t="str">
        <f>""</f>
        <v/>
      </c>
      <c r="T1118" t="str">
        <f>"УЛ Б-Р МОЛОДЕЖНЫЙ"</f>
        <v>УЛ Б-Р МОЛОДЕЖНЫЙ</v>
      </c>
      <c r="U1118" s="1" t="str">
        <f>"8"</f>
        <v>8</v>
      </c>
      <c r="V1118" s="1" t="str">
        <f>""</f>
        <v/>
      </c>
      <c r="W1118" s="1" t="str">
        <f>""</f>
        <v/>
      </c>
      <c r="X1118" s="1" t="str">
        <f>""</f>
        <v/>
      </c>
      <c r="Y1118" s="1" t="str">
        <f>"509"</f>
        <v>509</v>
      </c>
      <c r="Z1118" t="str">
        <f>""</f>
        <v/>
      </c>
      <c r="AA1118" t="str">
        <f>"9174001633"</f>
        <v>9174001633</v>
      </c>
      <c r="AB1118" t="str">
        <f>"9174001633"</f>
        <v>9174001633</v>
      </c>
      <c r="AC1118" t="str">
        <f>"9174001633"</f>
        <v>9174001633</v>
      </c>
      <c r="AD1118" t="str">
        <f>"9174001633"</f>
        <v>9174001633</v>
      </c>
      <c r="AE1118" t="str">
        <f>""</f>
        <v/>
      </c>
    </row>
    <row r="1119" spans="1:31" x14ac:dyDescent="0.45">
      <c r="A1119" t="str">
        <f>"НУРИАХМЕТОВА ЭЛЬВИРА НАУФАЛОВНА"</f>
        <v>НУРИАХМЕТОВА ЭЛЬВИРА НАУФАЛОВНА</v>
      </c>
      <c r="B1119" t="str">
        <f>"1974-08-10"</f>
        <v>1974-08-10</v>
      </c>
      <c r="C1119" t="str">
        <f>"80 03 705794"</f>
        <v>80 03 705794</v>
      </c>
      <c r="D1119" t="str">
        <f>"4279011649748624"</f>
        <v>4279011649748624</v>
      </c>
      <c r="E1119" t="str">
        <f t="shared" si="180"/>
        <v>2021-06-30</v>
      </c>
      <c r="F1119" t="str">
        <f t="shared" si="179"/>
        <v>+</v>
      </c>
      <c r="G1119" t="str">
        <f t="shared" si="179"/>
        <v>+</v>
      </c>
      <c r="H1119" t="str">
        <f>"40817810716991463233"</f>
        <v>40817810716991463233</v>
      </c>
      <c r="I1119" t="str">
        <f>"8598"</f>
        <v>8598</v>
      </c>
      <c r="J1119" t="str">
        <f>"0595"</f>
        <v>0595</v>
      </c>
      <c r="K1119" t="str">
        <f>"110000.00"</f>
        <v>110000.00</v>
      </c>
      <c r="L1119" t="str">
        <f>"450000 РЕСП БАШКОРТОСТАН   Г НЕФТЕКАМСК   УЛ ЯНАУЛЬСКАЯ д. 2"</f>
        <v>450000 РЕСП БАШКОРТОСТАН   Г НЕФТЕКАМСК   УЛ ЯНАУЛЬСКАЯ д. 2</v>
      </c>
      <c r="M1119" t="str">
        <f t="shared" si="176"/>
        <v>2019-08-24</v>
      </c>
      <c r="N1119" t="str">
        <f>"НЕФАЗ"</f>
        <v>НЕФАЗ</v>
      </c>
      <c r="O1119" t="str">
        <f>"450000"</f>
        <v>450000</v>
      </c>
      <c r="P1119" t="str">
        <f>"РЕСП БАШКОРТОСТАН"</f>
        <v>РЕСП БАШКОРТОСТАН</v>
      </c>
      <c r="Q1119" t="str">
        <f>"Р-Н ЯНАУЛЬСКИЙ"</f>
        <v>Р-Н ЯНАУЛЬСКИЙ</v>
      </c>
      <c r="R1119" t="str">
        <f>""</f>
        <v/>
      </c>
      <c r="S1119" t="str">
        <f>"Д КУМОВО"</f>
        <v>Д КУМОВО</v>
      </c>
      <c r="T1119" t="str">
        <f>"УЛ САДОВАЯ"</f>
        <v>УЛ САДОВАЯ</v>
      </c>
      <c r="U1119" s="1" t="str">
        <f>"1/2"</f>
        <v>1/2</v>
      </c>
      <c r="V1119" s="1" t="str">
        <f>""</f>
        <v/>
      </c>
      <c r="W1119" s="1" t="str">
        <f>""</f>
        <v/>
      </c>
      <c r="X1119" s="1" t="str">
        <f>""</f>
        <v/>
      </c>
      <c r="Y1119" s="1" t="str">
        <f>""</f>
        <v/>
      </c>
      <c r="Z1119" t="str">
        <f>""</f>
        <v/>
      </c>
      <c r="AA1119" t="str">
        <f>"9177479324"</f>
        <v>9177479324</v>
      </c>
      <c r="AB1119" t="str">
        <f>"9177479324"</f>
        <v>9177479324</v>
      </c>
      <c r="AC1119" t="str">
        <f>"9177479324"</f>
        <v>9177479324</v>
      </c>
      <c r="AD1119" t="str">
        <f>"9177479324"</f>
        <v>9177479324</v>
      </c>
      <c r="AE1119" t="str">
        <f>""</f>
        <v/>
      </c>
    </row>
    <row r="1120" spans="1:31" x14ac:dyDescent="0.45">
      <c r="A1120" t="str">
        <f>"ТУКТАМЫШЕВ РАБИС ДИНАРОВИЧ"</f>
        <v>ТУКТАМЫШЕВ РАБИС ДИНАРОВИЧ</v>
      </c>
      <c r="B1120" t="str">
        <f>"1955-07-15"</f>
        <v>1955-07-15</v>
      </c>
      <c r="C1120" t="str">
        <f>"80 03 638490"</f>
        <v>80 03 638490</v>
      </c>
      <c r="D1120" t="str">
        <f>"4854630381555542"</f>
        <v>4854630381555542</v>
      </c>
      <c r="E1120" t="str">
        <f>"2021-04-30"</f>
        <v>2021-04-30</v>
      </c>
      <c r="F1120" t="str">
        <f>"Q"</f>
        <v>Q</v>
      </c>
      <c r="G1120" t="str">
        <f>"Q"</f>
        <v>Q</v>
      </c>
      <c r="H1120" t="str">
        <f>"40817810316991427967"</f>
        <v>40817810316991427967</v>
      </c>
      <c r="I1120" t="str">
        <f>"8598"</f>
        <v>8598</v>
      </c>
      <c r="J1120" t="str">
        <f>"0168"</f>
        <v>0168</v>
      </c>
      <c r="K1120" t="str">
        <f>"0.00"</f>
        <v>0.00</v>
      </c>
      <c r="L1120" t="str">
        <f>"450000 РЕСП БАШКОРТОСТАН   Г УФА   УЛ ТРАНСПОРТНАЯ д. 47 корп. 1"</f>
        <v>450000 РЕСП БАШКОРТОСТАН   Г УФА   УЛ ТРАНСПОРТНАЯ д. 47 корп. 1</v>
      </c>
      <c r="M1120" t="str">
        <f t="shared" si="176"/>
        <v>2019-08-24</v>
      </c>
      <c r="N1120" t="str">
        <f>"ЖЭУ"</f>
        <v>ЖЭУ</v>
      </c>
      <c r="O1120" t="str">
        <f>"450000"</f>
        <v>450000</v>
      </c>
      <c r="P1120" t="str">
        <f>"РЕСП БАШКОРТОСТАН"</f>
        <v>РЕСП БАШКОРТОСТАН</v>
      </c>
      <c r="Q1120" t="str">
        <f>""</f>
        <v/>
      </c>
      <c r="R1120" t="str">
        <f>"Г УФА"</f>
        <v>Г УФА</v>
      </c>
      <c r="S1120" t="str">
        <f>""</f>
        <v/>
      </c>
      <c r="T1120" t="str">
        <f>"Б-Р БАЛАНДИНА"</f>
        <v>Б-Р БАЛАНДИНА</v>
      </c>
      <c r="U1120" s="1" t="str">
        <f>"2"</f>
        <v>2</v>
      </c>
      <c r="V1120" s="1" t="str">
        <f>""</f>
        <v/>
      </c>
      <c r="W1120" s="1" t="str">
        <f>""</f>
        <v/>
      </c>
      <c r="X1120" s="1" t="str">
        <f>""</f>
        <v/>
      </c>
      <c r="Y1120" s="1" t="str">
        <f>"119"</f>
        <v>119</v>
      </c>
      <c r="Z1120" t="str">
        <f>""</f>
        <v/>
      </c>
      <c r="AA1120" t="str">
        <f>"9174108718"</f>
        <v>9174108718</v>
      </c>
      <c r="AB1120" t="str">
        <f>"9378323204"</f>
        <v>9378323204</v>
      </c>
      <c r="AC1120" t="str">
        <f>"9174108718"</f>
        <v>9174108718</v>
      </c>
      <c r="AD1120" t="str">
        <f>"9378323204"</f>
        <v>9378323204</v>
      </c>
      <c r="AE1120" t="str">
        <f>""</f>
        <v/>
      </c>
    </row>
    <row r="1121" spans="1:31" x14ac:dyDescent="0.45">
      <c r="A1121" t="str">
        <f>"ОРЛОВ АЛЕКСЕЙ АЛЕКСАНДРОВИЧ"</f>
        <v>ОРЛОВ АЛЕКСЕЙ АЛЕКСАНДРОВИЧ</v>
      </c>
      <c r="B1121" t="str">
        <f>"1977-01-07"</f>
        <v>1977-01-07</v>
      </c>
      <c r="C1121" t="str">
        <f>"65 05 142996"</f>
        <v>65 05 142996</v>
      </c>
      <c r="D1121" t="str">
        <f>"4279011695294259"</f>
        <v>4279011695294259</v>
      </c>
      <c r="E1121" t="str">
        <f>"2021-06-30"</f>
        <v>2021-06-30</v>
      </c>
      <c r="F1121" t="str">
        <f t="shared" ref="F1121:G1139" si="181">"+"</f>
        <v>+</v>
      </c>
      <c r="G1121" t="str">
        <f t="shared" si="181"/>
        <v>+</v>
      </c>
      <c r="H1121" t="str">
        <f>"40817810016991463234"</f>
        <v>40817810016991463234</v>
      </c>
      <c r="I1121" t="str">
        <f>"7003"</f>
        <v>7003</v>
      </c>
      <c r="J1121" t="str">
        <f>"0383"</f>
        <v>0383</v>
      </c>
      <c r="K1121" t="str">
        <f>"120000.00"</f>
        <v>120000.00</v>
      </c>
      <c r="L1121" t="str">
        <f>"620000 ОБЛ СВЕРДЛОВСКАЯ   Г ЕКАТЕРИНБУРГ   УЛ АКАДЕМИКА ВОНСОВСКОГО д. 1 корп. Ю"</f>
        <v>620000 ОБЛ СВЕРДЛОВСКАЯ   Г ЕКАТЕРИНБУРГ   УЛ АКАДЕМИКА ВОНСОВСКОГО д. 1 корп. Ю</v>
      </c>
      <c r="M1121" t="str">
        <f t="shared" si="176"/>
        <v>2019-08-24</v>
      </c>
      <c r="N1121" t="str">
        <f>"ООО ПП АЭРОМИР"</f>
        <v>ООО ПП АЭРОМИР</v>
      </c>
      <c r="O1121" t="str">
        <f>"620000"</f>
        <v>620000</v>
      </c>
      <c r="P1121" t="str">
        <f>"ОБЛ СВЕРДЛОВСКАЯ"</f>
        <v>ОБЛ СВЕРДЛОВСКАЯ</v>
      </c>
      <c r="Q1121" t="str">
        <f>""</f>
        <v/>
      </c>
      <c r="R1121" t="str">
        <f>"Г ЕКАТЕРИНБУРГ"</f>
        <v>Г ЕКАТЕРИНБУРГ</v>
      </c>
      <c r="S1121" t="str">
        <f>""</f>
        <v/>
      </c>
      <c r="T1121" t="str">
        <f>"УЛ БЕЛИНСКОГО"</f>
        <v>УЛ БЕЛИНСКОГО</v>
      </c>
      <c r="U1121" s="1" t="str">
        <f>"218"</f>
        <v>218</v>
      </c>
      <c r="V1121" s="1" t="str">
        <f>""</f>
        <v/>
      </c>
      <c r="W1121" s="1" t="str">
        <f>"2"</f>
        <v>2</v>
      </c>
      <c r="X1121" s="1" t="str">
        <f>""</f>
        <v/>
      </c>
      <c r="Y1121" s="1" t="str">
        <f>"94"</f>
        <v>94</v>
      </c>
      <c r="Z1121" t="str">
        <f>""</f>
        <v/>
      </c>
      <c r="AA1121" t="str">
        <f>"9222105583"</f>
        <v>9222105583</v>
      </c>
      <c r="AB1121" t="str">
        <f>"9222105583"</f>
        <v>9222105583</v>
      </c>
      <c r="AC1121" t="str">
        <f>"9222105583"</f>
        <v>9222105583</v>
      </c>
      <c r="AD1121" t="str">
        <f>"9222105583"</f>
        <v>9222105583</v>
      </c>
      <c r="AE1121" t="str">
        <f>""</f>
        <v/>
      </c>
    </row>
    <row r="1122" spans="1:31" x14ac:dyDescent="0.45">
      <c r="A1122" t="str">
        <f>"ШЕРМАН МАКСИМ АЛЕКСЕЕВИЧ"</f>
        <v>ШЕРМАН МАКСИМ АЛЕКСЕЕВИЧ</v>
      </c>
      <c r="B1122" t="str">
        <f>"1996-04-06"</f>
        <v>1996-04-06</v>
      </c>
      <c r="C1122" t="str">
        <f>"57 16 448350"</f>
        <v>57 16 448350</v>
      </c>
      <c r="D1122" t="str">
        <f>"4276011667516617"</f>
        <v>4276011667516617</v>
      </c>
      <c r="E1122" t="str">
        <f>"2021-06-30"</f>
        <v>2021-06-30</v>
      </c>
      <c r="F1122" t="str">
        <f t="shared" si="181"/>
        <v>+</v>
      </c>
      <c r="G1122" t="str">
        <f t="shared" si="181"/>
        <v>+</v>
      </c>
      <c r="H1122" t="str">
        <f>"40817810316991463235"</f>
        <v>40817810316991463235</v>
      </c>
      <c r="I1122" t="str">
        <f>"7003"</f>
        <v>7003</v>
      </c>
      <c r="J1122" t="str">
        <f>"0294"</f>
        <v>0294</v>
      </c>
      <c r="K1122" t="str">
        <f>"50000.00"</f>
        <v>50000.00</v>
      </c>
      <c r="L1122" t="str">
        <f>"620000 ОБЛ СВЕРДЛОВСКАЯ   Г ЕКАТЕРИНБУРГ   УЛ БЛЮХЕРА д. 50"</f>
        <v>620000 ОБЛ СВЕРДЛОВСКАЯ   Г ЕКАТЕРИНБУРГ   УЛ БЛЮХЕРА д. 50</v>
      </c>
      <c r="M1122" t="str">
        <f t="shared" si="176"/>
        <v>2019-08-24</v>
      </c>
      <c r="N1122" t="str">
        <f>"ООО 'УЦМ'"</f>
        <v>ООО 'УЦМ'</v>
      </c>
      <c r="O1122" t="str">
        <f>"618900"</f>
        <v>618900</v>
      </c>
      <c r="P1122" t="str">
        <f>"КРАЙ ПЕРМСКИЙ"</f>
        <v>КРАЙ ПЕРМСКИЙ</v>
      </c>
      <c r="Q1122" t="str">
        <f>""</f>
        <v/>
      </c>
      <c r="R1122" t="str">
        <f>"Г ЛЫСЬВА"</f>
        <v>Г ЛЫСЬВА</v>
      </c>
      <c r="S1122" t="str">
        <f>""</f>
        <v/>
      </c>
      <c r="T1122" t="str">
        <f>"УЛ СМЫШЛЯЕВА"</f>
        <v>УЛ СМЫШЛЯЕВА</v>
      </c>
      <c r="U1122" s="1" t="str">
        <f>"3"</f>
        <v>3</v>
      </c>
      <c r="V1122" s="1" t="str">
        <f>""</f>
        <v/>
      </c>
      <c r="W1122" s="1" t="str">
        <f>""</f>
        <v/>
      </c>
      <c r="X1122" s="1" t="str">
        <f>""</f>
        <v/>
      </c>
      <c r="Y1122" s="1" t="str">
        <f>"21"</f>
        <v>21</v>
      </c>
      <c r="Z1122" t="str">
        <f>"3433855827"</f>
        <v>3433855827</v>
      </c>
      <c r="AA1122" t="str">
        <f>""</f>
        <v/>
      </c>
      <c r="AB1122" t="str">
        <f>"9827399684"</f>
        <v>9827399684</v>
      </c>
      <c r="AC1122" t="str">
        <f>""</f>
        <v/>
      </c>
      <c r="AD1122" t="str">
        <f>"9827399684"</f>
        <v>9827399684</v>
      </c>
      <c r="AE1122" t="str">
        <f>"3433855827"</f>
        <v>3433855827</v>
      </c>
    </row>
    <row r="1123" spans="1:31" x14ac:dyDescent="0.45">
      <c r="A1123" t="str">
        <f>"ГУСЕВА АНАСТАСИЯ МИХАЙЛОВНА"</f>
        <v>ГУСЕВА АНАСТАСИЯ МИХАЙЛОВНА</v>
      </c>
      <c r="B1123" t="str">
        <f>"1991-12-19"</f>
        <v>1991-12-19</v>
      </c>
      <c r="C1123" t="str">
        <f>"71 17 275702"</f>
        <v>71 17 275702</v>
      </c>
      <c r="D1123" t="str">
        <f>"4276016719314069"</f>
        <v>4276016719314069</v>
      </c>
      <c r="E1123" t="str">
        <f>"2021-05-31"</f>
        <v>2021-05-31</v>
      </c>
      <c r="F1123" t="str">
        <f t="shared" si="181"/>
        <v>+</v>
      </c>
      <c r="G1123" t="str">
        <f t="shared" si="181"/>
        <v>+</v>
      </c>
      <c r="H1123" t="str">
        <f>"40817810816992242175"</f>
        <v>40817810816992242175</v>
      </c>
      <c r="I1123" t="str">
        <f>"8647"</f>
        <v>8647</v>
      </c>
      <c r="J1123" t="str">
        <f>"0189"</f>
        <v>0189</v>
      </c>
      <c r="K1123" t="str">
        <f>"110000.00"</f>
        <v>110000.00</v>
      </c>
      <c r="L1123" t="str">
        <f>"627750 ОБЛ ТЮМЕНСКАЯ Р-Н ИШИМСКИЙ   С ЕРШОВО ПЛ ШКОЛЬНАЯ д. 24"</f>
        <v>627750 ОБЛ ТЮМЕНСКАЯ Р-Н ИШИМСКИЙ   С ЕРШОВО ПЛ ШКОЛЬНАЯ д. 24</v>
      </c>
      <c r="M1123" t="str">
        <f t="shared" si="176"/>
        <v>2019-08-24</v>
      </c>
      <c r="N1123" t="str">
        <f>"МАОУ ТОБОЛОВСКАЯ СОШ ФИЛИАЛ ЕРШОВСКАЯ ООШ"</f>
        <v>МАОУ ТОБОЛОВСКАЯ СОШ ФИЛИАЛ ЕРШОВСКАЯ ООШ</v>
      </c>
      <c r="O1123" t="str">
        <f>"627750"</f>
        <v>627750</v>
      </c>
      <c r="P1123" t="str">
        <f>"ОБЛ ТЮМЕНСКАЯ"</f>
        <v>ОБЛ ТЮМЕНСКАЯ</v>
      </c>
      <c r="Q1123" t="str">
        <f>"Р-Н ИШИМСКИЙ"</f>
        <v>Р-Н ИШИМСКИЙ</v>
      </c>
      <c r="R1123" t="str">
        <f>""</f>
        <v/>
      </c>
      <c r="S1123" t="str">
        <f>"Д ВАНЬКОВКА"</f>
        <v>Д ВАНЬКОВКА</v>
      </c>
      <c r="T1123" t="str">
        <f>"УЛ БЕРЁЗОВАЯ"</f>
        <v>УЛ БЕРЁЗОВАЯ</v>
      </c>
      <c r="U1123" s="1" t="str">
        <f>"14/1"</f>
        <v>14/1</v>
      </c>
      <c r="V1123" s="1" t="str">
        <f>""</f>
        <v/>
      </c>
      <c r="W1123" s="1" t="str">
        <f>""</f>
        <v/>
      </c>
      <c r="X1123" s="1" t="str">
        <f>""</f>
        <v/>
      </c>
      <c r="Y1123" s="1" t="str">
        <f>""</f>
        <v/>
      </c>
      <c r="Z1123" t="str">
        <f>"3455141106"</f>
        <v>3455141106</v>
      </c>
      <c r="AA1123" t="str">
        <f>"3455167881"</f>
        <v>3455167881</v>
      </c>
      <c r="AB1123" t="str">
        <f>"9995478827"</f>
        <v>9995478827</v>
      </c>
      <c r="AC1123" t="str">
        <f>"3455167881"</f>
        <v>3455167881</v>
      </c>
      <c r="AD1123" t="str">
        <f>"9995478827"</f>
        <v>9995478827</v>
      </c>
      <c r="AE1123" t="str">
        <f>""</f>
        <v/>
      </c>
    </row>
    <row r="1124" spans="1:31" x14ac:dyDescent="0.45">
      <c r="A1124" t="str">
        <f>"САБЛИН АЛЕКСАНДР ПАВЛОВИЧ"</f>
        <v>САБЛИН АЛЕКСАНДР ПАВЛОВИЧ</v>
      </c>
      <c r="B1124" t="str">
        <f>"1996-08-23"</f>
        <v>1996-08-23</v>
      </c>
      <c r="C1124" t="str">
        <f>"74 16 925000"</f>
        <v>74 16 925000</v>
      </c>
      <c r="D1124" t="str">
        <f>"5469016703751148"</f>
        <v>5469016703751148</v>
      </c>
      <c r="E1124" t="str">
        <f>"2021-05-31"</f>
        <v>2021-05-31</v>
      </c>
      <c r="F1124" t="str">
        <f t="shared" si="181"/>
        <v>+</v>
      </c>
      <c r="G1124" t="str">
        <f t="shared" si="181"/>
        <v>+</v>
      </c>
      <c r="H1124" t="str">
        <f>"40817810516992302043"</f>
        <v>40817810516992302043</v>
      </c>
      <c r="I1124" t="str">
        <f>"8647"</f>
        <v>8647</v>
      </c>
      <c r="J1124" t="str">
        <f>"0178"</f>
        <v>0178</v>
      </c>
      <c r="K1124" t="str">
        <f>"100000.00"</f>
        <v>100000.00</v>
      </c>
      <c r="L1124" t="str">
        <f>"625000 АО ЯМАЛО-НЕНЕЦКИЙ   Г НОВЫЙ УРЕНГОЙ   УЛ ТАЕЖНАЯ д. 78"</f>
        <v>625000 АО ЯМАЛО-НЕНЕЦКИЙ   Г НОВЫЙ УРЕНГОЙ   УЛ ТАЕЖНАЯ д. 78</v>
      </c>
      <c r="M1124" t="str">
        <f t="shared" si="176"/>
        <v>2019-08-24</v>
      </c>
      <c r="N1124" t="str">
        <f>"ЧОП БАСТИОН"</f>
        <v>ЧОП БАСТИОН</v>
      </c>
      <c r="O1124" t="str">
        <f>"625000"</f>
        <v>625000</v>
      </c>
      <c r="P1124" t="str">
        <f>"ОБЛ ТЮМЕНСКАЯ"</f>
        <v>ОБЛ ТЮМЕНСКАЯ</v>
      </c>
      <c r="Q1124" t="str">
        <f>""</f>
        <v/>
      </c>
      <c r="R1124" t="str">
        <f>"Г ТЮМЕНЬ"</f>
        <v>Г ТЮМЕНЬ</v>
      </c>
      <c r="S1124" t="str">
        <f>""</f>
        <v/>
      </c>
      <c r="T1124" t="str">
        <f>"УЛ ЩЕРБАКОВА"</f>
        <v>УЛ ЩЕРБАКОВА</v>
      </c>
      <c r="U1124" s="1" t="str">
        <f>"142"</f>
        <v>142</v>
      </c>
      <c r="V1124" s="1" t="str">
        <f>""</f>
        <v/>
      </c>
      <c r="W1124" s="1" t="str">
        <f>"2"</f>
        <v>2</v>
      </c>
      <c r="X1124" s="1" t="str">
        <f>""</f>
        <v/>
      </c>
      <c r="Y1124" s="1" t="str">
        <f>"51"</f>
        <v>51</v>
      </c>
      <c r="Z1124" t="str">
        <f>""</f>
        <v/>
      </c>
      <c r="AA1124" t="str">
        <f>"9821737897"</f>
        <v>9821737897</v>
      </c>
      <c r="AB1124" t="str">
        <f>"9229992200"</f>
        <v>9229992200</v>
      </c>
      <c r="AC1124" t="str">
        <f>"9821737897"</f>
        <v>9821737897</v>
      </c>
      <c r="AD1124" t="str">
        <f>"9229992200"</f>
        <v>9229992200</v>
      </c>
      <c r="AE1124" t="str">
        <f>""</f>
        <v/>
      </c>
    </row>
    <row r="1125" spans="1:31" x14ac:dyDescent="0.45">
      <c r="A1125" t="str">
        <f>"ЩЕКИН ВЛАДИМИР ОЛЕГОВИЧ"</f>
        <v>ЩЕКИН ВЛАДИМИР ОЛЕГОВИЧ</v>
      </c>
      <c r="B1125" t="str">
        <f>"1987-09-12"</f>
        <v>1987-09-12</v>
      </c>
      <c r="C1125" t="str">
        <f>"71 07 545705"</f>
        <v>71 07 545705</v>
      </c>
      <c r="D1125" t="str">
        <f>"4279016711011587"</f>
        <v>4279016711011587</v>
      </c>
      <c r="E1125" t="str">
        <f>"2021-05-31"</f>
        <v>2021-05-31</v>
      </c>
      <c r="F1125" t="str">
        <f t="shared" si="181"/>
        <v>+</v>
      </c>
      <c r="G1125" t="str">
        <f t="shared" si="181"/>
        <v>+</v>
      </c>
      <c r="H1125" t="str">
        <f>"40817810416992242245"</f>
        <v>40817810416992242245</v>
      </c>
      <c r="I1125" t="str">
        <f>"8647"</f>
        <v>8647</v>
      </c>
      <c r="J1125" t="str">
        <f>"0288"</f>
        <v>0288</v>
      </c>
      <c r="K1125" t="str">
        <f>"145000.00"</f>
        <v>145000.00</v>
      </c>
      <c r="L1125" t="str">
        <f>"626150 ОБЛ ТЮМЕНСКАЯ Р-Н УВАТСКИЙ   СТ ДЕМЬЯНКА   д. 1 стр. 1"</f>
        <v>626150 ОБЛ ТЮМЕНСКАЯ Р-Н УВАТСКИЙ   СТ ДЕМЬЯНКА   д. 1 стр. 1</v>
      </c>
      <c r="M1125" t="str">
        <f t="shared" si="176"/>
        <v>2019-08-24</v>
      </c>
      <c r="N1125" t="str">
        <f>"РЖД"</f>
        <v>РЖД</v>
      </c>
      <c r="O1125" t="str">
        <f>"626200"</f>
        <v>626200</v>
      </c>
      <c r="P1125" t="str">
        <f>"ОБЛ ТЮМЕНСКАЯ"</f>
        <v>ОБЛ ТЮМЕНСКАЯ</v>
      </c>
      <c r="Q1125" t="str">
        <f>"Р-Н УВАТСКИЙ"</f>
        <v>Р-Н УВАТСКИЙ</v>
      </c>
      <c r="R1125" t="str">
        <f>""</f>
        <v/>
      </c>
      <c r="S1125" t="str">
        <f>"П НАДЦЫ"</f>
        <v>П НАДЦЫ</v>
      </c>
      <c r="T1125" t="str">
        <f>"ПЕР ПИОНЕРСКИЙ"</f>
        <v>ПЕР ПИОНЕРСКИЙ</v>
      </c>
      <c r="U1125" s="1" t="str">
        <f>"1"</f>
        <v>1</v>
      </c>
      <c r="V1125" s="1" t="str">
        <f>""</f>
        <v/>
      </c>
      <c r="W1125" s="1" t="str">
        <f>""</f>
        <v/>
      </c>
      <c r="X1125" s="1" t="str">
        <f>""</f>
        <v/>
      </c>
      <c r="Y1125" s="1" t="str">
        <f>"1"</f>
        <v>1</v>
      </c>
      <c r="Z1125" t="str">
        <f>"3456399761"</f>
        <v>3456399761</v>
      </c>
      <c r="AA1125" t="str">
        <f>"9224739016"</f>
        <v>9224739016</v>
      </c>
      <c r="AB1125" t="str">
        <f>"9224772916"</f>
        <v>9224772916</v>
      </c>
      <c r="AC1125" t="str">
        <f>"9224739016"</f>
        <v>9224739016</v>
      </c>
      <c r="AD1125" t="str">
        <f>"9224772916"</f>
        <v>9224772916</v>
      </c>
      <c r="AE1125" t="str">
        <f>"3456399761"</f>
        <v>3456399761</v>
      </c>
    </row>
    <row r="1126" spans="1:31" x14ac:dyDescent="0.45">
      <c r="A1126" t="str">
        <f>"БЕКШАЕВ ГРИГОРИЙ МИХАЙЛОВИЧ"</f>
        <v>БЕКШАЕВ ГРИГОРИЙ МИХАЙЛОВИЧ</v>
      </c>
      <c r="B1126" t="str">
        <f>"1966-12-27"</f>
        <v>1966-12-27</v>
      </c>
      <c r="C1126" t="str">
        <f>"65 11 316454"</f>
        <v>65 11 316454</v>
      </c>
      <c r="D1126" t="str">
        <f>"4854630371992192"</f>
        <v>4854630371992192</v>
      </c>
      <c r="E1126" t="str">
        <f>"2021-04-30"</f>
        <v>2021-04-30</v>
      </c>
      <c r="F1126" t="str">
        <f t="shared" si="181"/>
        <v>+</v>
      </c>
      <c r="G1126" t="str">
        <f t="shared" si="181"/>
        <v>+</v>
      </c>
      <c r="H1126" t="str">
        <f>"40817810416991463122"</f>
        <v>40817810416991463122</v>
      </c>
      <c r="I1126" t="str">
        <f>"7003"</f>
        <v>7003</v>
      </c>
      <c r="J1126" t="str">
        <f>"0427"</f>
        <v>0427</v>
      </c>
      <c r="K1126" t="str">
        <f>"50000.00"</f>
        <v>50000.00</v>
      </c>
      <c r="L1126" t="str">
        <f>"620000 ОБЛ СВЕРДЛОВСКАЯ   Г ЕКАТЕРИНБУРГ   УЛ ТРАКТОРИСТОВ д. 30"</f>
        <v>620000 ОБЛ СВЕРДЛОВСКАЯ   Г ЕКАТЕРИНБУРГ   УЛ ТРАКТОРИСТОВ д. 30</v>
      </c>
      <c r="M1126" t="str">
        <f t="shared" si="176"/>
        <v>2019-08-24</v>
      </c>
      <c r="N1126" t="str">
        <f>"ПМК"</f>
        <v>ПМК</v>
      </c>
      <c r="O1126" t="str">
        <f>"620000"</f>
        <v>620000</v>
      </c>
      <c r="P1126" t="str">
        <f>"ОБЛ СВЕРДЛОВСКАЯ"</f>
        <v>ОБЛ СВЕРДЛОВСКАЯ</v>
      </c>
      <c r="Q1126" t="str">
        <f>""</f>
        <v/>
      </c>
      <c r="R1126" t="str">
        <f>"Г ЕКАТЕРИНБУРГ"</f>
        <v>Г ЕКАТЕРИНБУРГ</v>
      </c>
      <c r="S1126" t="str">
        <f>""</f>
        <v/>
      </c>
      <c r="T1126" t="str">
        <f>"УЛ БИСЕРТСКАЯ"</f>
        <v>УЛ БИСЕРТСКАЯ</v>
      </c>
      <c r="U1126" s="1" t="str">
        <f>"12"</f>
        <v>12</v>
      </c>
      <c r="V1126" s="1" t="str">
        <f>""</f>
        <v/>
      </c>
      <c r="W1126" s="1" t="str">
        <f>""</f>
        <v/>
      </c>
      <c r="X1126" s="1" t="str">
        <f>""</f>
        <v/>
      </c>
      <c r="Y1126" s="1" t="str">
        <f>"405-412"</f>
        <v>405-412</v>
      </c>
      <c r="Z1126" t="str">
        <f>""</f>
        <v/>
      </c>
      <c r="AA1126" t="str">
        <f>"9043854830"</f>
        <v>9043854830</v>
      </c>
      <c r="AB1126" t="str">
        <f>"9043854830"</f>
        <v>9043854830</v>
      </c>
      <c r="AC1126" t="str">
        <f>"9043854830"</f>
        <v>9043854830</v>
      </c>
      <c r="AD1126" t="str">
        <f>"9043854830"</f>
        <v>9043854830</v>
      </c>
      <c r="AE1126" t="str">
        <f>""</f>
        <v/>
      </c>
    </row>
    <row r="1127" spans="1:31" x14ac:dyDescent="0.45">
      <c r="A1127" t="str">
        <f>"СУНДУКОВА АЛЬФИНА ГИЛЕМХАНОВНА"</f>
        <v>СУНДУКОВА АЛЬФИНА ГИЛЕМХАНОВНА</v>
      </c>
      <c r="B1127" t="str">
        <f>"1962-05-11"</f>
        <v>1962-05-11</v>
      </c>
      <c r="C1127" t="str">
        <f>"71 13 063517"</f>
        <v>71 13 063517</v>
      </c>
      <c r="D1127" t="str">
        <f>"5484016709740740"</f>
        <v>5484016709740740</v>
      </c>
      <c r="E1127" t="str">
        <f t="shared" ref="E1127:E1133" si="182">"2021-05-31"</f>
        <v>2021-05-31</v>
      </c>
      <c r="F1127" t="str">
        <f t="shared" si="181"/>
        <v>+</v>
      </c>
      <c r="G1127" t="str">
        <f t="shared" si="181"/>
        <v>+</v>
      </c>
      <c r="H1127" t="str">
        <f>"40817810516992349983"</f>
        <v>40817810516992349983</v>
      </c>
      <c r="I1127" t="str">
        <f>"8647"</f>
        <v>8647</v>
      </c>
      <c r="J1127" t="str">
        <f>"7770"</f>
        <v>7770</v>
      </c>
      <c r="K1127" t="str">
        <f>"115000.00"</f>
        <v>115000.00</v>
      </c>
      <c r="L1127" t="str">
        <f>"625000 ОБЛ ТЮМЕНСКАЯ   Г ТЮМЕНЬ   УЛ КОТОВСКОГО д. 55"</f>
        <v>625000 ОБЛ ТЮМЕНСКАЯ   Г ТЮМЕНЬ   УЛ КОТОВСКОГО д. 55</v>
      </c>
      <c r="M1127" t="str">
        <f t="shared" si="176"/>
        <v>2019-08-24</v>
      </c>
      <c r="N1127" t="str">
        <f>"ОКБ 1"</f>
        <v>ОКБ 1</v>
      </c>
      <c r="O1127" t="str">
        <f>"625000"</f>
        <v>625000</v>
      </c>
      <c r="P1127" t="str">
        <f t="shared" ref="P1127:P1135" si="183">"ОБЛ ТЮМЕНСКАЯ"</f>
        <v>ОБЛ ТЮМЕНСКАЯ</v>
      </c>
      <c r="Q1127" t="str">
        <f>""</f>
        <v/>
      </c>
      <c r="R1127" t="str">
        <f>"Г ТЮМЕНЬ"</f>
        <v>Г ТЮМЕНЬ</v>
      </c>
      <c r="S1127" t="str">
        <f>""</f>
        <v/>
      </c>
      <c r="T1127" t="str">
        <f>"УЛ КОТОВСКОГО"</f>
        <v>УЛ КОТОВСКОГО</v>
      </c>
      <c r="U1127" s="1" t="str">
        <f>"55А"</f>
        <v>55А</v>
      </c>
      <c r="V1127" s="1" t="str">
        <f>""</f>
        <v/>
      </c>
      <c r="W1127" s="1" t="str">
        <f>""</f>
        <v/>
      </c>
      <c r="X1127" s="1" t="str">
        <f>""</f>
        <v/>
      </c>
      <c r="Y1127" s="1" t="str">
        <f>"108"</f>
        <v>108</v>
      </c>
      <c r="Z1127" t="str">
        <f>"3452560010"</f>
        <v>3452560010</v>
      </c>
      <c r="AA1127" t="str">
        <f>"9199283928"</f>
        <v>9199283928</v>
      </c>
      <c r="AB1127" t="str">
        <f>"9199283928"</f>
        <v>9199283928</v>
      </c>
      <c r="AC1127" t="str">
        <f>"9199283928"</f>
        <v>9199283928</v>
      </c>
      <c r="AD1127" t="str">
        <f>"9199283928"</f>
        <v>9199283928</v>
      </c>
      <c r="AE1127" t="str">
        <f>"3452560010"</f>
        <v>3452560010</v>
      </c>
    </row>
    <row r="1128" spans="1:31" x14ac:dyDescent="0.45">
      <c r="A1128" t="str">
        <f>"ЕСЕНАКАЕВА ДЖАМИЛЯ РАШИДОВНА"</f>
        <v>ЕСЕНАКАЕВА ДЖАМИЛЯ РАШИДОВНА</v>
      </c>
      <c r="B1128" t="str">
        <f>"1990-06-30"</f>
        <v>1990-06-30</v>
      </c>
      <c r="C1128" t="str">
        <f>"67 18 745578"</f>
        <v>67 18 745578</v>
      </c>
      <c r="D1128" t="str">
        <f>"4276016719347671"</f>
        <v>4276016719347671</v>
      </c>
      <c r="E1128" t="str">
        <f t="shared" si="182"/>
        <v>2021-05-31</v>
      </c>
      <c r="F1128" t="str">
        <f t="shared" si="181"/>
        <v>+</v>
      </c>
      <c r="G1128" t="str">
        <f t="shared" si="181"/>
        <v>+</v>
      </c>
      <c r="H1128" t="str">
        <f>"40817810216992097645"</f>
        <v>40817810216992097645</v>
      </c>
      <c r="I1128" t="str">
        <f>"5940"</f>
        <v>5940</v>
      </c>
      <c r="J1128" t="str">
        <f>"0125"</f>
        <v>0125</v>
      </c>
      <c r="K1128" t="str">
        <f>"50000.00"</f>
        <v>50000.00</v>
      </c>
      <c r="L1128" t="str">
        <f>"628672 АО ХАНТЫ-МАНСИЙСКИЙ   Г ЛАНГЕПАС   УЛ МИРА д. 43"</f>
        <v>628672 АО ХАНТЫ-МАНСИЙСКИЙ   Г ЛАНГЕПАС   УЛ МИРА д. 43</v>
      </c>
      <c r="M1128" t="str">
        <f t="shared" si="176"/>
        <v>2019-08-24</v>
      </c>
      <c r="N1128" t="str">
        <f>"ОМВД РОССИИ ПО Г.ЛАНГЕПАСУ"</f>
        <v>ОМВД РОССИИ ПО Г.ЛАНГЕПАСУ</v>
      </c>
      <c r="O1128" t="str">
        <f>"628672"</f>
        <v>628672</v>
      </c>
      <c r="P1128" t="str">
        <f t="shared" si="183"/>
        <v>ОБЛ ТЮМЕНСКАЯ</v>
      </c>
      <c r="Q1128" t="str">
        <f>""</f>
        <v/>
      </c>
      <c r="R1128" t="str">
        <f>"Г ЛАНГЕПАС"</f>
        <v>Г ЛАНГЕПАС</v>
      </c>
      <c r="S1128" t="str">
        <f>""</f>
        <v/>
      </c>
      <c r="T1128" t="str">
        <f>"УЛ ПАРКОВАЯ"</f>
        <v>УЛ ПАРКОВАЯ</v>
      </c>
      <c r="U1128" s="1" t="str">
        <f>"19"</f>
        <v>19</v>
      </c>
      <c r="V1128" s="1" t="str">
        <f>""</f>
        <v/>
      </c>
      <c r="W1128" s="1" t="str">
        <f>""</f>
        <v/>
      </c>
      <c r="X1128" s="1" t="str">
        <f>""</f>
        <v/>
      </c>
      <c r="Y1128" s="1" t="str">
        <f>"1"</f>
        <v>1</v>
      </c>
      <c r="Z1128" t="str">
        <f>"3466991541"</f>
        <v>3466991541</v>
      </c>
      <c r="AA1128" t="str">
        <f>"9222511191"</f>
        <v>9222511191</v>
      </c>
      <c r="AB1128" t="str">
        <f>"9222511191"</f>
        <v>9222511191</v>
      </c>
      <c r="AC1128" t="str">
        <f>""</f>
        <v/>
      </c>
      <c r="AD1128" t="str">
        <f>"9222511191"</f>
        <v>9222511191</v>
      </c>
      <c r="AE1128" t="str">
        <f>"3466991541"</f>
        <v>3466991541</v>
      </c>
    </row>
    <row r="1129" spans="1:31" x14ac:dyDescent="0.45">
      <c r="A1129" t="str">
        <f>"РАИМКУЛОВА ЗАРЕМА ЮРЬЕВНА"</f>
        <v>РАИМКУЛОВА ЗАРЕМА ЮРЬЕВНА</v>
      </c>
      <c r="B1129" t="str">
        <f>"1973-08-15"</f>
        <v>1973-08-15</v>
      </c>
      <c r="C1129" t="str">
        <f>"67 18 749253"</f>
        <v>67 18 749253</v>
      </c>
      <c r="D1129" t="str">
        <f>"5484016700300189"</f>
        <v>5484016700300189</v>
      </c>
      <c r="E1129" t="str">
        <f t="shared" si="182"/>
        <v>2021-05-31</v>
      </c>
      <c r="F1129" t="str">
        <f t="shared" si="181"/>
        <v>+</v>
      </c>
      <c r="G1129" t="str">
        <f t="shared" si="181"/>
        <v>+</v>
      </c>
      <c r="H1129" t="str">
        <f>"40817810916992098041"</f>
        <v>40817810916992098041</v>
      </c>
      <c r="I1129" t="str">
        <f>"1791"</f>
        <v>1791</v>
      </c>
      <c r="J1129" t="str">
        <f>"0102"</f>
        <v>0102</v>
      </c>
      <c r="K1129" t="str">
        <f>"93000.00"</f>
        <v>93000.00</v>
      </c>
      <c r="L1129" t="str">
        <f>"628181 ОБЛ ТЮМЕНСКАЯ АО ХАНТЫ-МАНСИЙСКИЙ Г НЯГАНЬ   УЛ ."</f>
        <v>628181 ОБЛ ТЮМЕНСКАЯ АО ХАНТЫ-МАНСИЙСКИЙ Г НЯГАНЬ   УЛ .</v>
      </c>
      <c r="M1129" t="str">
        <f t="shared" si="176"/>
        <v>2019-08-24</v>
      </c>
      <c r="N1129" t="str">
        <f>"АО НЭРС"</f>
        <v>АО НЭРС</v>
      </c>
      <c r="O1129" t="str">
        <f>"628181"</f>
        <v>628181</v>
      </c>
      <c r="P1129" t="str">
        <f t="shared" si="183"/>
        <v>ОБЛ ТЮМЕНСКАЯ</v>
      </c>
      <c r="Q1129" t="str">
        <f>"АО ХАНТЫ-МАНСИЙСКИЙ"</f>
        <v>АО ХАНТЫ-МАНСИЙСКИЙ</v>
      </c>
      <c r="R1129" t="str">
        <f>"Г НЯГАНЬ"</f>
        <v>Г НЯГАНЬ</v>
      </c>
      <c r="S1129" t="str">
        <f>""</f>
        <v/>
      </c>
      <c r="T1129" t="str">
        <f>"МКР 2"</f>
        <v>МКР 2</v>
      </c>
      <c r="U1129" s="1" t="str">
        <f>"43"</f>
        <v>43</v>
      </c>
      <c r="V1129" s="1" t="str">
        <f>""</f>
        <v/>
      </c>
      <c r="W1129" s="1" t="str">
        <f>""</f>
        <v/>
      </c>
      <c r="X1129" s="1" t="str">
        <f>""</f>
        <v/>
      </c>
      <c r="Y1129" s="1" t="str">
        <f>"52"</f>
        <v>52</v>
      </c>
      <c r="Z1129" t="str">
        <f>"3467254124"</f>
        <v>3467254124</v>
      </c>
      <c r="AA1129" t="str">
        <f>"9088853441"</f>
        <v>9088853441</v>
      </c>
      <c r="AB1129" t="str">
        <f>"9088853441"</f>
        <v>9088853441</v>
      </c>
      <c r="AC1129" t="str">
        <f>"9088853441"</f>
        <v>9088853441</v>
      </c>
      <c r="AD1129" t="str">
        <f>"9088853441"</f>
        <v>9088853441</v>
      </c>
      <c r="AE1129" t="str">
        <f>"3467254124"</f>
        <v>3467254124</v>
      </c>
    </row>
    <row r="1130" spans="1:31" x14ac:dyDescent="0.45">
      <c r="A1130" t="str">
        <f>"КОВАЛЕВ ДМИТРИЙ ЮРЬЕВИЧ"</f>
        <v>КОВАЛЕВ ДМИТРИЙ ЮРЬЕВИЧ</v>
      </c>
      <c r="B1130" t="str">
        <f>"1994-09-14"</f>
        <v>1994-09-14</v>
      </c>
      <c r="C1130" t="str">
        <f>"71 14 101493"</f>
        <v>71 14 101493</v>
      </c>
      <c r="D1130" t="str">
        <f>"5469016710039537"</f>
        <v>5469016710039537</v>
      </c>
      <c r="E1130" t="str">
        <f t="shared" si="182"/>
        <v>2021-05-31</v>
      </c>
      <c r="F1130" t="str">
        <f t="shared" si="181"/>
        <v>+</v>
      </c>
      <c r="G1130" t="str">
        <f t="shared" si="181"/>
        <v>+</v>
      </c>
      <c r="H1130" t="str">
        <f>"40817810016992097984"</f>
        <v>40817810016992097984</v>
      </c>
      <c r="I1130" t="str">
        <f>"8647"</f>
        <v>8647</v>
      </c>
      <c r="J1130" t="str">
        <f>"0093"</f>
        <v>0093</v>
      </c>
      <c r="K1130" t="str">
        <f>"200000.00"</f>
        <v>200000.00</v>
      </c>
      <c r="L1130" t="str">
        <f>"625000 ОБЛ ТЮМЕНСКАЯ   Г ТЮМЕНЬ   УЛ ПЕРЕКОПСКАЯ д. 15А"</f>
        <v>625000 ОБЛ ТЮМЕНСКАЯ   Г ТЮМЕНЬ   УЛ ПЕРЕКОПСКАЯ д. 15А</v>
      </c>
      <c r="M1130" t="str">
        <f t="shared" si="176"/>
        <v>2019-08-24</v>
      </c>
      <c r="N1130" t="str">
        <f>"ФГАОУ ВО ТГУ"</f>
        <v>ФГАОУ ВО ТГУ</v>
      </c>
      <c r="O1130" t="str">
        <f>"625030"</f>
        <v>625030</v>
      </c>
      <c r="P1130" t="str">
        <f t="shared" si="183"/>
        <v>ОБЛ ТЮМЕНСКАЯ</v>
      </c>
      <c r="Q1130" t="str">
        <f>""</f>
        <v/>
      </c>
      <c r="R1130" t="str">
        <f>"Г ТЮМЕНЬ"</f>
        <v>Г ТЮМЕНЬ</v>
      </c>
      <c r="S1130" t="str">
        <f>""</f>
        <v/>
      </c>
      <c r="T1130" t="str">
        <f>"УЛ МОСКОВСКИЙ ТРАКТ"</f>
        <v>УЛ МОСКОВСКИЙ ТРАКТ</v>
      </c>
      <c r="U1130" s="1" t="str">
        <f>"62"</f>
        <v>62</v>
      </c>
      <c r="V1130" s="1" t="str">
        <f>""</f>
        <v/>
      </c>
      <c r="W1130" s="1" t="str">
        <f>""</f>
        <v/>
      </c>
      <c r="X1130" s="1" t="str">
        <f>""</f>
        <v/>
      </c>
      <c r="Y1130" s="1" t="str">
        <f>""</f>
        <v/>
      </c>
      <c r="Z1130" t="str">
        <f>"3452297574"</f>
        <v>3452297574</v>
      </c>
      <c r="AA1130" t="str">
        <f>"3452418202"</f>
        <v>3452418202</v>
      </c>
      <c r="AB1130" t="str">
        <f>"9829435041"</f>
        <v>9829435041</v>
      </c>
      <c r="AC1130" t="str">
        <f>""</f>
        <v/>
      </c>
      <c r="AD1130" t="str">
        <f>"9829435041"</f>
        <v>9829435041</v>
      </c>
      <c r="AE1130" t="str">
        <f>"3452297574"</f>
        <v>3452297574</v>
      </c>
    </row>
    <row r="1131" spans="1:31" x14ac:dyDescent="0.45">
      <c r="A1131" t="str">
        <f>"ПОПОВА НАТАЛЬЯ ИВАНОВНА"</f>
        <v>ПОПОВА НАТАЛЬЯ ИВАНОВНА</v>
      </c>
      <c r="B1131" t="str">
        <f>"1960-06-26"</f>
        <v>1960-06-26</v>
      </c>
      <c r="C1131" t="str">
        <f>"67 04 474047"</f>
        <v>67 04 474047</v>
      </c>
      <c r="D1131" t="str">
        <f>"4279016723324226"</f>
        <v>4279016723324226</v>
      </c>
      <c r="E1131" t="str">
        <f t="shared" si="182"/>
        <v>2021-05-31</v>
      </c>
      <c r="F1131" t="str">
        <f t="shared" si="181"/>
        <v>+</v>
      </c>
      <c r="G1131" t="str">
        <f t="shared" si="181"/>
        <v>+</v>
      </c>
      <c r="H1131" t="str">
        <f>"40817810516992099482"</f>
        <v>40817810516992099482</v>
      </c>
      <c r="I1131" t="str">
        <f>"1791"</f>
        <v>1791</v>
      </c>
      <c r="J1131" t="str">
        <f>"0115"</f>
        <v>0115</v>
      </c>
      <c r="K1131" t="str">
        <f>"78000.00"</f>
        <v>78000.00</v>
      </c>
      <c r="L1131" t="str">
        <f>"628260 ОБЛ ТЮМЕНСКАЯ   Г ЮГОРСК   УЛ 40 ЛЕТ ПОБЕДЫ д. 9 кв. 1"</f>
        <v>628260 ОБЛ ТЮМЕНСКАЯ   Г ЮГОРСК   УЛ 40 ЛЕТ ПОБЕДЫ д. 9 кв. 1</v>
      </c>
      <c r="M1131" t="str">
        <f t="shared" si="176"/>
        <v>2019-08-24</v>
      </c>
      <c r="N1131" t="str">
        <f>"СОЦ.ВЫПЛАТЫ"</f>
        <v>СОЦ.ВЫПЛАТЫ</v>
      </c>
      <c r="O1131" t="str">
        <f>"628260"</f>
        <v>628260</v>
      </c>
      <c r="P1131" t="str">
        <f t="shared" si="183"/>
        <v>ОБЛ ТЮМЕНСКАЯ</v>
      </c>
      <c r="Q1131" t="str">
        <f>""</f>
        <v/>
      </c>
      <c r="R1131" t="str">
        <f>"Г ЮГОРСК"</f>
        <v>Г ЮГОРСК</v>
      </c>
      <c r="S1131" t="str">
        <f>""</f>
        <v/>
      </c>
      <c r="T1131" t="str">
        <f>"УЛ 40 ЛЕТ ПОБЕДЫ"</f>
        <v>УЛ 40 ЛЕТ ПОБЕДЫ</v>
      </c>
      <c r="U1131" s="1" t="str">
        <f>"9"</f>
        <v>9</v>
      </c>
      <c r="V1131" s="1" t="str">
        <f>""</f>
        <v/>
      </c>
      <c r="W1131" s="1" t="str">
        <f>""</f>
        <v/>
      </c>
      <c r="X1131" s="1" t="str">
        <f>""</f>
        <v/>
      </c>
      <c r="Y1131" s="1" t="str">
        <f>"1"</f>
        <v>1</v>
      </c>
      <c r="Z1131" t="str">
        <f>""</f>
        <v/>
      </c>
      <c r="AA1131" t="str">
        <f>"+7 (34675) 24829"</f>
        <v>+7 (34675) 24829</v>
      </c>
      <c r="AB1131" t="str">
        <f>"+7 (922) 4121057"</f>
        <v>+7 (922) 4121057</v>
      </c>
      <c r="AC1131" t="str">
        <f>"9324211470"</f>
        <v>9324211470</v>
      </c>
      <c r="AD1131" t="str">
        <f>"9227608833"</f>
        <v>9227608833</v>
      </c>
      <c r="AE1131" t="str">
        <f>"9324211470"</f>
        <v>9324211470</v>
      </c>
    </row>
    <row r="1132" spans="1:31" x14ac:dyDescent="0.45">
      <c r="A1132" t="str">
        <f>"РЯБОВА ЕЛЕНА ВЛАДИМИРОВНА"</f>
        <v>РЯБОВА ЕЛЕНА ВЛАДИМИРОВНА</v>
      </c>
      <c r="B1132" t="str">
        <f>"1978-05-18"</f>
        <v>1978-05-18</v>
      </c>
      <c r="C1132" t="str">
        <f>"71 00 162371"</f>
        <v>71 00 162371</v>
      </c>
      <c r="D1132" t="str">
        <f>"5484016704129857"</f>
        <v>5484016704129857</v>
      </c>
      <c r="E1132" t="str">
        <f t="shared" si="182"/>
        <v>2021-05-31</v>
      </c>
      <c r="F1132" t="str">
        <f t="shared" si="181"/>
        <v>+</v>
      </c>
      <c r="G1132" t="str">
        <f t="shared" si="181"/>
        <v>+</v>
      </c>
      <c r="H1132" t="str">
        <f>"40817810416992401659"</f>
        <v>40817810416992401659</v>
      </c>
      <c r="I1132" t="str">
        <f>"8647"</f>
        <v>8647</v>
      </c>
      <c r="J1132" t="str">
        <f>"7770"</f>
        <v>7770</v>
      </c>
      <c r="K1132" t="str">
        <f>"170000.00"</f>
        <v>170000.00</v>
      </c>
      <c r="L1132" t="str">
        <f>"625033 ОБЛ ТЮМЕНСКАЯ   Г ТЮМЕНЬ   УЛ СЕРГЕЯ ИЛЬЮШИНА д. 19"</f>
        <v>625033 ОБЛ ТЮМЕНСКАЯ   Г ТЮМЕНЬ   УЛ СЕРГЕЯ ИЛЬЮШИНА д. 19</v>
      </c>
      <c r="M1132" t="str">
        <f t="shared" si="176"/>
        <v>2019-08-24</v>
      </c>
      <c r="N1132" t="str">
        <f>"ОАО АТК ЯМАЛ"</f>
        <v>ОАО АТК ЯМАЛ</v>
      </c>
      <c r="O1132" t="str">
        <f>"625053"</f>
        <v>625053</v>
      </c>
      <c r="P1132" t="str">
        <f t="shared" si="183"/>
        <v>ОБЛ ТЮМЕНСКАЯ</v>
      </c>
      <c r="Q1132" t="str">
        <f>""</f>
        <v/>
      </c>
      <c r="R1132" t="str">
        <f>"Г ТЮМЕНЬ"</f>
        <v>Г ТЮМЕНЬ</v>
      </c>
      <c r="S1132" t="str">
        <f>""</f>
        <v/>
      </c>
      <c r="T1132" t="str">
        <f>"УЛ БОРОВСКАЯ"</f>
        <v>УЛ БОРОВСКАЯ</v>
      </c>
      <c r="U1132" s="1" t="str">
        <f>"7"</f>
        <v>7</v>
      </c>
      <c r="V1132" s="1" t="str">
        <f>""</f>
        <v/>
      </c>
      <c r="W1132" s="1" t="str">
        <f>""</f>
        <v/>
      </c>
      <c r="X1132" s="1" t="str">
        <f>""</f>
        <v/>
      </c>
      <c r="Y1132" s="1" t="str">
        <f>"35"</f>
        <v>35</v>
      </c>
      <c r="Z1132" t="str">
        <f>"3452344402"</f>
        <v>3452344402</v>
      </c>
      <c r="AA1132" t="str">
        <f>"9123955769"</f>
        <v>9123955769</v>
      </c>
      <c r="AB1132" t="str">
        <f>"9123955769"</f>
        <v>9123955769</v>
      </c>
      <c r="AC1132" t="str">
        <f>"9123955769"</f>
        <v>9123955769</v>
      </c>
      <c r="AD1132" t="str">
        <f>"9123955769"</f>
        <v>9123955769</v>
      </c>
      <c r="AE1132" t="str">
        <f>"3452344402"</f>
        <v>3452344402</v>
      </c>
    </row>
    <row r="1133" spans="1:31" x14ac:dyDescent="0.45">
      <c r="A1133" t="str">
        <f>"КИРЕЕВА ГАЛИНА БОРИСОВНА"</f>
        <v>КИРЕЕВА ГАЛИНА БОРИСОВНА</v>
      </c>
      <c r="B1133" t="str">
        <f>"1958-06-23"</f>
        <v>1958-06-23</v>
      </c>
      <c r="C1133" t="str">
        <f>"71 04 035537"</f>
        <v>71 04 035537</v>
      </c>
      <c r="D1133" t="str">
        <f>"5484016709852412"</f>
        <v>5484016709852412</v>
      </c>
      <c r="E1133" t="str">
        <f t="shared" si="182"/>
        <v>2021-05-31</v>
      </c>
      <c r="F1133" t="str">
        <f t="shared" si="181"/>
        <v>+</v>
      </c>
      <c r="G1133" t="str">
        <f t="shared" si="181"/>
        <v>+</v>
      </c>
      <c r="H1133" t="str">
        <f>"40817810716992401676"</f>
        <v>40817810716992401676</v>
      </c>
      <c r="I1133" t="str">
        <f>"8647"</f>
        <v>8647</v>
      </c>
      <c r="J1133" t="str">
        <f>"7770"</f>
        <v>7770</v>
      </c>
      <c r="K1133" t="str">
        <f>"19000.00"</f>
        <v>19000.00</v>
      </c>
      <c r="L1133" t="str">
        <f>"625000 ОБЛ ТЮМЕНСКАЯ   Г ТЮМЕНЬ   УЛ КОТОВСКОГО д. 55"</f>
        <v>625000 ОБЛ ТЮМЕНСКАЯ   Г ТЮМЕНЬ   УЛ КОТОВСКОГО д. 55</v>
      </c>
      <c r="M1133" t="str">
        <f t="shared" si="176"/>
        <v>2019-08-24</v>
      </c>
      <c r="N1133" t="str">
        <f>"ОКБ 1"</f>
        <v>ОКБ 1</v>
      </c>
      <c r="O1133" t="str">
        <f>"625000"</f>
        <v>625000</v>
      </c>
      <c r="P1133" t="str">
        <f t="shared" si="183"/>
        <v>ОБЛ ТЮМЕНСКАЯ</v>
      </c>
      <c r="Q1133" t="str">
        <f>""</f>
        <v/>
      </c>
      <c r="R1133" t="str">
        <f>"Г ТЮМЕНЬ"</f>
        <v>Г ТЮМЕНЬ</v>
      </c>
      <c r="S1133" t="str">
        <f>""</f>
        <v/>
      </c>
      <c r="T1133" t="str">
        <f>"УЛ МЕЛЬНИКАЙТЕ"</f>
        <v>УЛ МЕЛЬНИКАЙТЕ</v>
      </c>
      <c r="U1133" s="1" t="str">
        <f>"58"</f>
        <v>58</v>
      </c>
      <c r="V1133" s="1" t="str">
        <f>""</f>
        <v/>
      </c>
      <c r="W1133" s="1" t="str">
        <f>""</f>
        <v/>
      </c>
      <c r="X1133" s="1" t="str">
        <f>""</f>
        <v/>
      </c>
      <c r="Y1133" s="1" t="str">
        <f>"90"</f>
        <v>90</v>
      </c>
      <c r="Z1133" t="str">
        <f>"3452287559"</f>
        <v>3452287559</v>
      </c>
      <c r="AA1133" t="str">
        <f>"9058256688"</f>
        <v>9058256688</v>
      </c>
      <c r="AB1133" t="str">
        <f>"9058256688"</f>
        <v>9058256688</v>
      </c>
      <c r="AC1133" t="str">
        <f>"9058256688"</f>
        <v>9058256688</v>
      </c>
      <c r="AD1133" t="str">
        <f>"9058256688"</f>
        <v>9058256688</v>
      </c>
      <c r="AE1133" t="str">
        <f>"3452287559"</f>
        <v>3452287559</v>
      </c>
    </row>
    <row r="1134" spans="1:31" x14ac:dyDescent="0.45">
      <c r="A1134" t="str">
        <f>"АКЕНТЬЕВА ТАТЬЯНА ЯКОВЛЕВНА"</f>
        <v>АКЕНТЬЕВА ТАТЬЯНА ЯКОВЛЕВНА</v>
      </c>
      <c r="B1134" t="str">
        <f>"1958-03-24"</f>
        <v>1958-03-24</v>
      </c>
      <c r="C1134" t="str">
        <f>"67 04 300610"</f>
        <v>67 04 300610</v>
      </c>
      <c r="D1134" t="str">
        <f>"5313100461128075"</f>
        <v>5313100461128075</v>
      </c>
      <c r="E1134" t="str">
        <f>"2019-11-30"</f>
        <v>2019-11-30</v>
      </c>
      <c r="F1134" t="str">
        <f t="shared" si="181"/>
        <v>+</v>
      </c>
      <c r="G1134" t="str">
        <f t="shared" si="181"/>
        <v>+</v>
      </c>
      <c r="H1134" t="str">
        <f>"40817810516992113478"</f>
        <v>40817810516992113478</v>
      </c>
      <c r="I1134" t="str">
        <f>"1791"</f>
        <v>1791</v>
      </c>
      <c r="J1134" t="str">
        <f>"0003"</f>
        <v>0003</v>
      </c>
      <c r="K1134" t="str">
        <f>"140000.00"</f>
        <v>140000.00</v>
      </c>
      <c r="L1134" t="str">
        <f>"628001 ОБЛ ТЮМЕНСКАЯ   Г ХАНТЫ-МАНСИЙСК   УЛ КИРОВА д. 35 кв. 46"</f>
        <v>628001 ОБЛ ТЮМЕНСКАЯ   Г ХАНТЫ-МАНСИЙСК   УЛ КИРОВА д. 35 кв. 46</v>
      </c>
      <c r="M1134" t="str">
        <f t="shared" si="176"/>
        <v>2019-08-24</v>
      </c>
      <c r="N1134" t="str">
        <f>"ПЕНСИОНЕР"</f>
        <v>ПЕНСИОНЕР</v>
      </c>
      <c r="O1134" t="str">
        <f>"628001"</f>
        <v>628001</v>
      </c>
      <c r="P1134" t="str">
        <f t="shared" si="183"/>
        <v>ОБЛ ТЮМЕНСКАЯ</v>
      </c>
      <c r="Q1134" t="str">
        <f>""</f>
        <v/>
      </c>
      <c r="R1134" t="str">
        <f>"Г ХАНТЫ-МАНСИЙСК"</f>
        <v>Г ХАНТЫ-МАНСИЙСК</v>
      </c>
      <c r="S1134" t="str">
        <f>""</f>
        <v/>
      </c>
      <c r="T1134" t="str">
        <f>"УЛ КИРОВА"</f>
        <v>УЛ КИРОВА</v>
      </c>
      <c r="U1134" s="1" t="str">
        <f>"35"</f>
        <v>35</v>
      </c>
      <c r="V1134" s="1" t="str">
        <f>""</f>
        <v/>
      </c>
      <c r="W1134" s="1" t="str">
        <f>""</f>
        <v/>
      </c>
      <c r="X1134" s="1" t="str">
        <f>""</f>
        <v/>
      </c>
      <c r="Y1134" s="1" t="str">
        <f>"46"</f>
        <v>46</v>
      </c>
      <c r="Z1134" t="str">
        <f>"3467131716"</f>
        <v>3467131716</v>
      </c>
      <c r="AA1134" t="str">
        <f>"3467131716"</f>
        <v>3467131716</v>
      </c>
      <c r="AB1134" t="str">
        <f>"9581549534"</f>
        <v>9581549534</v>
      </c>
      <c r="AC1134" t="str">
        <f>"3467131716"</f>
        <v>3467131716</v>
      </c>
      <c r="AD1134" t="str">
        <f>"9581549534"</f>
        <v>9581549534</v>
      </c>
      <c r="AE1134" t="str">
        <f>"3467131716"</f>
        <v>3467131716</v>
      </c>
    </row>
    <row r="1135" spans="1:31" x14ac:dyDescent="0.45">
      <c r="A1135" t="str">
        <f>"СОБЯНИНА НАДИЯ АСХАТОВНА"</f>
        <v>СОБЯНИНА НАДИЯ АСХАТОВНА</v>
      </c>
      <c r="B1135" t="str">
        <f>"1959-12-05"</f>
        <v>1959-12-05</v>
      </c>
      <c r="C1135" t="str">
        <f>"67 04 450528"</f>
        <v>67 04 450528</v>
      </c>
      <c r="D1135" t="str">
        <f>"4854630315985427"</f>
        <v>4854630315985427</v>
      </c>
      <c r="E1135" t="str">
        <f>"2020-04-30"</f>
        <v>2020-04-30</v>
      </c>
      <c r="F1135" t="str">
        <f t="shared" si="181"/>
        <v>+</v>
      </c>
      <c r="G1135" t="str">
        <f t="shared" si="181"/>
        <v>+</v>
      </c>
      <c r="H1135" t="str">
        <f>"40817810316992113801"</f>
        <v>40817810316992113801</v>
      </c>
      <c r="I1135" t="str">
        <f>"1791"</f>
        <v>1791</v>
      </c>
      <c r="J1135" t="str">
        <f>"0088"</f>
        <v>0088</v>
      </c>
      <c r="K1135" t="str">
        <f>"280000.00"</f>
        <v>280000.00</v>
      </c>
      <c r="L1135" t="str">
        <f>"628200 ОБЛ ТЮМЕНСКАЯ Р-Н КОНДИНСКИЙ   П МЕЖДУРЕЧЕНСКИЙ УЛ ВОЛГОГРАДСКАЯ д. 12"</f>
        <v>628200 ОБЛ ТЮМЕНСКАЯ Р-Н КОНДИНСКИЙ   П МЕЖДУРЕЧЕНСКИЙ УЛ ВОЛГОГРАДСКАЯ д. 12</v>
      </c>
      <c r="M1135" t="str">
        <f t="shared" si="176"/>
        <v>2019-08-24</v>
      </c>
      <c r="N1135" t="str">
        <f>"ПАО СБЕРБАНК"</f>
        <v>ПАО СБЕРБАНК</v>
      </c>
      <c r="O1135" t="str">
        <f>"628200"</f>
        <v>628200</v>
      </c>
      <c r="P1135" t="str">
        <f t="shared" si="183"/>
        <v>ОБЛ ТЮМЕНСКАЯ</v>
      </c>
      <c r="Q1135" t="str">
        <f>"Р-Н КОНДИНСКИЙ"</f>
        <v>Р-Н КОНДИНСКИЙ</v>
      </c>
      <c r="R1135" t="str">
        <f>""</f>
        <v/>
      </c>
      <c r="S1135" t="str">
        <f>"П МЕЖДУРЕЧЕНСКИЙ"</f>
        <v>П МЕЖДУРЕЧЕНСКИЙ</v>
      </c>
      <c r="T1135" t="str">
        <f>"УЛ КОСМОНАВТОВ"</f>
        <v>УЛ КОСМОНАВТОВ</v>
      </c>
      <c r="U1135" s="1" t="str">
        <f>"34"</f>
        <v>34</v>
      </c>
      <c r="V1135" s="1" t="str">
        <f>""</f>
        <v/>
      </c>
      <c r="W1135" s="1" t="str">
        <f>""</f>
        <v/>
      </c>
      <c r="X1135" s="1" t="str">
        <f>""</f>
        <v/>
      </c>
      <c r="Y1135" s="1" t="str">
        <f>"3"</f>
        <v>3</v>
      </c>
      <c r="Z1135" t="str">
        <f>""</f>
        <v/>
      </c>
      <c r="AA1135" t="str">
        <f>"9324323795"</f>
        <v>9324323795</v>
      </c>
      <c r="AB1135" t="str">
        <f>"9324323795"</f>
        <v>9324323795</v>
      </c>
      <c r="AC1135" t="str">
        <f>"3467733625"</f>
        <v>3467733625</v>
      </c>
      <c r="AD1135" t="str">
        <f>"9324323795"</f>
        <v>9324323795</v>
      </c>
      <c r="AE1135" t="str">
        <f>""</f>
        <v/>
      </c>
    </row>
    <row r="1136" spans="1:31" x14ac:dyDescent="0.45">
      <c r="A1136" t="str">
        <f>"ЖЕНИХОВА ИРИНА ИВАНОВНА"</f>
        <v>ЖЕНИХОВА ИРИНА ИВАНОВНА</v>
      </c>
      <c r="B1136" t="str">
        <f>"1967-07-18"</f>
        <v>1967-07-18</v>
      </c>
      <c r="C1136" t="str">
        <f>"65 12 445314"</f>
        <v>65 12 445314</v>
      </c>
      <c r="D1136" t="str">
        <f>"5313100716595789"</f>
        <v>5313100716595789</v>
      </c>
      <c r="E1136" t="str">
        <f>"2020-09-30"</f>
        <v>2020-09-30</v>
      </c>
      <c r="F1136" t="str">
        <f t="shared" si="181"/>
        <v>+</v>
      </c>
      <c r="G1136" t="str">
        <f t="shared" si="181"/>
        <v>+</v>
      </c>
      <c r="H1136" t="str">
        <f>"40817810216991391342"</f>
        <v>40817810216991391342</v>
      </c>
      <c r="I1136" t="str">
        <f>"7003"</f>
        <v>7003</v>
      </c>
      <c r="J1136" t="str">
        <f>"0659"</f>
        <v>0659</v>
      </c>
      <c r="K1136" t="str">
        <f>"30000.00"</f>
        <v>30000.00</v>
      </c>
      <c r="L1136" t="str">
        <f>"620000 ОБЛ СВЕРДЛОВСКАЯ   Г КРАСНОУФИМСК П ПУДЛИНГОВЫЙ УЛ СТАНЦИОННАЯ д. 1"</f>
        <v>620000 ОБЛ СВЕРДЛОВСКАЯ   Г КРАСНОУФИМСК П ПУДЛИНГОВЫЙ УЛ СТАНЦИОННАЯ д. 1</v>
      </c>
      <c r="M1136" t="str">
        <f t="shared" si="176"/>
        <v>2019-08-24</v>
      </c>
      <c r="N1136" t="str">
        <f>"ПУДЛИНГОВСКИЙ  ЩЕБЕНОЧНЫЙ ЗАВО"</f>
        <v>ПУДЛИНГОВСКИЙ  ЩЕБЕНОЧНЫЙ ЗАВО</v>
      </c>
      <c r="O1136" t="str">
        <f>"620000"</f>
        <v>620000</v>
      </c>
      <c r="P1136" t="str">
        <f>"ОБЛ СВЕРДЛОВСКАЯ"</f>
        <v>ОБЛ СВЕРДЛОВСКАЯ</v>
      </c>
      <c r="Q1136" t="str">
        <f>""</f>
        <v/>
      </c>
      <c r="R1136" t="str">
        <f>"Г КРАСНОУФИМСК"</f>
        <v>Г КРАСНОУФИМСК</v>
      </c>
      <c r="S1136" t="str">
        <f>"П ПУДЛИНГОВЫЙ"</f>
        <v>П ПУДЛИНГОВЫЙ</v>
      </c>
      <c r="T1136" t="str">
        <f>"УЛ УРАЛЬСКАЯ"</f>
        <v>УЛ УРАЛЬСКАЯ</v>
      </c>
      <c r="U1136" s="1" t="str">
        <f>"8"</f>
        <v>8</v>
      </c>
      <c r="V1136" s="1" t="str">
        <f>""</f>
        <v/>
      </c>
      <c r="W1136" s="1" t="str">
        <f>""</f>
        <v/>
      </c>
      <c r="X1136" s="1" t="str">
        <f>""</f>
        <v/>
      </c>
      <c r="Y1136" s="1" t="str">
        <f>"5"</f>
        <v>5</v>
      </c>
      <c r="Z1136" t="str">
        <f>"3439459050"</f>
        <v>3439459050</v>
      </c>
      <c r="AA1136" t="str">
        <f>"9533813953"</f>
        <v>9533813953</v>
      </c>
      <c r="AB1136" t="str">
        <f>"9533813953"</f>
        <v>9533813953</v>
      </c>
      <c r="AC1136" t="str">
        <f>"9533813953"</f>
        <v>9533813953</v>
      </c>
      <c r="AD1136" t="str">
        <f>"9533813953"</f>
        <v>9533813953</v>
      </c>
      <c r="AE1136" t="str">
        <f>""</f>
        <v/>
      </c>
    </row>
    <row r="1137" spans="1:31" x14ac:dyDescent="0.45">
      <c r="A1137" t="str">
        <f>"НАЗАРОВ ВЛАДИМИР АНАТОЛЬЕВИЧ"</f>
        <v>НАЗАРОВ ВЛАДИМИР АНАТОЛЬЕВИЧ</v>
      </c>
      <c r="B1137" t="str">
        <f>"1970-07-10"</f>
        <v>1970-07-10</v>
      </c>
      <c r="C1137" t="str">
        <f>"65 15 083151"</f>
        <v>65 15 083151</v>
      </c>
      <c r="D1137" t="str">
        <f>"5313100589023513"</f>
        <v>5313100589023513</v>
      </c>
      <c r="E1137" t="str">
        <f>"2020-09-30"</f>
        <v>2020-09-30</v>
      </c>
      <c r="F1137" t="str">
        <f t="shared" si="181"/>
        <v>+</v>
      </c>
      <c r="G1137" t="str">
        <f t="shared" si="181"/>
        <v>+</v>
      </c>
      <c r="H1137" t="str">
        <f>"40817810516991391343"</f>
        <v>40817810516991391343</v>
      </c>
      <c r="I1137" t="str">
        <f>"7003"</f>
        <v>7003</v>
      </c>
      <c r="J1137" t="str">
        <f>"0424"</f>
        <v>0424</v>
      </c>
      <c r="K1137" t="str">
        <f>"28000.00"</f>
        <v>28000.00</v>
      </c>
      <c r="L1137" t="str">
        <f>"620000 ОБЛ СВЕРДЛОВСКАЯ   Г ЕКАТЕРИНБУРГ   УЛ НОВИНСКАЯ д. 3"</f>
        <v>620000 ОБЛ СВЕРДЛОВСКАЯ   Г ЕКАТЕРИНБУРГ   УЛ НОВИНСКАЯ д. 3</v>
      </c>
      <c r="M1137" t="str">
        <f t="shared" si="176"/>
        <v>2019-08-24</v>
      </c>
      <c r="N1137" t="str">
        <f>"ООО ВТОРЧЕРМЕТ"</f>
        <v>ООО ВТОРЧЕРМЕТ</v>
      </c>
      <c r="O1137" t="str">
        <f>"620000"</f>
        <v>620000</v>
      </c>
      <c r="P1137" t="str">
        <f>"ОБЛ СВЕРДЛОВСКАЯ"</f>
        <v>ОБЛ СВЕРДЛОВСКАЯ</v>
      </c>
      <c r="Q1137" t="str">
        <f>""</f>
        <v/>
      </c>
      <c r="R1137" t="str">
        <f>"Г ЕКАТЕРИНБУРГ"</f>
        <v>Г ЕКАТЕРИНБУРГ</v>
      </c>
      <c r="S1137" t="str">
        <f>""</f>
        <v/>
      </c>
      <c r="T1137" t="str">
        <f>"ПЕР ПУГАЧЕВСКИЙ"</f>
        <v>ПЕР ПУГАЧЕВСКИЙ</v>
      </c>
      <c r="U1137" s="1" t="str">
        <f>"5"</f>
        <v>5</v>
      </c>
      <c r="V1137" s="1" t="str">
        <f>""</f>
        <v/>
      </c>
      <c r="W1137" s="1" t="str">
        <f>""</f>
        <v/>
      </c>
      <c r="X1137" s="1" t="str">
        <f>""</f>
        <v/>
      </c>
      <c r="Y1137" s="1" t="str">
        <f>"3"</f>
        <v>3</v>
      </c>
      <c r="Z1137" t="str">
        <f>""</f>
        <v/>
      </c>
      <c r="AA1137" t="str">
        <f>"9506428667"</f>
        <v>9506428667</v>
      </c>
      <c r="AB1137" t="str">
        <f>"9506428667"</f>
        <v>9506428667</v>
      </c>
      <c r="AC1137" t="str">
        <f>"9506428667"</f>
        <v>9506428667</v>
      </c>
      <c r="AD1137" t="str">
        <f>"9506428667"</f>
        <v>9506428667</v>
      </c>
      <c r="AE1137" t="str">
        <f>""</f>
        <v/>
      </c>
    </row>
    <row r="1138" spans="1:31" x14ac:dyDescent="0.45">
      <c r="A1138" t="str">
        <f>"ГАЙСИН АЛЬБЕРТ РИТАФОВИЧ"</f>
        <v>ГАЙСИН АЛЬБЕРТ РИТАФОВИЧ</v>
      </c>
      <c r="B1138" t="str">
        <f>"1984-06-13"</f>
        <v>1984-06-13</v>
      </c>
      <c r="C1138" t="str">
        <f>"65 08 364872"</f>
        <v>65 08 364872</v>
      </c>
      <c r="D1138" t="str">
        <f>"4279011638827777"</f>
        <v>4279011638827777</v>
      </c>
      <c r="E1138" t="str">
        <f t="shared" ref="E1138:E1150" si="184">"2021-05-31"</f>
        <v>2021-05-31</v>
      </c>
      <c r="F1138" t="str">
        <f t="shared" si="181"/>
        <v>+</v>
      </c>
      <c r="G1138" t="str">
        <f t="shared" si="181"/>
        <v>+</v>
      </c>
      <c r="H1138" t="str">
        <f>"40817810416991391359"</f>
        <v>40817810416991391359</v>
      </c>
      <c r="I1138" t="str">
        <f>"7003"</f>
        <v>7003</v>
      </c>
      <c r="J1138" t="str">
        <f>"0248"</f>
        <v>0248</v>
      </c>
      <c r="K1138" t="str">
        <f>"205000.00"</f>
        <v>205000.00</v>
      </c>
      <c r="L1138" t="str">
        <f>"620000 ОБЛ СВЕРДЛОВСКАЯ   Г ЕКАТЕРИНБУРГ   УЛ МАНЕВРОВАЯ д. 9"</f>
        <v>620000 ОБЛ СВЕРДЛОВСКАЯ   Г ЕКАТЕРИНБУРГ   УЛ МАНЕВРОВАЯ д. 9</v>
      </c>
      <c r="M1138" t="str">
        <f t="shared" si="176"/>
        <v>2019-08-24</v>
      </c>
      <c r="N1138" t="str">
        <f>"ООО ЦЕНТУРИОН"</f>
        <v>ООО ЦЕНТУРИОН</v>
      </c>
      <c r="O1138" t="str">
        <f>"620000"</f>
        <v>620000</v>
      </c>
      <c r="P1138" t="str">
        <f>"ОБЛ СВЕРДЛОВСКАЯ"</f>
        <v>ОБЛ СВЕРДЛОВСКАЯ</v>
      </c>
      <c r="Q1138" t="str">
        <f>"Р-Н КРАСНОУФИМСКИЙ"</f>
        <v>Р-Н КРАСНОУФИМСКИЙ</v>
      </c>
      <c r="R1138" t="str">
        <f>""</f>
        <v/>
      </c>
      <c r="S1138" t="str">
        <f>"Д ТАТАРСКАЯ ЕМАНЗЕЛЬГА"</f>
        <v>Д ТАТАРСКАЯ ЕМАНЗЕЛЬГА</v>
      </c>
      <c r="T1138" t="str">
        <f>"УЛ ЗАРЕЧНАЯ"</f>
        <v>УЛ ЗАРЕЧНАЯ</v>
      </c>
      <c r="U1138" s="1" t="str">
        <f>"15"</f>
        <v>15</v>
      </c>
      <c r="V1138" s="1" t="str">
        <f>""</f>
        <v/>
      </c>
      <c r="W1138" s="1" t="str">
        <f>""</f>
        <v/>
      </c>
      <c r="X1138" s="1" t="str">
        <f>""</f>
        <v/>
      </c>
      <c r="Y1138" s="1" t="str">
        <f>""</f>
        <v/>
      </c>
      <c r="Z1138" t="str">
        <f>""</f>
        <v/>
      </c>
      <c r="AA1138" t="str">
        <f>"3433942482"</f>
        <v>3433942482</v>
      </c>
      <c r="AB1138" t="str">
        <f>"9193942482"</f>
        <v>9193942482</v>
      </c>
      <c r="AC1138" t="str">
        <f>"3433942482"</f>
        <v>3433942482</v>
      </c>
      <c r="AD1138" t="str">
        <f>"9193942482"</f>
        <v>9193942482</v>
      </c>
      <c r="AE1138" t="str">
        <f>""</f>
        <v/>
      </c>
    </row>
    <row r="1139" spans="1:31" x14ac:dyDescent="0.45">
      <c r="A1139" t="str">
        <f>"ТЕЛЬМИНОВА ИРИНА МИХАЙЛОВНА"</f>
        <v>ТЕЛЬМИНОВА ИРИНА МИХАЙЛОВНА</v>
      </c>
      <c r="B1139" t="str">
        <f>"1981-09-02"</f>
        <v>1981-09-02</v>
      </c>
      <c r="C1139" t="str">
        <f>"37 07 222734"</f>
        <v>37 07 222734</v>
      </c>
      <c r="D1139" t="str">
        <f>"4279011617385854"</f>
        <v>4279011617385854</v>
      </c>
      <c r="E1139" t="str">
        <f t="shared" si="184"/>
        <v>2021-05-31</v>
      </c>
      <c r="F1139" t="str">
        <f t="shared" si="181"/>
        <v>+</v>
      </c>
      <c r="G1139" t="str">
        <f t="shared" si="181"/>
        <v>+</v>
      </c>
      <c r="H1139" t="str">
        <f>"40817810116991391426"</f>
        <v>40817810116991391426</v>
      </c>
      <c r="I1139" t="str">
        <f>"8599"</f>
        <v>8599</v>
      </c>
      <c r="J1139" t="str">
        <f>"0036"</f>
        <v>0036</v>
      </c>
      <c r="K1139" t="str">
        <f>"20000.00"</f>
        <v>20000.00</v>
      </c>
      <c r="L1139" t="str">
        <f>"641000 ОБЛ КУРГАНСКАЯ   Г КУРГАН   УЛ ГОГОЛЯ д. 37"</f>
        <v>641000 ОБЛ КУРГАНСКАЯ   Г КУРГАН   УЛ ГОГОЛЯ д. 37</v>
      </c>
      <c r="M1139" t="str">
        <f t="shared" si="176"/>
        <v>2019-08-24</v>
      </c>
      <c r="N1139" t="str">
        <f>"ПАО БАНК КУРГАН"</f>
        <v>ПАО БАНК КУРГАН</v>
      </c>
      <c r="O1139" t="str">
        <f>"641000"</f>
        <v>641000</v>
      </c>
      <c r="P1139" t="str">
        <f>"ОБЛ КУРГАНСКАЯ"</f>
        <v>ОБЛ КУРГАНСКАЯ</v>
      </c>
      <c r="Q1139" t="str">
        <f>""</f>
        <v/>
      </c>
      <c r="R1139" t="str">
        <f>"Г КУРГАН"</f>
        <v>Г КУРГАН</v>
      </c>
      <c r="S1139" t="str">
        <f>""</f>
        <v/>
      </c>
      <c r="T1139" t="str">
        <f>"УЛ СОВЕТСКАЯ"</f>
        <v>УЛ СОВЕТСКАЯ</v>
      </c>
      <c r="U1139" s="1" t="str">
        <f>"179"</f>
        <v>179</v>
      </c>
      <c r="V1139" s="1" t="str">
        <f>""</f>
        <v/>
      </c>
      <c r="W1139" s="1" t="str">
        <f>""</f>
        <v/>
      </c>
      <c r="X1139" s="1" t="str">
        <f>""</f>
        <v/>
      </c>
      <c r="Y1139" s="1" t="str">
        <f>"168"</f>
        <v>168</v>
      </c>
      <c r="Z1139" t="str">
        <f>""</f>
        <v/>
      </c>
      <c r="AA1139" t="str">
        <f>"9828099242"</f>
        <v>9828099242</v>
      </c>
      <c r="AB1139" t="str">
        <f>"9058506144"</f>
        <v>9058506144</v>
      </c>
      <c r="AC1139" t="str">
        <f>"9828099242"</f>
        <v>9828099242</v>
      </c>
      <c r="AD1139" t="str">
        <f>"9058506144"</f>
        <v>9058506144</v>
      </c>
      <c r="AE1139" t="str">
        <f>""</f>
        <v/>
      </c>
    </row>
    <row r="1140" spans="1:31" x14ac:dyDescent="0.45">
      <c r="A1140" t="str">
        <f>"ХЛОБЫСТОВА ЕКАТЕРИНА АНДРЕЕВНА"</f>
        <v>ХЛОБЫСТОВА ЕКАТЕРИНА АНДРЕЕВНА</v>
      </c>
      <c r="B1140" t="str">
        <f>"1979-12-12"</f>
        <v>1979-12-12</v>
      </c>
      <c r="C1140" t="str">
        <f>"65 18 648166"</f>
        <v>65 18 648166</v>
      </c>
      <c r="D1140" t="str">
        <f>"4279011620025042"</f>
        <v>4279011620025042</v>
      </c>
      <c r="E1140" t="str">
        <f t="shared" si="184"/>
        <v>2021-05-31</v>
      </c>
      <c r="F1140" t="str">
        <f>"S"</f>
        <v>S</v>
      </c>
      <c r="G1140" t="str">
        <f>"7"</f>
        <v>7</v>
      </c>
      <c r="H1140" t="str">
        <f>"40817810416991391427"</f>
        <v>40817810416991391427</v>
      </c>
      <c r="I1140" t="str">
        <f>"7003"</f>
        <v>7003</v>
      </c>
      <c r="J1140" t="str">
        <f>"0827"</f>
        <v>0827</v>
      </c>
      <c r="K1140" t="str">
        <f>"9643.38"</f>
        <v>9643.38</v>
      </c>
      <c r="L1140" t="str">
        <f>"620000 ОБЛ СВЕРДЛОВСКАЯ Р-Н - Г БЕРЕЗОВСКИЙ Г - УЛ ЗАГВОЗКИНА д. 99"</f>
        <v>620000 ОБЛ СВЕРДЛОВСКАЯ Р-Н - Г БЕРЕЗОВСКИЙ Г - УЛ ЗАГВОЗКИНА д. 99</v>
      </c>
      <c r="M1140" t="str">
        <f t="shared" si="176"/>
        <v>2019-08-24</v>
      </c>
      <c r="N1140" t="str">
        <f>"МЯСНАЯ БОЙНЯ"</f>
        <v>МЯСНАЯ БОЙНЯ</v>
      </c>
      <c r="O1140" t="str">
        <f>"620000"</f>
        <v>620000</v>
      </c>
      <c r="P1140" t="str">
        <f>"ОБЛ СВЕРДЛОВСКАЯ"</f>
        <v>ОБЛ СВЕРДЛОВСКАЯ</v>
      </c>
      <c r="Q1140" t="str">
        <f>"Р-Н -"</f>
        <v>Р-Н -</v>
      </c>
      <c r="R1140" t="str">
        <f>"Г НОВОУРАЛЬСК"</f>
        <v>Г НОВОУРАЛЬСК</v>
      </c>
      <c r="S1140" t="str">
        <f>"Г -"</f>
        <v>Г -</v>
      </c>
      <c r="T1140" t="str">
        <f>"УЛ ЛЕНИНА"</f>
        <v>УЛ ЛЕНИНА</v>
      </c>
      <c r="U1140" s="1" t="str">
        <f>"138"</f>
        <v>138</v>
      </c>
      <c r="V1140" s="1" t="str">
        <f>""</f>
        <v/>
      </c>
      <c r="W1140" s="1" t="str">
        <f>""</f>
        <v/>
      </c>
      <c r="X1140" s="1" t="str">
        <f>""</f>
        <v/>
      </c>
      <c r="Y1140" s="1" t="str">
        <f>"56"</f>
        <v>56</v>
      </c>
      <c r="Z1140" t="str">
        <f>"3433572327"</f>
        <v>3433572327</v>
      </c>
      <c r="AA1140" t="str">
        <f>"3433572335"</f>
        <v>3433572335</v>
      </c>
      <c r="AB1140" t="str">
        <f>"9090185051"</f>
        <v>9090185051</v>
      </c>
      <c r="AC1140" t="str">
        <f>"9090185051"</f>
        <v>9090185051</v>
      </c>
      <c r="AD1140" t="str">
        <f>"9090185051"</f>
        <v>9090185051</v>
      </c>
      <c r="AE1140" t="str">
        <f>""</f>
        <v/>
      </c>
    </row>
    <row r="1141" spans="1:31" x14ac:dyDescent="0.45">
      <c r="A1141" t="str">
        <f>"ПОПОВА ЮЛИЯ АНАТОЛЬЕВНА"</f>
        <v>ПОПОВА ЮЛИЯ АНАТОЛЬЕВНА</v>
      </c>
      <c r="B1141" t="str">
        <f>"1984-11-04"</f>
        <v>1984-11-04</v>
      </c>
      <c r="C1141" t="str">
        <f>"75 07 097715"</f>
        <v>75 07 097715</v>
      </c>
      <c r="D1141" t="str">
        <f>"4279011638719255"</f>
        <v>4279011638719255</v>
      </c>
      <c r="E1141" t="str">
        <f t="shared" si="184"/>
        <v>2021-05-31</v>
      </c>
      <c r="F1141" t="str">
        <f t="shared" ref="F1141:G1143" si="185">"+"</f>
        <v>+</v>
      </c>
      <c r="G1141" t="str">
        <f t="shared" si="185"/>
        <v>+</v>
      </c>
      <c r="H1141" t="str">
        <f>"40817810016991391429"</f>
        <v>40817810016991391429</v>
      </c>
      <c r="I1141" t="str">
        <f>"8597"</f>
        <v>8597</v>
      </c>
      <c r="J1141" t="str">
        <f>"0561"</f>
        <v>0561</v>
      </c>
      <c r="K1141" t="str">
        <f>"240000.00"</f>
        <v>240000.00</v>
      </c>
      <c r="L1141" t="str">
        <f>"454000 ОБЛ ЧЕЛЯБИНСКАЯ   Г ЧЕЛЯБИНСК   УЛ ЕЛЬКИНА д. 84"</f>
        <v>454000 ОБЛ ЧЕЛЯБИНСКАЯ   Г ЧЕЛЯБИНСК   УЛ ЕЛЬКИНА д. 84</v>
      </c>
      <c r="M1141" t="str">
        <f t="shared" si="176"/>
        <v>2019-08-24</v>
      </c>
      <c r="N1141" t="str">
        <f>"ОГКУ ЧОИС"</f>
        <v>ОГКУ ЧОИС</v>
      </c>
      <c r="O1141" t="str">
        <f>"454000"</f>
        <v>454000</v>
      </c>
      <c r="P1141" t="str">
        <f>"ОБЛ ЧЕЛЯБИНСКАЯ"</f>
        <v>ОБЛ ЧЕЛЯБИНСКАЯ</v>
      </c>
      <c r="Q1141" t="str">
        <f>""</f>
        <v/>
      </c>
      <c r="R1141" t="str">
        <f>"Г ЧЕЛЯБИНСК"</f>
        <v>Г ЧЕЛЯБИНСК</v>
      </c>
      <c r="S1141" t="str">
        <f>""</f>
        <v/>
      </c>
      <c r="T1141" t="str">
        <f>"УЛ БЕЙВЕЛЯ"</f>
        <v>УЛ БЕЙВЕЛЯ</v>
      </c>
      <c r="U1141" s="1" t="str">
        <f>"39"</f>
        <v>39</v>
      </c>
      <c r="V1141" s="1" t="str">
        <f>""</f>
        <v/>
      </c>
      <c r="W1141" s="1" t="str">
        <f>""</f>
        <v/>
      </c>
      <c r="X1141" s="1" t="str">
        <f>""</f>
        <v/>
      </c>
      <c r="Y1141" s="1" t="str">
        <f>"41"</f>
        <v>41</v>
      </c>
      <c r="Z1141" t="str">
        <f>""</f>
        <v/>
      </c>
      <c r="AA1141" t="str">
        <f>"9085357654"</f>
        <v>9085357654</v>
      </c>
      <c r="AB1141" t="str">
        <f>"9085739525"</f>
        <v>9085739525</v>
      </c>
      <c r="AC1141" t="str">
        <f>"9085357654"</f>
        <v>9085357654</v>
      </c>
      <c r="AD1141" t="str">
        <f>"9085739525"</f>
        <v>9085739525</v>
      </c>
      <c r="AE1141" t="str">
        <f>""</f>
        <v/>
      </c>
    </row>
    <row r="1142" spans="1:31" x14ac:dyDescent="0.45">
      <c r="A1142" t="str">
        <f>"СТЕПАНОВ ИГОРЬ АЛЕКСАНДРОВИЧ"</f>
        <v>СТЕПАНОВ ИГОРЬ АЛЕКСАНДРОВИЧ</v>
      </c>
      <c r="B1142" t="str">
        <f>"1966-06-21"</f>
        <v>1966-06-21</v>
      </c>
      <c r="C1142" t="str">
        <f>"75 10 874763"</f>
        <v>75 10 874763</v>
      </c>
      <c r="D1142" t="str">
        <f>"4279011699748235"</f>
        <v>4279011699748235</v>
      </c>
      <c r="E1142" t="str">
        <f t="shared" si="184"/>
        <v>2021-05-31</v>
      </c>
      <c r="F1142" t="str">
        <f t="shared" si="185"/>
        <v>+</v>
      </c>
      <c r="G1142" t="str">
        <f t="shared" si="185"/>
        <v>+</v>
      </c>
      <c r="H1142" t="str">
        <f>"40817810416991391430"</f>
        <v>40817810416991391430</v>
      </c>
      <c r="I1142" t="str">
        <f>"8597"</f>
        <v>8597</v>
      </c>
      <c r="J1142" t="str">
        <f>"0528"</f>
        <v>0528</v>
      </c>
      <c r="K1142" t="str">
        <f>"175000.00"</f>
        <v>175000.00</v>
      </c>
      <c r="L1142" t="str">
        <f>"456300 ОБЛ ЧЕЛЯБИНСКАЯ   Г МИАСС   УЛ ИЛЬМЕНТАУ д. 2"</f>
        <v>456300 ОБЛ ЧЕЛЯБИНСКАЯ   Г МИАСС   УЛ ИЛЬМЕНТАУ д. 2</v>
      </c>
      <c r="M1142" t="str">
        <f t="shared" si="176"/>
        <v>2019-08-24</v>
      </c>
      <c r="N1142" t="str">
        <f>"МИАССВОДОКАНАЛ"</f>
        <v>МИАССВОДОКАНАЛ</v>
      </c>
      <c r="O1142" t="str">
        <f>"456300"</f>
        <v>456300</v>
      </c>
      <c r="P1142" t="str">
        <f>"ОБЛ ЧЕЛЯБИНСКАЯ"</f>
        <v>ОБЛ ЧЕЛЯБИНСКАЯ</v>
      </c>
      <c r="Q1142" t="str">
        <f>""</f>
        <v/>
      </c>
      <c r="R1142" t="str">
        <f>"Г МИАСС"</f>
        <v>Г МИАСС</v>
      </c>
      <c r="S1142" t="str">
        <f>""</f>
        <v/>
      </c>
      <c r="T1142" t="str">
        <f>"УЛ АК ПАВЛОВА"</f>
        <v>УЛ АК ПАВЛОВА</v>
      </c>
      <c r="U1142" s="1" t="str">
        <f>"36"</f>
        <v>36</v>
      </c>
      <c r="V1142" s="1" t="str">
        <f>""</f>
        <v/>
      </c>
      <c r="W1142" s="1" t="str">
        <f>""</f>
        <v/>
      </c>
      <c r="X1142" s="1" t="str">
        <f>""</f>
        <v/>
      </c>
      <c r="Y1142" s="1" t="str">
        <f>"16"</f>
        <v>16</v>
      </c>
      <c r="Z1142" t="str">
        <f>"3513 578417"</f>
        <v>3513 578417</v>
      </c>
      <c r="AA1142" t="str">
        <f>"9000853428"</f>
        <v>9000853428</v>
      </c>
      <c r="AB1142" t="str">
        <f>"9514472118"</f>
        <v>9514472118</v>
      </c>
      <c r="AC1142" t="str">
        <f>"9000853428"</f>
        <v>9000853428</v>
      </c>
      <c r="AD1142" t="str">
        <f>"9514472118"</f>
        <v>9514472118</v>
      </c>
      <c r="AE1142" t="str">
        <f>""</f>
        <v/>
      </c>
    </row>
    <row r="1143" spans="1:31" x14ac:dyDescent="0.45">
      <c r="A1143" t="str">
        <f>"ШАРЯЕВ ИЛЬШАТ РИНАТОВИЧ"</f>
        <v>ШАРЯЕВ ИЛЬШАТ РИНАТОВИЧ</v>
      </c>
      <c r="B1143" t="str">
        <f>"1982-12-07"</f>
        <v>1982-12-07</v>
      </c>
      <c r="C1143" t="str">
        <f>"80 97 067741"</f>
        <v>80 97 067741</v>
      </c>
      <c r="D1143" t="str">
        <f>"4279011614755596"</f>
        <v>4279011614755596</v>
      </c>
      <c r="E1143" t="str">
        <f t="shared" si="184"/>
        <v>2021-05-31</v>
      </c>
      <c r="F1143" t="str">
        <f t="shared" si="185"/>
        <v>+</v>
      </c>
      <c r="G1143" t="str">
        <f t="shared" si="185"/>
        <v>+</v>
      </c>
      <c r="H1143" t="str">
        <f>"40817810816991391564"</f>
        <v>40817810816991391564</v>
      </c>
      <c r="I1143" t="str">
        <f>"8598"</f>
        <v>8598</v>
      </c>
      <c r="J1143" t="str">
        <f>"0161"</f>
        <v>0161</v>
      </c>
      <c r="K1143" t="str">
        <f>"200000.00"</f>
        <v>200000.00</v>
      </c>
      <c r="L1143" t="str">
        <f>"450000 РЕСП БАШКОРТОСТАН   Г УФА   УЛ МЕНДЕЛЕЕВА д. 215 корп. 1 кв. 40"</f>
        <v>450000 РЕСП БАШКОРТОСТАН   Г УФА   УЛ МЕНДЕЛЕЕВА д. 215 корп. 1 кв. 40</v>
      </c>
      <c r="M1143" t="str">
        <f t="shared" si="176"/>
        <v>2019-08-24</v>
      </c>
      <c r="N1143" t="str">
        <f>"ООО СТРОЙКА"</f>
        <v>ООО СТРОЙКА</v>
      </c>
      <c r="O1143" t="str">
        <f>"450000"</f>
        <v>450000</v>
      </c>
      <c r="P1143" t="str">
        <f>"РЕСП БАШКОРТОСТАН"</f>
        <v>РЕСП БАШКОРТОСТАН</v>
      </c>
      <c r="Q1143" t="str">
        <f>""</f>
        <v/>
      </c>
      <c r="R1143" t="str">
        <f>"Г УФА"</f>
        <v>Г УФА</v>
      </c>
      <c r="S1143" t="str">
        <f>""</f>
        <v/>
      </c>
      <c r="T1143" t="str">
        <f>"УЛ МЕНДЕЛЕЕВА"</f>
        <v>УЛ МЕНДЕЛЕЕВА</v>
      </c>
      <c r="U1143" s="1" t="str">
        <f>"215"</f>
        <v>215</v>
      </c>
      <c r="V1143" s="1" t="str">
        <f>""</f>
        <v/>
      </c>
      <c r="W1143" s="1" t="str">
        <f>"1"</f>
        <v>1</v>
      </c>
      <c r="X1143" s="1" t="str">
        <f>""</f>
        <v/>
      </c>
      <c r="Y1143" s="1" t="str">
        <f>"40"</f>
        <v>40</v>
      </c>
      <c r="Z1143" t="str">
        <f>"9279237856"</f>
        <v>9279237856</v>
      </c>
      <c r="AA1143" t="str">
        <f>"9279237856"</f>
        <v>9279237856</v>
      </c>
      <c r="AB1143" t="str">
        <f>"9279237856"</f>
        <v>9279237856</v>
      </c>
      <c r="AC1143" t="str">
        <f>"9279237856"</f>
        <v>9279237856</v>
      </c>
      <c r="AD1143" t="str">
        <f>"9279237856"</f>
        <v>9279237856</v>
      </c>
      <c r="AE1143" t="str">
        <f>"9279237856"</f>
        <v>9279237856</v>
      </c>
    </row>
    <row r="1144" spans="1:31" x14ac:dyDescent="0.45">
      <c r="A1144" t="str">
        <f>"ДЯГИЛЕВ ИЛЬЯ АНДРЕЕВИЧ"</f>
        <v>ДЯГИЛЕВ ИЛЬЯ АНДРЕЕВИЧ</v>
      </c>
      <c r="B1144" t="str">
        <f>"1992-04-27"</f>
        <v>1992-04-27</v>
      </c>
      <c r="C1144" t="str">
        <f>"65 12 403610"</f>
        <v>65 12 403610</v>
      </c>
      <c r="D1144" t="str">
        <f>"4279011673635283"</f>
        <v>4279011673635283</v>
      </c>
      <c r="E1144" t="str">
        <f t="shared" si="184"/>
        <v>2021-05-31</v>
      </c>
      <c r="F1144" t="str">
        <f>"Y"</f>
        <v>Y</v>
      </c>
      <c r="G1144" t="str">
        <f>"Q"</f>
        <v>Q</v>
      </c>
      <c r="H1144" t="str">
        <f>"40817810616991391557"</f>
        <v>40817810616991391557</v>
      </c>
      <c r="I1144" t="str">
        <f>"7003"</f>
        <v>7003</v>
      </c>
      <c r="J1144" t="str">
        <f>"0518"</f>
        <v>0518</v>
      </c>
      <c r="K1144" t="str">
        <f>"0.00"</f>
        <v>0.00</v>
      </c>
      <c r="L1144" t="str">
        <f>"620000 ОБЛ СВЕРДЛОВСКАЯ   Г БЕРЕЗОВСКИЙ   УЛ 1 д. 1"</f>
        <v>620000 ОБЛ СВЕРДЛОВСКАЯ   Г БЕРЕЗОВСКИЙ   УЛ 1 д. 1</v>
      </c>
      <c r="M1144" t="str">
        <f t="shared" si="176"/>
        <v>2019-08-24</v>
      </c>
      <c r="N1144" t="str">
        <f>"ООО НЛМК МЕТИЗ"</f>
        <v>ООО НЛМК МЕТИЗ</v>
      </c>
      <c r="O1144" t="str">
        <f>"620000"</f>
        <v>620000</v>
      </c>
      <c r="P1144" t="str">
        <f>"ОБЛ СВЕРДЛОВСКАЯ"</f>
        <v>ОБЛ СВЕРДЛОВСКАЯ</v>
      </c>
      <c r="Q1144" t="str">
        <f>""</f>
        <v/>
      </c>
      <c r="R1144" t="str">
        <f>"Г РЕЖ"</f>
        <v>Г РЕЖ</v>
      </c>
      <c r="S1144" t="str">
        <f>""</f>
        <v/>
      </c>
      <c r="T1144" t="str">
        <f>"УЛ ЛЕНИНА"</f>
        <v>УЛ ЛЕНИНА</v>
      </c>
      <c r="U1144" s="1" t="str">
        <f>"70"</f>
        <v>70</v>
      </c>
      <c r="V1144" s="1" t="str">
        <f>""</f>
        <v/>
      </c>
      <c r="W1144" s="1" t="str">
        <f>"1"</f>
        <v>1</v>
      </c>
      <c r="X1144" s="1" t="str">
        <f>""</f>
        <v/>
      </c>
      <c r="Y1144" s="1" t="str">
        <f>"22"</f>
        <v>22</v>
      </c>
      <c r="Z1144" t="str">
        <f>""</f>
        <v/>
      </c>
      <c r="AA1144" t="str">
        <f>"9655024311"</f>
        <v>9655024311</v>
      </c>
      <c r="AB1144" t="str">
        <f>"9655024311"</f>
        <v>9655024311</v>
      </c>
      <c r="AC1144" t="str">
        <f>"9655024311"</f>
        <v>9655024311</v>
      </c>
      <c r="AD1144" t="str">
        <f>"9655024311"</f>
        <v>9655024311</v>
      </c>
      <c r="AE1144" t="str">
        <f>""</f>
        <v/>
      </c>
    </row>
    <row r="1145" spans="1:31" x14ac:dyDescent="0.45">
      <c r="A1145" t="str">
        <f>"БЕЛИКОВ ПАВЕЛ ИВАНОВИЧ"</f>
        <v>БЕЛИКОВ ПАВЕЛ ИВАНОВИЧ</v>
      </c>
      <c r="B1145" t="str">
        <f>"1992-12-31"</f>
        <v>1992-12-31</v>
      </c>
      <c r="C1145" t="str">
        <f>"75 12 203791"</f>
        <v>75 12 203791</v>
      </c>
      <c r="D1145" t="str">
        <f>"4279011635302477"</f>
        <v>4279011635302477</v>
      </c>
      <c r="E1145" t="str">
        <f t="shared" si="184"/>
        <v>2021-05-31</v>
      </c>
      <c r="F1145" t="str">
        <f t="shared" ref="F1145:G1150" si="186">"+"</f>
        <v>+</v>
      </c>
      <c r="G1145" t="str">
        <f t="shared" si="186"/>
        <v>+</v>
      </c>
      <c r="H1145" t="str">
        <f>"40817810716991391554"</f>
        <v>40817810716991391554</v>
      </c>
      <c r="I1145" t="str">
        <f>"8597"</f>
        <v>8597</v>
      </c>
      <c r="J1145" t="str">
        <f>"0378"</f>
        <v>0378</v>
      </c>
      <c r="K1145" t="str">
        <f>"170000.00"</f>
        <v>170000.00</v>
      </c>
      <c r="L1145" t="str">
        <f>"455000 ОБЛ ЧЕЛЯБИНСКАЯ   Г МАГНИТОГОРСК   УЛ КИРОВА д. 124"</f>
        <v>455000 ОБЛ ЧЕЛЯБИНСКАЯ   Г МАГНИТОГОРСК   УЛ КИРОВА д. 124</v>
      </c>
      <c r="M1145" t="str">
        <f t="shared" si="176"/>
        <v>2019-08-24</v>
      </c>
      <c r="N1145" t="str">
        <f>"ОП ЗАО СОТ"</f>
        <v>ОП ЗАО СОТ</v>
      </c>
      <c r="O1145" t="str">
        <f>"455021"</f>
        <v>455021</v>
      </c>
      <c r="P1145" t="str">
        <f>"ОБЛ ЧЕЛЯБИНСКАЯ"</f>
        <v>ОБЛ ЧЕЛЯБИНСКАЯ</v>
      </c>
      <c r="Q1145" t="str">
        <f>""</f>
        <v/>
      </c>
      <c r="R1145" t="str">
        <f>"Г МАГНИТОГОРСК"</f>
        <v>Г МАГНИТОГОРСК</v>
      </c>
      <c r="S1145" t="str">
        <f>""</f>
        <v/>
      </c>
      <c r="T1145" t="str">
        <f>"УЛ КОРОБОВА"</f>
        <v>УЛ КОРОБОВА</v>
      </c>
      <c r="U1145" s="1" t="str">
        <f>"12"</f>
        <v>12</v>
      </c>
      <c r="V1145" s="1" t="str">
        <f>""</f>
        <v/>
      </c>
      <c r="W1145" s="1" t="str">
        <f>""</f>
        <v/>
      </c>
      <c r="X1145" s="1" t="str">
        <f>""</f>
        <v/>
      </c>
      <c r="Y1145" s="1" t="str">
        <f>"68"</f>
        <v>68</v>
      </c>
      <c r="Z1145" t="str">
        <f>"9823585755"</f>
        <v>9823585755</v>
      </c>
      <c r="AA1145" t="str">
        <f>"9823585755"</f>
        <v>9823585755</v>
      </c>
      <c r="AB1145" t="str">
        <f>"9823585755"</f>
        <v>9823585755</v>
      </c>
      <c r="AC1145" t="str">
        <f>"9823585755"</f>
        <v>9823585755</v>
      </c>
      <c r="AD1145" t="str">
        <f>"9823585755"</f>
        <v>9823585755</v>
      </c>
      <c r="AE1145" t="str">
        <f>"9823585755"</f>
        <v>9823585755</v>
      </c>
    </row>
    <row r="1146" spans="1:31" x14ac:dyDescent="0.45">
      <c r="A1146" t="str">
        <f>"КОЗЛОВА НАТАЛЬЯ МИХАЙЛОВНА"</f>
        <v>КОЗЛОВА НАТАЛЬЯ МИХАЙЛОВНА</v>
      </c>
      <c r="B1146" t="str">
        <f>"1965-08-02"</f>
        <v>1965-08-02</v>
      </c>
      <c r="C1146" t="str">
        <f>"80 10 060810"</f>
        <v>80 10 060810</v>
      </c>
      <c r="D1146" t="str">
        <f>"4279011689633884"</f>
        <v>4279011689633884</v>
      </c>
      <c r="E1146" t="str">
        <f t="shared" si="184"/>
        <v>2021-05-31</v>
      </c>
      <c r="F1146" t="str">
        <f t="shared" si="186"/>
        <v>+</v>
      </c>
      <c r="G1146" t="str">
        <f t="shared" si="186"/>
        <v>+</v>
      </c>
      <c r="H1146" t="str">
        <f>"40817810016991391555"</f>
        <v>40817810016991391555</v>
      </c>
      <c r="I1146" t="str">
        <f>"8598"</f>
        <v>8598</v>
      </c>
      <c r="J1146" t="str">
        <f>"0473"</f>
        <v>0473</v>
      </c>
      <c r="K1146" t="str">
        <f>"50000.00"</f>
        <v>50000.00</v>
      </c>
      <c r="L1146" t="str">
        <f>"000000 ОБЛ ТЮМЕНСКАЯ АО ЯМАЛО-НЕНЕЦКИЙ Г КАГАЛЫМ   УЛ НОЯБРЬСКАЯ д. 4"</f>
        <v>000000 ОБЛ ТЮМЕНСКАЯ АО ЯМАЛО-НЕНЕЦКИЙ Г КАГАЛЫМ   УЛ НОЯБРЬСКАЯ д. 4</v>
      </c>
      <c r="M1146" t="str">
        <f t="shared" si="176"/>
        <v>2019-08-24</v>
      </c>
      <c r="N1146" t="str">
        <f>"ЛУКОЙЛ"</f>
        <v>ЛУКОЙЛ</v>
      </c>
      <c r="O1146" t="str">
        <f>"450000"</f>
        <v>450000</v>
      </c>
      <c r="P1146" t="str">
        <f>"РЕСП БАШКОРТОСТАН"</f>
        <v>РЕСП БАШКОРТОСТАН</v>
      </c>
      <c r="Q1146" t="str">
        <f>"Р-Н АЛЬШЕЕВСКИЙ"</f>
        <v>Р-Н АЛЬШЕЕВСКИЙ</v>
      </c>
      <c r="R1146" t="str">
        <f>""</f>
        <v/>
      </c>
      <c r="S1146" t="str">
        <f>"Д БУГУЛЬМИНКА"</f>
        <v>Д БУГУЛЬМИНКА</v>
      </c>
      <c r="T1146" t="str">
        <f>"УЛ ПОЛЕВАЯ"</f>
        <v>УЛ ПОЛЕВАЯ</v>
      </c>
      <c r="U1146" s="1" t="str">
        <f>"12"</f>
        <v>12</v>
      </c>
      <c r="V1146" s="1" t="str">
        <f>""</f>
        <v/>
      </c>
      <c r="W1146" s="1" t="str">
        <f>""</f>
        <v/>
      </c>
      <c r="X1146" s="1" t="str">
        <f>""</f>
        <v/>
      </c>
      <c r="Y1146" s="1" t="str">
        <f>""</f>
        <v/>
      </c>
      <c r="Z1146" t="str">
        <f>""</f>
        <v/>
      </c>
      <c r="AA1146" t="str">
        <f>"3475436750"</f>
        <v>3475436750</v>
      </c>
      <c r="AB1146" t="str">
        <f>"9173870949"</f>
        <v>9173870949</v>
      </c>
      <c r="AC1146" t="str">
        <f>"3475436750"</f>
        <v>3475436750</v>
      </c>
      <c r="AD1146" t="str">
        <f>"9173870949"</f>
        <v>9173870949</v>
      </c>
      <c r="AE1146" t="str">
        <f>""</f>
        <v/>
      </c>
    </row>
    <row r="1147" spans="1:31" x14ac:dyDescent="0.45">
      <c r="A1147" t="str">
        <f>"БУРКОВ ДМИТРИЙ АЛЕКСАНДРОВИЧ"</f>
        <v>БУРКОВ ДМИТРИЙ АЛЕКСАНДРОВИЧ</v>
      </c>
      <c r="B1147" t="str">
        <f>"1990-02-15"</f>
        <v>1990-02-15</v>
      </c>
      <c r="C1147" t="str">
        <f>"65 09 801407"</f>
        <v>65 09 801407</v>
      </c>
      <c r="D1147" t="str">
        <f>"4279011645820005"</f>
        <v>4279011645820005</v>
      </c>
      <c r="E1147" t="str">
        <f t="shared" si="184"/>
        <v>2021-05-31</v>
      </c>
      <c r="F1147" t="str">
        <f t="shared" si="186"/>
        <v>+</v>
      </c>
      <c r="G1147" t="str">
        <f t="shared" si="186"/>
        <v>+</v>
      </c>
      <c r="H1147" t="str">
        <f>"40817810216991391562"</f>
        <v>40817810216991391562</v>
      </c>
      <c r="I1147" t="str">
        <f>"7003"</f>
        <v>7003</v>
      </c>
      <c r="J1147" t="str">
        <f>"0638"</f>
        <v>0638</v>
      </c>
      <c r="K1147" t="str">
        <f>"100000.00"</f>
        <v>100000.00</v>
      </c>
      <c r="L1147" t="str">
        <f>"620000 ОБЛ СВЕРДЛОВСКАЯ   Г СУХОЙ ЛОГ   УЛ МИЛИЦЕЙСКАЯ д. 2"</f>
        <v>620000 ОБЛ СВЕРДЛОВСКАЯ   Г СУХОЙ ЛОГ   УЛ МИЛИЦЕЙСКАЯ д. 2</v>
      </c>
      <c r="M1147" t="str">
        <f t="shared" si="176"/>
        <v>2019-08-24</v>
      </c>
      <c r="N1147" t="str">
        <f>"ОАО СОЗ"</f>
        <v>ОАО СОЗ</v>
      </c>
      <c r="O1147" t="str">
        <f>"620000"</f>
        <v>620000</v>
      </c>
      <c r="P1147" t="str">
        <f>"ОБЛ СВЕРДЛОВСКАЯ"</f>
        <v>ОБЛ СВЕРДЛОВСКАЯ</v>
      </c>
      <c r="Q1147" t="str">
        <f>"Р-Н СУХОЛОЖСКИЙ"</f>
        <v>Р-Н СУХОЛОЖСКИЙ</v>
      </c>
      <c r="R1147" t="str">
        <f>"Г СУХОЙ ЛОГ"</f>
        <v>Г СУХОЙ ЛОГ</v>
      </c>
      <c r="S1147" t="str">
        <f>""</f>
        <v/>
      </c>
      <c r="T1147" t="str">
        <f>"УЛ БЕЛИНСКОГО"</f>
        <v>УЛ БЕЛИНСКОГО</v>
      </c>
      <c r="U1147" s="1" t="str">
        <f>"54Б"</f>
        <v>54Б</v>
      </c>
      <c r="V1147" s="1" t="str">
        <f>""</f>
        <v/>
      </c>
      <c r="W1147" s="1" t="str">
        <f>""</f>
        <v/>
      </c>
      <c r="X1147" s="1" t="str">
        <f>""</f>
        <v/>
      </c>
      <c r="Y1147" s="1" t="str">
        <f>"49"</f>
        <v>49</v>
      </c>
      <c r="Z1147" t="str">
        <f>"9292206308"</f>
        <v>9292206308</v>
      </c>
      <c r="AA1147" t="str">
        <f>"3437335326"</f>
        <v>3437335326</v>
      </c>
      <c r="AB1147" t="str">
        <f>"9530062951"</f>
        <v>9530062951</v>
      </c>
      <c r="AC1147" t="str">
        <f>"9222020889"</f>
        <v>9222020889</v>
      </c>
      <c r="AD1147" t="str">
        <f>"9530062951"</f>
        <v>9530062951</v>
      </c>
      <c r="AE1147" t="str">
        <f>"9292206308"</f>
        <v>9292206308</v>
      </c>
    </row>
    <row r="1148" spans="1:31" x14ac:dyDescent="0.45">
      <c r="A1148" t="str">
        <f>"НИГМАТУЛЛИН МАРАТ ЗУФАРОВИЧ"</f>
        <v>НИГМАТУЛЛИН МАРАТ ЗУФАРОВИЧ</v>
      </c>
      <c r="B1148" t="str">
        <f>"1979-03-22"</f>
        <v>1979-03-22</v>
      </c>
      <c r="C1148" t="str">
        <f>"80 14 976162"</f>
        <v>80 14 976162</v>
      </c>
      <c r="D1148" t="str">
        <f>"4279011697388042"</f>
        <v>4279011697388042</v>
      </c>
      <c r="E1148" t="str">
        <f t="shared" si="184"/>
        <v>2021-05-31</v>
      </c>
      <c r="F1148" t="str">
        <f t="shared" si="186"/>
        <v>+</v>
      </c>
      <c r="G1148" t="str">
        <f t="shared" si="186"/>
        <v>+</v>
      </c>
      <c r="H1148" t="str">
        <f>"40817810516991391563"</f>
        <v>40817810516991391563</v>
      </c>
      <c r="I1148" t="str">
        <f>"8598"</f>
        <v>8598</v>
      </c>
      <c r="J1148" t="str">
        <f>"0764"</f>
        <v>0764</v>
      </c>
      <c r="K1148" t="str">
        <f>"300000.00"</f>
        <v>300000.00</v>
      </c>
      <c r="L1148" t="str">
        <f>"000000 ОБЛ ТЮМЕНСКАЯ   Г КАГАЛЫМ     д. 1"</f>
        <v>000000 ОБЛ ТЮМЕНСКАЯ   Г КАГАЛЫМ     д. 1</v>
      </c>
      <c r="M1148" t="str">
        <f t="shared" si="176"/>
        <v>2019-08-24</v>
      </c>
      <c r="N1148" t="s">
        <v>79</v>
      </c>
      <c r="O1148" t="str">
        <f>"450000"</f>
        <v>450000</v>
      </c>
      <c r="P1148" t="str">
        <f>"РЕСП БАШКОРТОСТАН"</f>
        <v>РЕСП БАШКОРТОСТАН</v>
      </c>
      <c r="Q1148" t="str">
        <f>""</f>
        <v/>
      </c>
      <c r="R1148" t="str">
        <f>"Г МЕЛЕУЗ"</f>
        <v>Г МЕЛЕУЗ</v>
      </c>
      <c r="S1148" t="str">
        <f>""</f>
        <v/>
      </c>
      <c r="T1148" t="str">
        <f>"УЛ ЛЕВОНАБЕРЕЖНАЯ"</f>
        <v>УЛ ЛЕВОНАБЕРЕЖНАЯ</v>
      </c>
      <c r="U1148" s="1" t="str">
        <f>"149"</f>
        <v>149</v>
      </c>
      <c r="V1148" s="1" t="str">
        <f>""</f>
        <v/>
      </c>
      <c r="W1148" s="1" t="str">
        <f>""</f>
        <v/>
      </c>
      <c r="X1148" s="1" t="str">
        <f>""</f>
        <v/>
      </c>
      <c r="Y1148" s="1" t="str">
        <f>""</f>
        <v/>
      </c>
      <c r="Z1148" t="str">
        <f>""</f>
        <v/>
      </c>
      <c r="AA1148" t="str">
        <f>"9991312857"</f>
        <v>9991312857</v>
      </c>
      <c r="AB1148" t="str">
        <f>"9991312857"</f>
        <v>9991312857</v>
      </c>
      <c r="AC1148" t="str">
        <f>"9991312857"</f>
        <v>9991312857</v>
      </c>
      <c r="AD1148" t="str">
        <f>"9991312857"</f>
        <v>9991312857</v>
      </c>
      <c r="AE1148" t="str">
        <f>""</f>
        <v/>
      </c>
    </row>
    <row r="1149" spans="1:31" x14ac:dyDescent="0.45">
      <c r="A1149" t="str">
        <f>"ВИНОГРАДОВА ЕКАТЕРИНА СЕРГЕЕВНА"</f>
        <v>ВИНОГРАДОВА ЕКАТЕРИНА СЕРГЕЕВНА</v>
      </c>
      <c r="B1149" t="str">
        <f>"1981-05-15"</f>
        <v>1981-05-15</v>
      </c>
      <c r="C1149" t="str">
        <f>"65 08 534392"</f>
        <v>65 08 534392</v>
      </c>
      <c r="D1149" t="str">
        <f>"4279011692528030"</f>
        <v>4279011692528030</v>
      </c>
      <c r="E1149" t="str">
        <f t="shared" si="184"/>
        <v>2021-05-31</v>
      </c>
      <c r="F1149" t="str">
        <f t="shared" si="186"/>
        <v>+</v>
      </c>
      <c r="G1149" t="str">
        <f t="shared" si="186"/>
        <v>+</v>
      </c>
      <c r="H1149" t="str">
        <f>"40817810916991391561"</f>
        <v>40817810916991391561</v>
      </c>
      <c r="I1149" t="str">
        <f>"7003"</f>
        <v>7003</v>
      </c>
      <c r="J1149" t="str">
        <f>"0469"</f>
        <v>0469</v>
      </c>
      <c r="K1149" t="str">
        <f>"40000.00"</f>
        <v>40000.00</v>
      </c>
      <c r="L1149" t="str">
        <f>"620000 ОБЛ СВЕРДЛОВСКАЯ   Г ВЕРХНЯЯ ПЫШМА   ПР-КТ УСПЕНСКИЙ"</f>
        <v>620000 ОБЛ СВЕРДЛОВСКАЯ   Г ВЕРХНЯЯ ПЫШМА   ПР-КТ УСПЕНСКИЙ</v>
      </c>
      <c r="M1149" t="str">
        <f t="shared" si="176"/>
        <v>2019-08-24</v>
      </c>
      <c r="N1149" t="str">
        <f>"ИП ЧЕЛПАНОВА"</f>
        <v>ИП ЧЕЛПАНОВА</v>
      </c>
      <c r="O1149" t="str">
        <f>"620000"</f>
        <v>620000</v>
      </c>
      <c r="P1149" t="str">
        <f>"ОБЛ СВЕРДЛОВСКАЯ"</f>
        <v>ОБЛ СВЕРДЛОВСКАЯ</v>
      </c>
      <c r="Q1149" t="str">
        <f>""</f>
        <v/>
      </c>
      <c r="R1149" t="str">
        <f>"Г ВЕРХНЯЯ ПЫШМА"</f>
        <v>Г ВЕРХНЯЯ ПЫШМА</v>
      </c>
      <c r="S1149" t="str">
        <f>""</f>
        <v/>
      </c>
      <c r="T1149" t="str">
        <f>"УЛ УРАЛЬСКИХ РАБОЧИХ"</f>
        <v>УЛ УРАЛЬСКИХ РАБОЧИХ</v>
      </c>
      <c r="U1149" s="1" t="str">
        <f>"44"</f>
        <v>44</v>
      </c>
      <c r="V1149" s="1" t="str">
        <f>""</f>
        <v/>
      </c>
      <c r="W1149" s="1" t="str">
        <f>"Г"</f>
        <v>Г</v>
      </c>
      <c r="X1149" s="1" t="str">
        <f>""</f>
        <v/>
      </c>
      <c r="Y1149" s="1" t="str">
        <f>"143"</f>
        <v>143</v>
      </c>
      <c r="Z1149" t="str">
        <f>"47884"</f>
        <v>47884</v>
      </c>
      <c r="AA1149" t="str">
        <f>"9122210606"</f>
        <v>9122210606</v>
      </c>
      <c r="AB1149" t="str">
        <f>"9122210606"</f>
        <v>9122210606</v>
      </c>
      <c r="AC1149" t="str">
        <f>"9122210606"</f>
        <v>9122210606</v>
      </c>
      <c r="AD1149" t="str">
        <f>"9122210606"</f>
        <v>9122210606</v>
      </c>
      <c r="AE1149" t="str">
        <f>""</f>
        <v/>
      </c>
    </row>
    <row r="1150" spans="1:31" x14ac:dyDescent="0.45">
      <c r="A1150" t="str">
        <f>"КОМЯГИН МИХАИЛ ВЛАДИМИРОВИЧ"</f>
        <v>КОМЯГИН МИХАИЛ ВЛАДИМИРОВИЧ</v>
      </c>
      <c r="B1150" t="str">
        <f>"1983-03-11"</f>
        <v>1983-03-11</v>
      </c>
      <c r="C1150" t="str">
        <f>"80 06 065498"</f>
        <v>80 06 065498</v>
      </c>
      <c r="D1150" t="str">
        <f>"4279011638778426"</f>
        <v>4279011638778426</v>
      </c>
      <c r="E1150" t="str">
        <f t="shared" si="184"/>
        <v>2021-05-31</v>
      </c>
      <c r="F1150" t="str">
        <f t="shared" si="186"/>
        <v>+</v>
      </c>
      <c r="G1150" t="str">
        <f t="shared" si="186"/>
        <v>+</v>
      </c>
      <c r="H1150" t="str">
        <f>"40817810416991391566"</f>
        <v>40817810416991391566</v>
      </c>
      <c r="I1150" t="str">
        <f>"8598"</f>
        <v>8598</v>
      </c>
      <c r="J1150" t="str">
        <f>"0059"</f>
        <v>0059</v>
      </c>
      <c r="K1150" t="str">
        <f>"88000.00"</f>
        <v>88000.00</v>
      </c>
      <c r="L1150" t="str">
        <f>"450000 РЕСП БАШКОРТОСТАН   Г УФА   УЛ КАЛИНИНА д. 81"</f>
        <v>450000 РЕСП БАШКОРТОСТАН   Г УФА   УЛ КАЛИНИНА д. 81</v>
      </c>
      <c r="M1150" t="str">
        <f t="shared" si="176"/>
        <v>2019-08-24</v>
      </c>
      <c r="N1150" t="str">
        <f>"ПЧ 3 ФГКУ 22 ОТРЯД ФПС ПО РБ"</f>
        <v>ПЧ 3 ФГКУ 22 ОТРЯД ФПС ПО РБ</v>
      </c>
      <c r="O1150" t="str">
        <f>"450000"</f>
        <v>450000</v>
      </c>
      <c r="P1150" t="str">
        <f>"РЕСП БАШКОРТОСТАН"</f>
        <v>РЕСП БАШКОРТОСТАН</v>
      </c>
      <c r="Q1150" t="str">
        <f>"Р-Н ИГЛИНСКИЙ"</f>
        <v>Р-Н ИГЛИНСКИЙ</v>
      </c>
      <c r="R1150" t="str">
        <f>""</f>
        <v/>
      </c>
      <c r="S1150" t="str">
        <f>"С ИГЛИНО"</f>
        <v>С ИГЛИНО</v>
      </c>
      <c r="T1150" t="str">
        <f>"УЛ ГОГОЛЯ"</f>
        <v>УЛ ГОГОЛЯ</v>
      </c>
      <c r="U1150" s="1" t="str">
        <f>"1"</f>
        <v>1</v>
      </c>
      <c r="V1150" s="1" t="str">
        <f>""</f>
        <v/>
      </c>
      <c r="W1150" s="1" t="str">
        <f>"2"</f>
        <v>2</v>
      </c>
      <c r="X1150" s="1" t="str">
        <f>""</f>
        <v/>
      </c>
      <c r="Y1150" s="1" t="str">
        <f>""</f>
        <v/>
      </c>
      <c r="Z1150" t="str">
        <f>"9874875848"</f>
        <v>9874875848</v>
      </c>
      <c r="AA1150" t="str">
        <f>"9649652101"</f>
        <v>9649652101</v>
      </c>
      <c r="AB1150" t="str">
        <f>"9649652101"</f>
        <v>9649652101</v>
      </c>
      <c r="AC1150" t="str">
        <f>"9649652101"</f>
        <v>9649652101</v>
      </c>
      <c r="AD1150" t="str">
        <f>"9649652101"</f>
        <v>9649652101</v>
      </c>
      <c r="AE1150" t="str">
        <f>"9874875848"</f>
        <v>9874875848</v>
      </c>
    </row>
    <row r="1151" spans="1:31" x14ac:dyDescent="0.45">
      <c r="A1151" t="str">
        <f>"ДАВЛЕТШИН АМИР ЗУФАРОВИЧ"</f>
        <v>ДАВЛЕТШИН АМИР ЗУФАРОВИЧ</v>
      </c>
      <c r="B1151" t="str">
        <f>"1974-04-20"</f>
        <v>1974-04-20</v>
      </c>
      <c r="C1151" t="str">
        <f>"80 03 556894"</f>
        <v>80 03 556894</v>
      </c>
      <c r="D1151" t="str">
        <f>"4276011663045751"</f>
        <v>4276011663045751</v>
      </c>
      <c r="E1151" t="str">
        <f>"2021-06-30"</f>
        <v>2021-06-30</v>
      </c>
      <c r="F1151" t="str">
        <f>"Z"</f>
        <v>Z</v>
      </c>
      <c r="G1151" t="str">
        <f>"W"</f>
        <v>W</v>
      </c>
      <c r="H1151" t="str">
        <f>"40817810516991463239"</f>
        <v>40817810516991463239</v>
      </c>
      <c r="I1151" t="str">
        <f>"8598"</f>
        <v>8598</v>
      </c>
      <c r="J1151" t="str">
        <f>"0357"</f>
        <v>0357</v>
      </c>
      <c r="K1151" t="str">
        <f>"43000.00"</f>
        <v>43000.00</v>
      </c>
      <c r="L1151" t="str">
        <f>"450000 АО ХАНТЫ-МАНСИЙСКИЙ   Г НЕФТЕЮГАНСК   УЛ ЛЕНИНА д. 18"</f>
        <v>450000 АО ХАНТЫ-МАНСИЙСКИЙ   Г НЕФТЕЮГАНСК   УЛ ЛЕНИНА д. 18</v>
      </c>
      <c r="M1151" t="str">
        <f t="shared" si="176"/>
        <v>2019-08-24</v>
      </c>
      <c r="N1151" t="str">
        <f>"СЕРВИСУРАЛМОНТАЖ"</f>
        <v>СЕРВИСУРАЛМОНТАЖ</v>
      </c>
      <c r="O1151" t="str">
        <f>"450000"</f>
        <v>450000</v>
      </c>
      <c r="P1151" t="str">
        <f>"РЕСП БАШКОРТОСТАН"</f>
        <v>РЕСП БАШКОРТОСТАН</v>
      </c>
      <c r="Q1151" t="str">
        <f>"Р-Н ГАФУРИЙСКИЙ"</f>
        <v>Р-Н ГАФУРИЙСКИЙ</v>
      </c>
      <c r="R1151" t="str">
        <f>""</f>
        <v/>
      </c>
      <c r="S1151" t="str">
        <f>"С Н.ТАШБУКАН"</f>
        <v>С Н.ТАШБУКАН</v>
      </c>
      <c r="T1151" t="str">
        <f>"УЛ М.ГАФУРИ"</f>
        <v>УЛ М.ГАФУРИ</v>
      </c>
      <c r="U1151" s="1" t="str">
        <f>"60"</f>
        <v>60</v>
      </c>
      <c r="V1151" s="1" t="str">
        <f>""</f>
        <v/>
      </c>
      <c r="W1151" s="1" t="str">
        <f>""</f>
        <v/>
      </c>
      <c r="X1151" s="1" t="str">
        <f>""</f>
        <v/>
      </c>
      <c r="Y1151" s="1" t="str">
        <f>""</f>
        <v/>
      </c>
      <c r="Z1151" t="str">
        <f>""</f>
        <v/>
      </c>
      <c r="AA1151" t="str">
        <f>""</f>
        <v/>
      </c>
      <c r="AB1151" t="str">
        <f>"9871427179"</f>
        <v>9871427179</v>
      </c>
      <c r="AC1151" t="str">
        <f>""</f>
        <v/>
      </c>
      <c r="AD1151" t="str">
        <f>"9871427179"</f>
        <v>9871427179</v>
      </c>
      <c r="AE1151" t="str">
        <f>""</f>
        <v/>
      </c>
    </row>
    <row r="1152" spans="1:31" x14ac:dyDescent="0.45">
      <c r="A1152" t="str">
        <f>"ГАНИХИН МАКСИМ СЕРГЕЕВИЧ"</f>
        <v>ГАНИХИН МАКСИМ СЕРГЕЕВИЧ</v>
      </c>
      <c r="B1152" t="str">
        <f>"1992-12-05"</f>
        <v>1992-12-05</v>
      </c>
      <c r="C1152" t="str">
        <f>"71 12 970502"</f>
        <v>71 12 970502</v>
      </c>
      <c r="D1152" t="str">
        <f>"4279016724005188"</f>
        <v>4279016724005188</v>
      </c>
      <c r="E1152" t="str">
        <f>"2021-06-30"</f>
        <v>2021-06-30</v>
      </c>
      <c r="F1152" t="str">
        <f>"+"</f>
        <v>+</v>
      </c>
      <c r="G1152" t="str">
        <f>"+"</f>
        <v>+</v>
      </c>
      <c r="H1152" t="str">
        <f>"40817810516992604563"</f>
        <v>40817810516992604563</v>
      </c>
      <c r="I1152" t="str">
        <f>"8647"</f>
        <v>8647</v>
      </c>
      <c r="J1152" t="str">
        <f>"0178"</f>
        <v>0178</v>
      </c>
      <c r="K1152" t="str">
        <f>"50000.00"</f>
        <v>50000.00</v>
      </c>
      <c r="L1152" t="str">
        <f>"625000 ОБЛ ТЮМЕНСКАЯ   Г ТЮМЕНЬ   УЛ ЧЕЛЮСКИНЦЕВ стр. 10"</f>
        <v>625000 ОБЛ ТЮМЕНСКАЯ   Г ТЮМЕНЬ   УЛ ЧЕЛЮСКИНЦЕВ стр. 10</v>
      </c>
      <c r="M1152" t="str">
        <f t="shared" si="176"/>
        <v>2019-08-24</v>
      </c>
      <c r="N1152" t="str">
        <f>"СТРОЙТРАНСГАЗ РЕГИОН"</f>
        <v>СТРОЙТРАНСГАЗ РЕГИОН</v>
      </c>
      <c r="O1152" t="str">
        <f>"625000"</f>
        <v>625000</v>
      </c>
      <c r="P1152" t="str">
        <f t="shared" ref="P1152:P1161" si="187">"ОБЛ ТЮМЕНСКАЯ"</f>
        <v>ОБЛ ТЮМЕНСКАЯ</v>
      </c>
      <c r="Q1152" t="str">
        <f>""</f>
        <v/>
      </c>
      <c r="R1152" t="str">
        <f>"Г ТЮМЕНЬ"</f>
        <v>Г ТЮМЕНЬ</v>
      </c>
      <c r="S1152" t="str">
        <f>""</f>
        <v/>
      </c>
      <c r="T1152" t="str">
        <f>"УЛ ЦИОЛКОВСКОГО"</f>
        <v>УЛ ЦИОЛКОВСКОГО</v>
      </c>
      <c r="U1152" s="1" t="str">
        <f>"15"</f>
        <v>15</v>
      </c>
      <c r="V1152" s="1" t="str">
        <f>""</f>
        <v/>
      </c>
      <c r="W1152" s="1" t="str">
        <f>""</f>
        <v/>
      </c>
      <c r="X1152" s="1" t="str">
        <f>""</f>
        <v/>
      </c>
      <c r="Y1152" s="1" t="str">
        <f>"145"</f>
        <v>145</v>
      </c>
      <c r="Z1152" t="str">
        <f>""</f>
        <v/>
      </c>
      <c r="AA1152" t="str">
        <f>"3452456784"</f>
        <v>3452456784</v>
      </c>
      <c r="AB1152" t="str">
        <f>"9995479862"</f>
        <v>9995479862</v>
      </c>
      <c r="AC1152" t="str">
        <f>"3452456784"</f>
        <v>3452456784</v>
      </c>
      <c r="AD1152" t="str">
        <f>"9995479862"</f>
        <v>9995479862</v>
      </c>
      <c r="AE1152" t="str">
        <f>""</f>
        <v/>
      </c>
    </row>
    <row r="1153" spans="1:31" x14ac:dyDescent="0.45">
      <c r="A1153" t="str">
        <f>"ПОКАЦКИЙ ЕВГЕНИЙ ДАНИИЛОВИЧ"</f>
        <v>ПОКАЦКИЙ ЕВГЕНИЙ ДАНИИЛОВИЧ</v>
      </c>
      <c r="B1153" t="str">
        <f>"1978-11-27"</f>
        <v>1978-11-27</v>
      </c>
      <c r="C1153" t="str">
        <f>"71 06 440176"</f>
        <v>71 06 440176</v>
      </c>
      <c r="D1153" t="str">
        <f>"5484016709587034"</f>
        <v>5484016709587034</v>
      </c>
      <c r="E1153" t="str">
        <f t="shared" ref="E1153:E1161" si="188">"2021-05-31"</f>
        <v>2021-05-31</v>
      </c>
      <c r="F1153" t="str">
        <f>"K"</f>
        <v>K</v>
      </c>
      <c r="G1153" t="str">
        <f t="shared" ref="G1153:G1162" si="189">"+"</f>
        <v>+</v>
      </c>
      <c r="H1153" t="str">
        <f>"40817810716992655972"</f>
        <v>40817810716992655972</v>
      </c>
      <c r="I1153" t="str">
        <f>"8647"</f>
        <v>8647</v>
      </c>
      <c r="J1153" t="str">
        <f>"7770"</f>
        <v>7770</v>
      </c>
      <c r="K1153" t="str">
        <f>"120000.00"</f>
        <v>120000.00</v>
      </c>
      <c r="L1153" t="str">
        <f>"625000 ОБЛ ТЮМЕНСКАЯ   Г ТЮМЕНЬ   УЛ РЕСПУБЛИКИ д. 243 стр. 1"</f>
        <v>625000 ОБЛ ТЮМЕНСКАЯ   Г ТЮМЕНЬ   УЛ РЕСПУБЛИКИ д. 243 стр. 1</v>
      </c>
      <c r="M1153" t="str">
        <f t="shared" si="176"/>
        <v>2019-08-24</v>
      </c>
      <c r="N1153" t="str">
        <f>"РК ДЕЛОВОЙ МИР"</f>
        <v>РК ДЕЛОВОЙ МИР</v>
      </c>
      <c r="O1153" t="str">
        <f>"626036"</f>
        <v>626036</v>
      </c>
      <c r="P1153" t="str">
        <f t="shared" si="187"/>
        <v>ОБЛ ТЮМЕНСКАЯ</v>
      </c>
      <c r="Q1153" t="str">
        <f>"Р-Н НИЖНЕТАВДИНСКИЙ"</f>
        <v>Р-Н НИЖНЕТАВДИНСКИЙ</v>
      </c>
      <c r="R1153" t="str">
        <f>""</f>
        <v/>
      </c>
      <c r="S1153" t="str">
        <f>"Д НОВОПОКРОВКА"</f>
        <v>Д НОВОПОКРОВКА</v>
      </c>
      <c r="T1153" t="str">
        <f>"УЛ КОРОТЧАЕВА"</f>
        <v>УЛ КОРОТЧАЕВА</v>
      </c>
      <c r="U1153" s="1" t="str">
        <f>"11"</f>
        <v>11</v>
      </c>
      <c r="V1153" s="1" t="str">
        <f>""</f>
        <v/>
      </c>
      <c r="W1153" s="1" t="str">
        <f>""</f>
        <v/>
      </c>
      <c r="X1153" s="1" t="str">
        <f>""</f>
        <v/>
      </c>
      <c r="Y1153" s="1" t="str">
        <f>""</f>
        <v/>
      </c>
      <c r="Z1153" t="str">
        <f>"3452234523"</f>
        <v>3452234523</v>
      </c>
      <c r="AA1153" t="str">
        <f>"9199367775"</f>
        <v>9199367775</v>
      </c>
      <c r="AB1153" t="str">
        <f>"9199367775"</f>
        <v>9199367775</v>
      </c>
      <c r="AC1153" t="str">
        <f>"9199367775"</f>
        <v>9199367775</v>
      </c>
      <c r="AD1153" t="str">
        <f>"9199367775"</f>
        <v>9199367775</v>
      </c>
      <c r="AE1153" t="str">
        <f>"3452234523"</f>
        <v>3452234523</v>
      </c>
    </row>
    <row r="1154" spans="1:31" x14ac:dyDescent="0.45">
      <c r="A1154" t="str">
        <f>"КНЯЖЕВА ЛИЛИЯ КАРИМОВНА"</f>
        <v>КНЯЖЕВА ЛИЛИЯ КАРИМОВНА</v>
      </c>
      <c r="B1154" t="str">
        <f>"1974-11-26"</f>
        <v>1974-11-26</v>
      </c>
      <c r="C1154" t="str">
        <f>"71 01 504362"</f>
        <v>71 01 504362</v>
      </c>
      <c r="D1154" t="str">
        <f>"5484016708634928"</f>
        <v>5484016708634928</v>
      </c>
      <c r="E1154" t="str">
        <f t="shared" si="188"/>
        <v>2021-05-31</v>
      </c>
      <c r="F1154" t="str">
        <f t="shared" ref="F1154:F1162" si="190">"+"</f>
        <v>+</v>
      </c>
      <c r="G1154" t="str">
        <f t="shared" si="189"/>
        <v>+</v>
      </c>
      <c r="H1154" t="str">
        <f>"40817810116992350246"</f>
        <v>40817810116992350246</v>
      </c>
      <c r="I1154" t="str">
        <f>"8647"</f>
        <v>8647</v>
      </c>
      <c r="J1154" t="str">
        <f>"7770"</f>
        <v>7770</v>
      </c>
      <c r="K1154" t="str">
        <f>"11000.00"</f>
        <v>11000.00</v>
      </c>
      <c r="L1154" t="str">
        <f>"625000 ОБЛ ТЮМЕНСКАЯ   Г ТЮМЕНЬ   УЛ КОТОВСКОГО д. 55"</f>
        <v>625000 ОБЛ ТЮМЕНСКАЯ   Г ТЮМЕНЬ   УЛ КОТОВСКОГО д. 55</v>
      </c>
      <c r="M1154" t="str">
        <f t="shared" ref="M1154:M1217" si="191">"2019-08-24"</f>
        <v>2019-08-24</v>
      </c>
      <c r="N1154" t="str">
        <f>"ОКБ 1"</f>
        <v>ОКБ 1</v>
      </c>
      <c r="O1154" t="str">
        <f>"625000"</f>
        <v>625000</v>
      </c>
      <c r="P1154" t="str">
        <f t="shared" si="187"/>
        <v>ОБЛ ТЮМЕНСКАЯ</v>
      </c>
      <c r="Q1154" t="str">
        <f>""</f>
        <v/>
      </c>
      <c r="R1154" t="str">
        <f>"Г ТЮМЕНЬ"</f>
        <v>Г ТЮМЕНЬ</v>
      </c>
      <c r="S1154" t="str">
        <f>""</f>
        <v/>
      </c>
      <c r="T1154" t="str">
        <f>"УЛ ЧАПЛИНА"</f>
        <v>УЛ ЧАПЛИНА</v>
      </c>
      <c r="U1154" s="1" t="str">
        <f>"123"</f>
        <v>123</v>
      </c>
      <c r="V1154" s="1" t="str">
        <f>""</f>
        <v/>
      </c>
      <c r="W1154" s="1" t="str">
        <f>""</f>
        <v/>
      </c>
      <c r="X1154" s="1" t="str">
        <f>""</f>
        <v/>
      </c>
      <c r="Y1154" s="1" t="str">
        <f>"136"</f>
        <v>136</v>
      </c>
      <c r="Z1154" t="str">
        <f>"3452560010"</f>
        <v>3452560010</v>
      </c>
      <c r="AA1154" t="str">
        <f>"9044920952"</f>
        <v>9044920952</v>
      </c>
      <c r="AB1154" t="str">
        <f>"9044920952"</f>
        <v>9044920952</v>
      </c>
      <c r="AC1154" t="str">
        <f>"9044920952"</f>
        <v>9044920952</v>
      </c>
      <c r="AD1154" t="str">
        <f>"9044920952"</f>
        <v>9044920952</v>
      </c>
      <c r="AE1154" t="str">
        <f>"3452560010"</f>
        <v>3452560010</v>
      </c>
    </row>
    <row r="1155" spans="1:31" x14ac:dyDescent="0.45">
      <c r="A1155" t="str">
        <f>"КОВАЛЕВА МАРИЯ ВЛАДИМИРОВНА"</f>
        <v>КОВАЛЕВА МАРИЯ ВЛАДИМИРОВНА</v>
      </c>
      <c r="B1155" t="str">
        <f>"1976-02-27"</f>
        <v>1976-02-27</v>
      </c>
      <c r="C1155" t="str">
        <f>"71 97 014889"</f>
        <v>71 97 014889</v>
      </c>
      <c r="D1155" t="str">
        <f>"5484016708817119"</f>
        <v>5484016708817119</v>
      </c>
      <c r="E1155" t="str">
        <f t="shared" si="188"/>
        <v>2021-05-31</v>
      </c>
      <c r="F1155" t="str">
        <f t="shared" si="190"/>
        <v>+</v>
      </c>
      <c r="G1155" t="str">
        <f t="shared" si="189"/>
        <v>+</v>
      </c>
      <c r="H1155" t="str">
        <f>"40817810016992350304"</f>
        <v>40817810016992350304</v>
      </c>
      <c r="I1155" t="str">
        <f>"8647"</f>
        <v>8647</v>
      </c>
      <c r="J1155" t="str">
        <f>"7770"</f>
        <v>7770</v>
      </c>
      <c r="K1155" t="str">
        <f>"275000.00"</f>
        <v>275000.00</v>
      </c>
      <c r="L1155" t="str">
        <f>"625013 ОБЛ ТЮМЕНСКАЯ   Г ТЮМЕНЬ   УЛ ЭНЕРГЕТИКОВ д. 26"</f>
        <v>625013 ОБЛ ТЮМЕНСКАЯ   Г ТЮМЕНЬ   УЛ ЭНЕРГЕТИКОВ д. 26</v>
      </c>
      <c r="M1155" t="str">
        <f t="shared" si="191"/>
        <v>2019-08-24</v>
      </c>
      <c r="N1155" t="str">
        <f>"ОКБ 1"</f>
        <v>ОКБ 1</v>
      </c>
      <c r="O1155" t="str">
        <f>"625000"</f>
        <v>625000</v>
      </c>
      <c r="P1155" t="str">
        <f t="shared" si="187"/>
        <v>ОБЛ ТЮМЕНСКАЯ</v>
      </c>
      <c r="Q1155" t="str">
        <f>""</f>
        <v/>
      </c>
      <c r="R1155" t="str">
        <f>"Г ТЮМЕНЬ"</f>
        <v>Г ТЮМЕНЬ</v>
      </c>
      <c r="S1155" t="str">
        <f>""</f>
        <v/>
      </c>
      <c r="T1155" t="str">
        <f>"УЛ 50 ЛЕТ ОКТЯБРЯ"</f>
        <v>УЛ 50 ЛЕТ ОКТЯБРЯ</v>
      </c>
      <c r="U1155" s="1" t="str">
        <f>"54"</f>
        <v>54</v>
      </c>
      <c r="V1155" s="1" t="str">
        <f>""</f>
        <v/>
      </c>
      <c r="W1155" s="1" t="str">
        <f>""</f>
        <v/>
      </c>
      <c r="X1155" s="1" t="str">
        <f>""</f>
        <v/>
      </c>
      <c r="Y1155" s="1" t="str">
        <f>"113"</f>
        <v>113</v>
      </c>
      <c r="Z1155" t="str">
        <f>"3452560010"</f>
        <v>3452560010</v>
      </c>
      <c r="AA1155" t="str">
        <f>"9048759843"</f>
        <v>9048759843</v>
      </c>
      <c r="AB1155" t="str">
        <f>"9048759843"</f>
        <v>9048759843</v>
      </c>
      <c r="AC1155" t="str">
        <f>"9048759843"</f>
        <v>9048759843</v>
      </c>
      <c r="AD1155" t="str">
        <f>"9048759843"</f>
        <v>9048759843</v>
      </c>
      <c r="AE1155" t="str">
        <f>"3452560010"</f>
        <v>3452560010</v>
      </c>
    </row>
    <row r="1156" spans="1:31" x14ac:dyDescent="0.45">
      <c r="A1156" t="str">
        <f>"БУРМИСТРОВА ЛАРИСА СЕРГЕЕВНА"</f>
        <v>БУРМИСТРОВА ЛАРИСА СЕРГЕЕВНА</v>
      </c>
      <c r="B1156" t="str">
        <f>"1971-01-31"</f>
        <v>1971-01-31</v>
      </c>
      <c r="C1156" t="str">
        <f>"74 15 911263"</f>
        <v>74 15 911263</v>
      </c>
      <c r="D1156" t="str">
        <f>"4279016713545004"</f>
        <v>4279016713545004</v>
      </c>
      <c r="E1156" t="str">
        <f t="shared" si="188"/>
        <v>2021-05-31</v>
      </c>
      <c r="F1156" t="str">
        <f t="shared" si="190"/>
        <v>+</v>
      </c>
      <c r="G1156" t="str">
        <f t="shared" si="189"/>
        <v>+</v>
      </c>
      <c r="H1156" t="str">
        <f>"40817810816992098141"</f>
        <v>40817810816992098141</v>
      </c>
      <c r="I1156" t="str">
        <f>"8369"</f>
        <v>8369</v>
      </c>
      <c r="J1156" t="str">
        <f>"0015"</f>
        <v>0015</v>
      </c>
      <c r="K1156" t="str">
        <f>"30000.00"</f>
        <v>30000.00</v>
      </c>
      <c r="L1156" t="str">
        <f>"629300 ОБЛ ТЮМЕНСКАЯ   Г НОВЫЙ УРЕНГОЙ   МКР ЭНТУЗИАСТОВ д. 1"</f>
        <v>629300 ОБЛ ТЮМЕНСКАЯ   Г НОВЫЙ УРЕНГОЙ   МКР ЭНТУЗИАСТОВ д. 1</v>
      </c>
      <c r="M1156" t="str">
        <f t="shared" si="191"/>
        <v>2019-08-24</v>
      </c>
      <c r="N1156" t="str">
        <f>"ПЕНСИОНЕР"</f>
        <v>ПЕНСИОНЕР</v>
      </c>
      <c r="O1156" t="str">
        <f>"629300"</f>
        <v>629300</v>
      </c>
      <c r="P1156" t="str">
        <f t="shared" si="187"/>
        <v>ОБЛ ТЮМЕНСКАЯ</v>
      </c>
      <c r="Q1156" t="str">
        <f>""</f>
        <v/>
      </c>
      <c r="R1156" t="str">
        <f>"Г НОВЫЙ УРЕНГОЙ"</f>
        <v>Г НОВЫЙ УРЕНГОЙ</v>
      </c>
      <c r="S1156" t="str">
        <f>""</f>
        <v/>
      </c>
      <c r="T1156" t="str">
        <f>"МКР ОПТИМИСТОВ"</f>
        <v>МКР ОПТИМИСТОВ</v>
      </c>
      <c r="U1156" s="1" t="str">
        <f>"3"</f>
        <v>3</v>
      </c>
      <c r="V1156" s="1" t="str">
        <f>""</f>
        <v/>
      </c>
      <c r="W1156" s="1" t="str">
        <f>"2"</f>
        <v>2</v>
      </c>
      <c r="X1156" s="1" t="str">
        <f>""</f>
        <v/>
      </c>
      <c r="Y1156" s="1" t="str">
        <f>"175"</f>
        <v>175</v>
      </c>
      <c r="Z1156" t="str">
        <f>"9028205658"</f>
        <v>9028205658</v>
      </c>
      <c r="AA1156" t="str">
        <f>"9322009663"</f>
        <v>9322009663</v>
      </c>
      <c r="AB1156" t="str">
        <f>"9322009663"</f>
        <v>9322009663</v>
      </c>
      <c r="AC1156" t="str">
        <f>"9322009663"</f>
        <v>9322009663</v>
      </c>
      <c r="AD1156" t="str">
        <f>"9322009663"</f>
        <v>9322009663</v>
      </c>
      <c r="AE1156" t="str">
        <f>"9028205658"</f>
        <v>9028205658</v>
      </c>
    </row>
    <row r="1157" spans="1:31" x14ac:dyDescent="0.45">
      <c r="A1157" t="str">
        <f>"КИМ НАТАЛЬЯ АЛЕКСАНДРОВНА"</f>
        <v>КИМ НАТАЛЬЯ АЛЕКСАНДРОВНА</v>
      </c>
      <c r="B1157" t="str">
        <f>"1984-03-11"</f>
        <v>1984-03-11</v>
      </c>
      <c r="C1157" t="str">
        <f>"71 07 537938"</f>
        <v>71 07 537938</v>
      </c>
      <c r="D1157" t="str">
        <f>"5484016704517341"</f>
        <v>5484016704517341</v>
      </c>
      <c r="E1157" t="str">
        <f t="shared" si="188"/>
        <v>2021-05-31</v>
      </c>
      <c r="F1157" t="str">
        <f t="shared" si="190"/>
        <v>+</v>
      </c>
      <c r="G1157" t="str">
        <f t="shared" si="189"/>
        <v>+</v>
      </c>
      <c r="H1157" t="str">
        <f>"40817810416992099498"</f>
        <v>40817810416992099498</v>
      </c>
      <c r="I1157" t="str">
        <f>"8647"</f>
        <v>8647</v>
      </c>
      <c r="J1157" t="str">
        <f>"7770"</f>
        <v>7770</v>
      </c>
      <c r="K1157" t="str">
        <f>"200000.00"</f>
        <v>200000.00</v>
      </c>
      <c r="L1157" t="str">
        <f>"625000 ОБЛ ТЮМЕНСКАЯ   Г ТЮМЕНЬ   УЛ ЮРИЯ СЕМОВСКИХ д. 10"</f>
        <v>625000 ОБЛ ТЮМЕНСКАЯ   Г ТЮМЕНЬ   УЛ ЮРИЯ СЕМОВСКИХ д. 10</v>
      </c>
      <c r="M1157" t="str">
        <f t="shared" si="191"/>
        <v>2019-08-24</v>
      </c>
      <c r="N1157" t="str">
        <f>"ГБУЗ ОКБ №1"</f>
        <v>ГБУЗ ОКБ №1</v>
      </c>
      <c r="O1157" t="str">
        <f>"625051"</f>
        <v>625051</v>
      </c>
      <c r="P1157" t="str">
        <f t="shared" si="187"/>
        <v>ОБЛ ТЮМЕНСКАЯ</v>
      </c>
      <c r="Q1157" t="str">
        <f>""</f>
        <v/>
      </c>
      <c r="R1157" t="str">
        <f>"Г ТЮМЕНЬ"</f>
        <v>Г ТЮМЕНЬ</v>
      </c>
      <c r="S1157" t="str">
        <f>""</f>
        <v/>
      </c>
      <c r="T1157" t="str">
        <f>"УЛ ПРОКОПИЯ АРТАМОНОВА"</f>
        <v>УЛ ПРОКОПИЯ АРТАМОНОВА</v>
      </c>
      <c r="U1157" s="1" t="str">
        <f>"4"</f>
        <v>4</v>
      </c>
      <c r="V1157" s="1" t="str">
        <f>""</f>
        <v/>
      </c>
      <c r="W1157" s="1" t="str">
        <f>""</f>
        <v/>
      </c>
      <c r="X1157" s="1" t="str">
        <f>""</f>
        <v/>
      </c>
      <c r="Y1157" s="1" t="str">
        <f>"496"</f>
        <v>496</v>
      </c>
      <c r="Z1157" t="str">
        <f>"3452294451"</f>
        <v>3452294451</v>
      </c>
      <c r="AA1157" t="str">
        <f>"9224863937"</f>
        <v>9224863937</v>
      </c>
      <c r="AB1157" t="str">
        <f>"9224863937"</f>
        <v>9224863937</v>
      </c>
      <c r="AC1157" t="str">
        <f>"9224863937"</f>
        <v>9224863937</v>
      </c>
      <c r="AD1157" t="str">
        <f>"9224863937"</f>
        <v>9224863937</v>
      </c>
      <c r="AE1157" t="str">
        <f>"3452294451"</f>
        <v>3452294451</v>
      </c>
    </row>
    <row r="1158" spans="1:31" x14ac:dyDescent="0.45">
      <c r="A1158" t="str">
        <f>"РЯБОВА ЕЛЕНА НИКОЛАЕВНА"</f>
        <v>РЯБОВА ЕЛЕНА НИКОЛАЕВНА</v>
      </c>
      <c r="B1158" t="str">
        <f>"1972-12-02"</f>
        <v>1972-12-02</v>
      </c>
      <c r="C1158" t="str">
        <f>"71 17 330224"</f>
        <v>71 17 330224</v>
      </c>
      <c r="D1158" t="str">
        <f>"4279016740517406"</f>
        <v>4279016740517406</v>
      </c>
      <c r="E1158" t="str">
        <f t="shared" si="188"/>
        <v>2021-05-31</v>
      </c>
      <c r="F1158" t="str">
        <f t="shared" si="190"/>
        <v>+</v>
      </c>
      <c r="G1158" t="str">
        <f t="shared" si="189"/>
        <v>+</v>
      </c>
      <c r="H1158" t="str">
        <f>"40817810316992401830"</f>
        <v>40817810316992401830</v>
      </c>
      <c r="I1158" t="str">
        <f>"8647"</f>
        <v>8647</v>
      </c>
      <c r="J1158" t="str">
        <f>"0237"</f>
        <v>0237</v>
      </c>
      <c r="K1158" t="str">
        <f>"100000.00"</f>
        <v>100000.00</v>
      </c>
      <c r="L1158" t="str">
        <f>"627040 ОБЛ ТЮМЕНСКАЯ Р-Н ЯЛУТОРОВСКИЙ   С ХОХЛОВО УЛ ЗАРЕЧНАЯ д. 9"</f>
        <v>627040 ОБЛ ТЮМЕНСКАЯ Р-Н ЯЛУТОРОВСКИЙ   С ХОХЛОВО УЛ ЗАРЕЧНАЯ д. 9</v>
      </c>
      <c r="M1158" t="str">
        <f t="shared" si="191"/>
        <v>2019-08-24</v>
      </c>
      <c r="N1158" t="str">
        <f>"ИП РЯБОВА ЕЛЕНА НИКОЛАЕВНА"</f>
        <v>ИП РЯБОВА ЕЛЕНА НИКОЛАЕВНА</v>
      </c>
      <c r="O1158" t="str">
        <f>"627040"</f>
        <v>627040</v>
      </c>
      <c r="P1158" t="str">
        <f t="shared" si="187"/>
        <v>ОБЛ ТЮМЕНСКАЯ</v>
      </c>
      <c r="Q1158" t="str">
        <f>"Р-Н ЯЛУТОРОВСКИЙ"</f>
        <v>Р-Н ЯЛУТОРОВСКИЙ</v>
      </c>
      <c r="R1158" t="str">
        <f>""</f>
        <v/>
      </c>
      <c r="S1158" t="str">
        <f>"С ХОХЛОВО"</f>
        <v>С ХОХЛОВО</v>
      </c>
      <c r="T1158" t="str">
        <f>"УЛ ЗАРЕЧНАЯ"</f>
        <v>УЛ ЗАРЕЧНАЯ</v>
      </c>
      <c r="U1158" s="1" t="str">
        <f>"9"</f>
        <v>9</v>
      </c>
      <c r="V1158" s="1" t="str">
        <f>""</f>
        <v/>
      </c>
      <c r="W1158" s="1" t="str">
        <f>""</f>
        <v/>
      </c>
      <c r="X1158" s="1" t="str">
        <f>""</f>
        <v/>
      </c>
      <c r="Y1158" s="1" t="str">
        <f>""</f>
        <v/>
      </c>
      <c r="Z1158" t="str">
        <f>""</f>
        <v/>
      </c>
      <c r="AA1158" t="str">
        <f>"+7 (34535) 48312"</f>
        <v>+7 (34535) 48312</v>
      </c>
      <c r="AB1158" t="str">
        <f>"+7 (922) 4885967"</f>
        <v>+7 (922) 4885967</v>
      </c>
      <c r="AC1158" t="str">
        <f>"3453548312"</f>
        <v>3453548312</v>
      </c>
      <c r="AD1158" t="str">
        <f>"9224885967"</f>
        <v>9224885967</v>
      </c>
      <c r="AE1158" t="str">
        <f>""</f>
        <v/>
      </c>
    </row>
    <row r="1159" spans="1:31" x14ac:dyDescent="0.45">
      <c r="A1159" t="str">
        <f>"ВАСКЕВИЧ МАЙЯ ИВАНОВНА"</f>
        <v>ВАСКЕВИЧ МАЙЯ ИВАНОВНА</v>
      </c>
      <c r="B1159" t="str">
        <f>"1966-05-01"</f>
        <v>1966-05-01</v>
      </c>
      <c r="C1159" t="str">
        <f>"67 10 084050"</f>
        <v>67 10 084050</v>
      </c>
      <c r="D1159" t="str">
        <f>"5484016706075793"</f>
        <v>5484016706075793</v>
      </c>
      <c r="E1159" t="str">
        <f t="shared" si="188"/>
        <v>2021-05-31</v>
      </c>
      <c r="F1159" t="str">
        <f t="shared" si="190"/>
        <v>+</v>
      </c>
      <c r="G1159" t="str">
        <f t="shared" si="189"/>
        <v>+</v>
      </c>
      <c r="H1159" t="str">
        <f>"40817810016992401868"</f>
        <v>40817810016992401868</v>
      </c>
      <c r="I1159" t="str">
        <f>"5940"</f>
        <v>5940</v>
      </c>
      <c r="J1159" t="str">
        <f>"7770"</f>
        <v>7770</v>
      </c>
      <c r="K1159" t="str">
        <f>"50000.00"</f>
        <v>50000.00</v>
      </c>
      <c r="L1159" t="str">
        <f>"628400 ОБЛ ТЮМЕНСКАЯ   Г ЛЯЕТОР   МКР 7 д. 68"</f>
        <v>628400 ОБЛ ТЮМЕНСКАЯ   Г ЛЯЕТОР   МКР 7 д. 68</v>
      </c>
      <c r="M1159" t="str">
        <f t="shared" si="191"/>
        <v>2019-08-24</v>
      </c>
      <c r="N1159" t="str">
        <f>"ДС РОДНИЧОК"</f>
        <v>ДС РОДНИЧОК</v>
      </c>
      <c r="O1159" t="str">
        <f>"628400"</f>
        <v>628400</v>
      </c>
      <c r="P1159" t="str">
        <f t="shared" si="187"/>
        <v>ОБЛ ТЮМЕНСКАЯ</v>
      </c>
      <c r="Q1159" t="str">
        <f>"Р-Н СУРГУТСКИЙ"</f>
        <v>Р-Н СУРГУТСКИЙ</v>
      </c>
      <c r="R1159" t="str">
        <f>"Г ЛЯНТОР"</f>
        <v>Г ЛЯНТОР</v>
      </c>
      <c r="S1159" t="str">
        <f>""</f>
        <v/>
      </c>
      <c r="T1159" t="str">
        <f>"УЛ САЛАВАТА ЮЛАЕВА"</f>
        <v>УЛ САЛАВАТА ЮЛАЕВА</v>
      </c>
      <c r="U1159" s="1" t="str">
        <f>"11"</f>
        <v>11</v>
      </c>
      <c r="V1159" s="1" t="str">
        <f>""</f>
        <v/>
      </c>
      <c r="W1159" s="1" t="str">
        <f>""</f>
        <v/>
      </c>
      <c r="X1159" s="1" t="str">
        <f>""</f>
        <v/>
      </c>
      <c r="Y1159" s="1" t="str">
        <f>"5"</f>
        <v>5</v>
      </c>
      <c r="Z1159" t="str">
        <f>"3463824915"</f>
        <v>3463824915</v>
      </c>
      <c r="AA1159" t="str">
        <f>"9224022832"</f>
        <v>9224022832</v>
      </c>
      <c r="AB1159" t="str">
        <f>"9224022832"</f>
        <v>9224022832</v>
      </c>
      <c r="AC1159" t="str">
        <f>"9224022832"</f>
        <v>9224022832</v>
      </c>
      <c r="AD1159" t="str">
        <f>"9224022832"</f>
        <v>9224022832</v>
      </c>
      <c r="AE1159" t="str">
        <f>"3463824915"</f>
        <v>3463824915</v>
      </c>
    </row>
    <row r="1160" spans="1:31" x14ac:dyDescent="0.45">
      <c r="A1160" t="str">
        <f>"НУРИЕВА ТАРАНА ГАРИБ КЫЗЫ"</f>
        <v>НУРИЕВА ТАРАНА ГАРИБ КЫЗЫ</v>
      </c>
      <c r="B1160" t="str">
        <f>"1966-03-18"</f>
        <v>1966-03-18</v>
      </c>
      <c r="C1160" t="str">
        <f>"67 10 083836"</f>
        <v>67 10 083836</v>
      </c>
      <c r="D1160" t="str">
        <f>"5484016704960368"</f>
        <v>5484016704960368</v>
      </c>
      <c r="E1160" t="str">
        <f t="shared" si="188"/>
        <v>2021-05-31</v>
      </c>
      <c r="F1160" t="str">
        <f t="shared" si="190"/>
        <v>+</v>
      </c>
      <c r="G1160" t="str">
        <f t="shared" si="189"/>
        <v>+</v>
      </c>
      <c r="H1160" t="str">
        <f>"40817810216992401943"</f>
        <v>40817810216992401943</v>
      </c>
      <c r="I1160" t="str">
        <f>"5940"</f>
        <v>5940</v>
      </c>
      <c r="J1160" t="str">
        <f>"7770"</f>
        <v>7770</v>
      </c>
      <c r="K1160" t="str">
        <f>"58000.00"</f>
        <v>58000.00</v>
      </c>
      <c r="L1160" t="str">
        <f>"628400 ОБЛ ТЮМЕНСКАЯ Р-Н СУРГУТСКИЙ   Г ЛЯНТОР МКР 7 д. 68"</f>
        <v>628400 ОБЛ ТЮМЕНСКАЯ Р-Н СУРГУТСКИЙ   Г ЛЯНТОР МКР 7 д. 68</v>
      </c>
      <c r="M1160" t="str">
        <f t="shared" si="191"/>
        <v>2019-08-24</v>
      </c>
      <c r="N1160" t="s">
        <v>80</v>
      </c>
      <c r="O1160" t="str">
        <f>"628400"</f>
        <v>628400</v>
      </c>
      <c r="P1160" t="str">
        <f t="shared" si="187"/>
        <v>ОБЛ ТЮМЕНСКАЯ</v>
      </c>
      <c r="Q1160" t="str">
        <f>"АО ХМАО-ЮГРА"</f>
        <v>АО ХМАО-ЮГРА</v>
      </c>
      <c r="R1160" t="str">
        <f>""</f>
        <v/>
      </c>
      <c r="S1160" t="str">
        <f>"Г ЛЯНТОР"</f>
        <v>Г ЛЯНТОР</v>
      </c>
      <c r="T1160" t="str">
        <f>"УЛ МАГИСТРАЛЬНАЯ"</f>
        <v>УЛ МАГИСТРАЛЬНАЯ</v>
      </c>
      <c r="U1160" s="1" t="str">
        <f>"28"</f>
        <v>28</v>
      </c>
      <c r="V1160" s="1" t="str">
        <f>""</f>
        <v/>
      </c>
      <c r="W1160" s="1" t="str">
        <f>""</f>
        <v/>
      </c>
      <c r="X1160" s="1" t="str">
        <f>""</f>
        <v/>
      </c>
      <c r="Y1160" s="1" t="str">
        <f>"52"</f>
        <v>52</v>
      </c>
      <c r="Z1160" t="str">
        <f>"3463824721"</f>
        <v>3463824721</v>
      </c>
      <c r="AA1160" t="str">
        <f>"9634956839"</f>
        <v>9634956839</v>
      </c>
      <c r="AB1160" t="str">
        <f>"9634956839"</f>
        <v>9634956839</v>
      </c>
      <c r="AC1160" t="str">
        <f>"9634956839"</f>
        <v>9634956839</v>
      </c>
      <c r="AD1160" t="str">
        <f>"9634956839"</f>
        <v>9634956839</v>
      </c>
      <c r="AE1160" t="str">
        <f>"3463824721"</f>
        <v>3463824721</v>
      </c>
    </row>
    <row r="1161" spans="1:31" x14ac:dyDescent="0.45">
      <c r="A1161" t="str">
        <f>"ОПРЯ СВЕТЛАНА БОРИСОВНА"</f>
        <v>ОПРЯ СВЕТЛАНА БОРИСОВНА</v>
      </c>
      <c r="B1161" t="str">
        <f>"1973-12-27"</f>
        <v>1973-12-27</v>
      </c>
      <c r="C1161" t="str">
        <f>"67 07 757219"</f>
        <v>67 07 757219</v>
      </c>
      <c r="D1161" t="str">
        <f>"5484016703717298"</f>
        <v>5484016703717298</v>
      </c>
      <c r="E1161" t="str">
        <f t="shared" si="188"/>
        <v>2021-05-31</v>
      </c>
      <c r="F1161" t="str">
        <f t="shared" si="190"/>
        <v>+</v>
      </c>
      <c r="G1161" t="str">
        <f t="shared" si="189"/>
        <v>+</v>
      </c>
      <c r="H1161" t="str">
        <f>"40817810916992401984"</f>
        <v>40817810916992401984</v>
      </c>
      <c r="I1161" t="str">
        <f>"5940"</f>
        <v>5940</v>
      </c>
      <c r="J1161" t="str">
        <f>"7770"</f>
        <v>7770</v>
      </c>
      <c r="K1161" t="str">
        <f>"65000.00"</f>
        <v>65000.00</v>
      </c>
      <c r="L1161" t="str">
        <f>"628400 ОБЛ ТЮМЕНСКАЯ АО СУРГУТСКИЙ   Г ЛЯНТОР МКР 7 д. 68"</f>
        <v>628400 ОБЛ ТЮМЕНСКАЯ АО СУРГУТСКИЙ   Г ЛЯНТОР МКР 7 д. 68</v>
      </c>
      <c r="M1161" t="str">
        <f t="shared" si="191"/>
        <v>2019-08-24</v>
      </c>
      <c r="N1161" t="str">
        <f>"МБДОУ РОДНИЧОК"</f>
        <v>МБДОУ РОДНИЧОК</v>
      </c>
      <c r="O1161" t="str">
        <f>"628400"</f>
        <v>628400</v>
      </c>
      <c r="P1161" t="str">
        <f t="shared" si="187"/>
        <v>ОБЛ ТЮМЕНСКАЯ</v>
      </c>
      <c r="Q1161" t="str">
        <f>"Р-Н СУРГУТСКИЙ"</f>
        <v>Р-Н СУРГУТСКИЙ</v>
      </c>
      <c r="R1161" t="str">
        <f>""</f>
        <v/>
      </c>
      <c r="S1161" t="str">
        <f>"Г ЛЯНТОР"</f>
        <v>Г ЛЯНТОР</v>
      </c>
      <c r="T1161" t="str">
        <f>"МКР 3"</f>
        <v>МКР 3</v>
      </c>
      <c r="U1161" s="1" t="str">
        <f>"31"</f>
        <v>31</v>
      </c>
      <c r="V1161" s="1" t="str">
        <f>""</f>
        <v/>
      </c>
      <c r="W1161" s="1" t="str">
        <f>""</f>
        <v/>
      </c>
      <c r="X1161" s="1" t="str">
        <f>""</f>
        <v/>
      </c>
      <c r="Y1161" s="1" t="str">
        <f>"5"</f>
        <v>5</v>
      </c>
      <c r="Z1161" t="str">
        <f>"3463824721"</f>
        <v>3463824721</v>
      </c>
      <c r="AA1161" t="str">
        <f>"9048719358"</f>
        <v>9048719358</v>
      </c>
      <c r="AB1161" t="str">
        <f>"9048719358"</f>
        <v>9048719358</v>
      </c>
      <c r="AC1161" t="str">
        <f>"9048719358"</f>
        <v>9048719358</v>
      </c>
      <c r="AD1161" t="str">
        <f>"9048719358"</f>
        <v>9048719358</v>
      </c>
      <c r="AE1161" t="str">
        <f>"3463824721"</f>
        <v>3463824721</v>
      </c>
    </row>
    <row r="1162" spans="1:31" x14ac:dyDescent="0.45">
      <c r="A1162" t="str">
        <f>"ТЕЛЕУЦА ИРИНА НИКОЛАЕВНА"</f>
        <v>ТЕЛЕУЦА ИРИНА НИКОЛАЕВНА</v>
      </c>
      <c r="B1162" t="str">
        <f>"1974-11-04"</f>
        <v>1974-11-04</v>
      </c>
      <c r="C1162" t="str">
        <f>"65 05 469009"</f>
        <v>65 05 469009</v>
      </c>
      <c r="D1162" t="str">
        <f>"5313100009458026"</f>
        <v>5313100009458026</v>
      </c>
      <c r="E1162" t="str">
        <f>"2021-03-31"</f>
        <v>2021-03-31</v>
      </c>
      <c r="F1162" t="str">
        <f t="shared" si="190"/>
        <v>+</v>
      </c>
      <c r="G1162" t="str">
        <f t="shared" si="189"/>
        <v>+</v>
      </c>
      <c r="H1162" t="str">
        <f>"40817810616991391298"</f>
        <v>40817810616991391298</v>
      </c>
      <c r="I1162" t="str">
        <f>"7003"</f>
        <v>7003</v>
      </c>
      <c r="J1162" t="str">
        <f>"0806"</f>
        <v>0806</v>
      </c>
      <c r="K1162" t="str">
        <f>"20000.00"</f>
        <v>20000.00</v>
      </c>
      <c r="L1162" t="str">
        <f>"620000 ОБЛ СВЕРДЛОВСКАЯ     П СВОБОДНЫЙ УЛ ЛЕНИНА д. 65"</f>
        <v>620000 ОБЛ СВЕРДЛОВСКАЯ     П СВОБОДНЫЙ УЛ ЛЕНИНА д. 65</v>
      </c>
      <c r="M1162" t="str">
        <f t="shared" si="191"/>
        <v>2019-08-24</v>
      </c>
      <c r="N1162" t="str">
        <f>"В/Ч34103"</f>
        <v>В/Ч34103</v>
      </c>
      <c r="O1162" t="str">
        <f>"620000"</f>
        <v>620000</v>
      </c>
      <c r="P1162" t="str">
        <f>"ОБЛ СВЕРДЛОВСКАЯ"</f>
        <v>ОБЛ СВЕРДЛОВСКАЯ</v>
      </c>
      <c r="Q1162" t="str">
        <f>""</f>
        <v/>
      </c>
      <c r="R1162" t="str">
        <f>""</f>
        <v/>
      </c>
      <c r="S1162" t="str">
        <f>"П СВОБОДНЫЙ"</f>
        <v>П СВОБОДНЫЙ</v>
      </c>
      <c r="T1162" t="str">
        <f>"УЛ КУЗНЕЦОВА"</f>
        <v>УЛ КУЗНЕЦОВА</v>
      </c>
      <c r="U1162" s="1" t="str">
        <f>"60"</f>
        <v>60</v>
      </c>
      <c r="V1162" s="1" t="str">
        <f>""</f>
        <v/>
      </c>
      <c r="W1162" s="1" t="str">
        <f>""</f>
        <v/>
      </c>
      <c r="X1162" s="1" t="str">
        <f>""</f>
        <v/>
      </c>
      <c r="Y1162" s="1" t="str">
        <f>"73"</f>
        <v>73</v>
      </c>
      <c r="Z1162" t="str">
        <f>""</f>
        <v/>
      </c>
      <c r="AA1162" t="str">
        <f>"9122774131"</f>
        <v>9122774131</v>
      </c>
      <c r="AB1162" t="str">
        <f>"9826621772"</f>
        <v>9826621772</v>
      </c>
      <c r="AC1162" t="str">
        <f>"9122774131"</f>
        <v>9122774131</v>
      </c>
      <c r="AD1162" t="str">
        <f>"9826621772"</f>
        <v>9826621772</v>
      </c>
      <c r="AE1162" t="str">
        <f>""</f>
        <v/>
      </c>
    </row>
    <row r="1163" spans="1:31" x14ac:dyDescent="0.45">
      <c r="A1163" t="str">
        <f>"АЛЯБЬЕВА ВЕНЕРА АБДУЛЛОВНА"</f>
        <v>АЛЯБЬЕВА ВЕНЕРА АБДУЛЛОВНА</v>
      </c>
      <c r="B1163" t="str">
        <f>"1960-04-26"</f>
        <v>1960-04-26</v>
      </c>
      <c r="C1163" t="str">
        <f>"67 07 754035"</f>
        <v>67 07 754035</v>
      </c>
      <c r="D1163" t="str">
        <f>"5313100551598963"</f>
        <v>5313100551598963</v>
      </c>
      <c r="E1163" t="str">
        <f>"2020-10-31"</f>
        <v>2020-10-31</v>
      </c>
      <c r="F1163" t="str">
        <f>"Q"</f>
        <v>Q</v>
      </c>
      <c r="G1163" t="str">
        <f>"Q"</f>
        <v>Q</v>
      </c>
      <c r="H1163" t="str">
        <f>"40817810767720682358"</f>
        <v>40817810767720682358</v>
      </c>
      <c r="I1163" t="str">
        <f>"0029"</f>
        <v>0029</v>
      </c>
      <c r="J1163" t="str">
        <f>"0088"</f>
        <v>0088</v>
      </c>
      <c r="K1163" t="str">
        <f>"0.00"</f>
        <v>0.00</v>
      </c>
      <c r="L1163" t="str">
        <f>"625000 ОБЛ ТЮМЕНСКАЯ   Г ТЮМЕНЬ   УЛ ИЗБЫШЕВА д. 8 кв. 63"</f>
        <v>625000 ОБЛ ТЮМЕНСКАЯ   Г ТЮМЕНЬ   УЛ ИЗБЫШЕВА д. 8 кв. 63</v>
      </c>
      <c r="M1163" t="str">
        <f t="shared" si="191"/>
        <v>2019-08-24</v>
      </c>
      <c r="N1163" t="str">
        <f>"ПЕНСИОНЕР"</f>
        <v>ПЕНСИОНЕР</v>
      </c>
      <c r="O1163" t="str">
        <f>"625000"</f>
        <v>625000</v>
      </c>
      <c r="P1163" t="str">
        <f>"ОБЛ ТЮМЕНСКАЯ"</f>
        <v>ОБЛ ТЮМЕНСКАЯ</v>
      </c>
      <c r="Q1163" t="str">
        <f>""</f>
        <v/>
      </c>
      <c r="R1163" t="str">
        <f>"Г ТЮМЕНЬ"</f>
        <v>Г ТЮМЕНЬ</v>
      </c>
      <c r="S1163" t="str">
        <f>""</f>
        <v/>
      </c>
      <c r="T1163" t="str">
        <f>"УЛ ИЗБЫШЕВА"</f>
        <v>УЛ ИЗБЫШЕВА</v>
      </c>
      <c r="U1163" s="1" t="str">
        <f>"8"</f>
        <v>8</v>
      </c>
      <c r="V1163" s="1" t="str">
        <f>""</f>
        <v/>
      </c>
      <c r="W1163" s="1" t="str">
        <f>""</f>
        <v/>
      </c>
      <c r="X1163" s="1" t="str">
        <f>""</f>
        <v/>
      </c>
      <c r="Y1163" s="1" t="str">
        <f>"63"</f>
        <v>63</v>
      </c>
      <c r="Z1163" t="str">
        <f>""</f>
        <v/>
      </c>
      <c r="AA1163" t="str">
        <f>"9224385038"</f>
        <v>9224385038</v>
      </c>
      <c r="AB1163" t="str">
        <f>"9224075983"</f>
        <v>9224075983</v>
      </c>
      <c r="AC1163" t="str">
        <f>"9224385038"</f>
        <v>9224385038</v>
      </c>
      <c r="AD1163" t="str">
        <f>"9224075983"</f>
        <v>9224075983</v>
      </c>
      <c r="AE1163" t="str">
        <f>""</f>
        <v/>
      </c>
    </row>
    <row r="1164" spans="1:31" x14ac:dyDescent="0.45">
      <c r="A1164" t="str">
        <f>"МУСИХИНА АЛЕКСАНДРА СЕРГЕЕВНА"</f>
        <v>МУСИХИНА АЛЕКСАНДРА СЕРГЕЕВНА</v>
      </c>
      <c r="B1164" t="str">
        <f>"1987-05-23"</f>
        <v>1987-05-23</v>
      </c>
      <c r="C1164" t="str">
        <f>"65 11 161512"</f>
        <v>65 11 161512</v>
      </c>
      <c r="D1164" t="str">
        <f>"5313100113062201"</f>
        <v>5313100113062201</v>
      </c>
      <c r="E1164" t="str">
        <f>"2021-03-31"</f>
        <v>2021-03-31</v>
      </c>
      <c r="F1164" t="str">
        <f t="shared" ref="F1164:G1179" si="192">"+"</f>
        <v>+</v>
      </c>
      <c r="G1164" t="str">
        <f t="shared" si="192"/>
        <v>+</v>
      </c>
      <c r="H1164" t="str">
        <f>"40817810016991391319"</f>
        <v>40817810016991391319</v>
      </c>
      <c r="I1164" t="str">
        <f>"7003"</f>
        <v>7003</v>
      </c>
      <c r="J1164" t="str">
        <f>"0503"</f>
        <v>0503</v>
      </c>
      <c r="K1164" t="str">
        <f>"50000.00"</f>
        <v>50000.00</v>
      </c>
      <c r="L1164" t="str">
        <f>"620007 ОБЛ СВЕРДЛОВСКАЯ   Г ЕКАТЕРИНБУРГ   УЛ ЛАТВИЙСКАЯ д. 23"</f>
        <v>620007 ОБЛ СВЕРДЛОВСКАЯ   Г ЕКАТЕРИНБУРГ   УЛ ЛАТВИЙСКАЯ д. 23</v>
      </c>
      <c r="M1164" t="str">
        <f t="shared" si="191"/>
        <v>2019-08-24</v>
      </c>
      <c r="N1164" t="str">
        <f>"ИП ТАЙХРЕБ Е. Ю."</f>
        <v>ИП ТАЙХРЕБ Е. Ю.</v>
      </c>
      <c r="O1164" t="str">
        <f>"620007"</f>
        <v>620007</v>
      </c>
      <c r="P1164" t="str">
        <f>"ОБЛ СВЕРДЛОВСКАЯ"</f>
        <v>ОБЛ СВЕРДЛОВСКАЯ</v>
      </c>
      <c r="Q1164" t="str">
        <f>""</f>
        <v/>
      </c>
      <c r="R1164" t="str">
        <f>"Г ЕКАТЕРИНБУРГ"</f>
        <v>Г ЕКАТЕРИНБУРГ</v>
      </c>
      <c r="S1164" t="str">
        <f>""</f>
        <v/>
      </c>
      <c r="T1164" t="str">
        <f>"УЛ КАРЕЛЬСКАЯ"</f>
        <v>УЛ КАРЕЛЬСКАЯ</v>
      </c>
      <c r="U1164" s="1" t="str">
        <f>"78"</f>
        <v>78</v>
      </c>
      <c r="V1164" s="1" t="str">
        <f>""</f>
        <v/>
      </c>
      <c r="W1164" s="1" t="str">
        <f>""</f>
        <v/>
      </c>
      <c r="X1164" s="1" t="str">
        <f>""</f>
        <v/>
      </c>
      <c r="Y1164" s="1" t="str">
        <f>"4"</f>
        <v>4</v>
      </c>
      <c r="Z1164" t="str">
        <f>""</f>
        <v/>
      </c>
      <c r="AA1164" t="str">
        <f>"9521400025"</f>
        <v>9521400025</v>
      </c>
      <c r="AB1164" t="str">
        <f>"9521400025"</f>
        <v>9521400025</v>
      </c>
      <c r="AC1164" t="str">
        <f>"9521400025"</f>
        <v>9521400025</v>
      </c>
      <c r="AD1164" t="str">
        <f>"9521400025"</f>
        <v>9521400025</v>
      </c>
      <c r="AE1164" t="str">
        <f>""</f>
        <v/>
      </c>
    </row>
    <row r="1165" spans="1:31" x14ac:dyDescent="0.45">
      <c r="A1165" t="str">
        <f>"МУСТАФИНА НАСИМА ГИЛЬМАНОВНА"</f>
        <v>МУСТАФИНА НАСИМА ГИЛЬМАНОВНА</v>
      </c>
      <c r="B1165" t="str">
        <f>"1959-08-13"</f>
        <v>1959-08-13</v>
      </c>
      <c r="C1165" t="str">
        <f>"80 05 169560"</f>
        <v>80 05 169560</v>
      </c>
      <c r="D1165" t="str">
        <f>"5469011609502299"</f>
        <v>5469011609502299</v>
      </c>
      <c r="E1165" t="str">
        <f>"2022-04-30"</f>
        <v>2022-04-30</v>
      </c>
      <c r="F1165" t="str">
        <f t="shared" si="192"/>
        <v>+</v>
      </c>
      <c r="G1165" t="str">
        <f t="shared" si="192"/>
        <v>+</v>
      </c>
      <c r="H1165" t="str">
        <f>"40817810716991391321"</f>
        <v>40817810716991391321</v>
      </c>
      <c r="I1165" t="str">
        <f>"8598"</f>
        <v>8598</v>
      </c>
      <c r="J1165" t="str">
        <f>"0606"</f>
        <v>0606</v>
      </c>
      <c r="K1165" t="str">
        <f>"10000.00"</f>
        <v>10000.00</v>
      </c>
      <c r="L1165" t="str">
        <f>"452920 РЕСП БАШКОРТОСТАН   Г АГИДЕЛЬ   УЛ МИРА д. 10"</f>
        <v>452920 РЕСП БАШКОРТОСТАН   Г АГИДЕЛЬ   УЛ МИРА д. 10</v>
      </c>
      <c r="M1165" t="str">
        <f t="shared" si="191"/>
        <v>2019-08-24</v>
      </c>
      <c r="N1165" t="str">
        <f>"ОПФР Г АГИДЕЛЬ"</f>
        <v>ОПФР Г АГИДЕЛЬ</v>
      </c>
      <c r="O1165" t="str">
        <f>"452920"</f>
        <v>452920</v>
      </c>
      <c r="P1165" t="str">
        <f>"РЕСП БАШКОРТОСТАН"</f>
        <v>РЕСП БАШКОРТОСТАН</v>
      </c>
      <c r="Q1165" t="str">
        <f>""</f>
        <v/>
      </c>
      <c r="R1165" t="str">
        <f>"Г АГИДЕЛЬ"</f>
        <v>Г АГИДЕЛЬ</v>
      </c>
      <c r="S1165" t="str">
        <f>""</f>
        <v/>
      </c>
      <c r="T1165" t="str">
        <f>"Б-Р КОМСОМОЛЬСКИЙ"</f>
        <v>Б-Р КОМСОМОЛЬСКИЙ</v>
      </c>
      <c r="U1165" s="1" t="str">
        <f>"6Б"</f>
        <v>6Б</v>
      </c>
      <c r="V1165" s="1" t="str">
        <f>""</f>
        <v/>
      </c>
      <c r="W1165" s="1" t="str">
        <f>""</f>
        <v/>
      </c>
      <c r="X1165" s="1" t="str">
        <f>""</f>
        <v/>
      </c>
      <c r="Y1165" s="1" t="str">
        <f>"20"</f>
        <v>20</v>
      </c>
      <c r="Z1165" t="str">
        <f>""</f>
        <v/>
      </c>
      <c r="AA1165" t="str">
        <f>"9373399557"</f>
        <v>9373399557</v>
      </c>
      <c r="AB1165" t="str">
        <f>"9373399557"</f>
        <v>9373399557</v>
      </c>
      <c r="AC1165" t="str">
        <f>"9373399557"</f>
        <v>9373399557</v>
      </c>
      <c r="AD1165" t="str">
        <f>"9373399557"</f>
        <v>9373399557</v>
      </c>
      <c r="AE1165" t="str">
        <f>""</f>
        <v/>
      </c>
    </row>
    <row r="1166" spans="1:31" x14ac:dyDescent="0.45">
      <c r="A1166" t="str">
        <f>"ЛЕБЕДЕНКО ЮРИЙ ЮРЬЕВИЧ"</f>
        <v>ЛЕБЕДЕНКО ЮРИЙ ЮРЬЕВИЧ</v>
      </c>
      <c r="B1166" t="str">
        <f>"1957-02-01"</f>
        <v>1957-02-01</v>
      </c>
      <c r="C1166" t="str">
        <f>"65 12 427604"</f>
        <v>65 12 427604</v>
      </c>
      <c r="D1166" t="str">
        <f>"5313100070057665"</f>
        <v>5313100070057665</v>
      </c>
      <c r="E1166" t="str">
        <f>"2021-03-31"</f>
        <v>2021-03-31</v>
      </c>
      <c r="F1166" t="str">
        <f t="shared" si="192"/>
        <v>+</v>
      </c>
      <c r="G1166" t="str">
        <f t="shared" si="192"/>
        <v>+</v>
      </c>
      <c r="H1166" t="str">
        <f>"40817810016991391322"</f>
        <v>40817810016991391322</v>
      </c>
      <c r="I1166" t="str">
        <f>"7003"</f>
        <v>7003</v>
      </c>
      <c r="J1166" t="str">
        <f>"0793"</f>
        <v>0793</v>
      </c>
      <c r="K1166" t="str">
        <f>"60000.00"</f>
        <v>60000.00</v>
      </c>
      <c r="L1166" t="str">
        <f>"620000 ОБЛ СВЕРДЛОВСКАЯ   Г БЕРЕЗОВСКИЙ   УЛ БОЛЬНИЧНЫЙ ГОРОДОК д. 4"</f>
        <v>620000 ОБЛ СВЕРДЛОВСКАЯ   Г БЕРЕЗОВСКИЙ   УЛ БОЛЬНИЧНЫЙ ГОРОДОК д. 4</v>
      </c>
      <c r="M1166" t="str">
        <f t="shared" si="191"/>
        <v>2019-08-24</v>
      </c>
      <c r="N1166" t="str">
        <f>"БОЛЬНИЦА"</f>
        <v>БОЛЬНИЦА</v>
      </c>
      <c r="O1166" t="str">
        <f>"620000"</f>
        <v>620000</v>
      </c>
      <c r="P1166" t="str">
        <f>"ОБЛ СВЕРДЛОВСКАЯ"</f>
        <v>ОБЛ СВЕРДЛОВСКАЯ</v>
      </c>
      <c r="Q1166" t="str">
        <f>""</f>
        <v/>
      </c>
      <c r="R1166" t="str">
        <f>"Г БЕРЕЗОВСКИЙ"</f>
        <v>Г БЕРЕЗОВСКИЙ</v>
      </c>
      <c r="S1166" t="str">
        <f>"П МОНЕТНЫЙ"</f>
        <v>П МОНЕТНЫЙ</v>
      </c>
      <c r="T1166" t="str">
        <f>"УЛ ЛЕРМОНТОВА"</f>
        <v>УЛ ЛЕРМОНТОВА</v>
      </c>
      <c r="U1166" s="1" t="str">
        <f>"10"</f>
        <v>10</v>
      </c>
      <c r="V1166" s="1" t="str">
        <f>""</f>
        <v/>
      </c>
      <c r="W1166" s="1" t="str">
        <f>""</f>
        <v/>
      </c>
      <c r="X1166" s="1" t="str">
        <f>""</f>
        <v/>
      </c>
      <c r="Y1166" s="1" t="str">
        <f>"12"</f>
        <v>12</v>
      </c>
      <c r="Z1166" t="str">
        <f>""</f>
        <v/>
      </c>
      <c r="AA1166" t="str">
        <f>"9501971670"</f>
        <v>9501971670</v>
      </c>
      <c r="AB1166" t="str">
        <f>"9501971670"</f>
        <v>9501971670</v>
      </c>
      <c r="AC1166" t="str">
        <f>"9501971670"</f>
        <v>9501971670</v>
      </c>
      <c r="AD1166" t="str">
        <f>"9501971670"</f>
        <v>9501971670</v>
      </c>
      <c r="AE1166" t="str">
        <f>""</f>
        <v/>
      </c>
    </row>
    <row r="1167" spans="1:31" x14ac:dyDescent="0.45">
      <c r="A1167" t="str">
        <f>"КРАУЗЕ ОЛЕГ АНДРЕЕВИЧ"</f>
        <v>КРАУЗЕ ОЛЕГ АНДРЕЕВИЧ</v>
      </c>
      <c r="B1167" t="str">
        <f>"1969-12-22"</f>
        <v>1969-12-22</v>
      </c>
      <c r="C1167" t="str">
        <f>"74 14 877985"</f>
        <v>74 14 877985</v>
      </c>
      <c r="D1167" t="str">
        <f>"4854630101204231"</f>
        <v>4854630101204231</v>
      </c>
      <c r="E1167" t="str">
        <f>"2020-04-30"</f>
        <v>2020-04-30</v>
      </c>
      <c r="F1167" t="str">
        <f t="shared" si="192"/>
        <v>+</v>
      </c>
      <c r="G1167" t="str">
        <f t="shared" si="192"/>
        <v>+</v>
      </c>
      <c r="H1167" t="str">
        <f>"40817810316992451178"</f>
        <v>40817810316992451178</v>
      </c>
      <c r="I1167" t="str">
        <f>"8369"</f>
        <v>8369</v>
      </c>
      <c r="J1167" t="str">
        <f>"0045"</f>
        <v>0045</v>
      </c>
      <c r="K1167" t="str">
        <f>"130000.00"</f>
        <v>130000.00</v>
      </c>
      <c r="L1167" t="str">
        <f>"000000 ОБЛ ТЮМЕНСКАЯ АО ЯМАЛО-НЕНЕЦКИЙ Г ТАРКО-САЛЕ   УЛ КЕДРОВАЯ д. 1 кв. 4"</f>
        <v>000000 ОБЛ ТЮМЕНСКАЯ АО ЯМАЛО-НЕНЕЦКИЙ Г ТАРКО-САЛЕ   УЛ КЕДРОВАЯ д. 1 кв. 4</v>
      </c>
      <c r="M1167" t="str">
        <f t="shared" si="191"/>
        <v>2019-08-24</v>
      </c>
      <c r="N1167" t="str">
        <f>"ПЕНСИОНЕР"</f>
        <v>ПЕНСИОНЕР</v>
      </c>
      <c r="O1167" t="str">
        <f>"000000"</f>
        <v>000000</v>
      </c>
      <c r="P1167" t="str">
        <f>"ОБЛ ТЮМЕНСКАЯ"</f>
        <v>ОБЛ ТЮМЕНСКАЯ</v>
      </c>
      <c r="Q1167" t="str">
        <f>"АО ЯМАЛО-НЕНЕЦКИЙ"</f>
        <v>АО ЯМАЛО-НЕНЕЦКИЙ</v>
      </c>
      <c r="R1167" t="str">
        <f>"Г ТАРКО-САЛЕ"</f>
        <v>Г ТАРКО-САЛЕ</v>
      </c>
      <c r="S1167" t="str">
        <f>""</f>
        <v/>
      </c>
      <c r="T1167" t="str">
        <f>"УЛ КЕДРОВАЯ"</f>
        <v>УЛ КЕДРОВАЯ</v>
      </c>
      <c r="U1167" s="1" t="str">
        <f>"1"</f>
        <v>1</v>
      </c>
      <c r="V1167" s="1" t="str">
        <f>""</f>
        <v/>
      </c>
      <c r="W1167" s="1" t="str">
        <f>""</f>
        <v/>
      </c>
      <c r="X1167" s="1" t="str">
        <f>""</f>
        <v/>
      </c>
      <c r="Y1167" s="1" t="str">
        <f>"4"</f>
        <v>4</v>
      </c>
      <c r="Z1167" t="str">
        <f>""</f>
        <v/>
      </c>
      <c r="AA1167" t="str">
        <f>"9222878518"</f>
        <v>9222878518</v>
      </c>
      <c r="AB1167" t="str">
        <f>"9222878518"</f>
        <v>9222878518</v>
      </c>
      <c r="AC1167" t="str">
        <f>"9222878518"</f>
        <v>9222878518</v>
      </c>
      <c r="AD1167" t="str">
        <f>"9222878518"</f>
        <v>9222878518</v>
      </c>
      <c r="AE1167" t="str">
        <f>""</f>
        <v/>
      </c>
    </row>
    <row r="1168" spans="1:31" x14ac:dyDescent="0.45">
      <c r="A1168" t="str">
        <f>"МАЗИТОВА АЛИНА РЕНАТОВНА"</f>
        <v>МАЗИТОВА АЛИНА РЕНАТОВНА</v>
      </c>
      <c r="B1168" t="str">
        <f>"1990-01-18"</f>
        <v>1990-01-18</v>
      </c>
      <c r="C1168" t="str">
        <f>"80 10 036520"</f>
        <v>80 10 036520</v>
      </c>
      <c r="D1168" t="str">
        <f>"4279011629256069"</f>
        <v>4279011629256069</v>
      </c>
      <c r="E1168" t="str">
        <f t="shared" ref="E1168:E1187" si="193">"2021-05-31"</f>
        <v>2021-05-31</v>
      </c>
      <c r="F1168" t="str">
        <f t="shared" si="192"/>
        <v>+</v>
      </c>
      <c r="G1168" t="str">
        <f t="shared" si="192"/>
        <v>+</v>
      </c>
      <c r="H1168" t="str">
        <f>"40817810116991391361"</f>
        <v>40817810116991391361</v>
      </c>
      <c r="I1168" t="str">
        <f>"8598"</f>
        <v>8598</v>
      </c>
      <c r="J1168" t="str">
        <f>"0228"</f>
        <v>0228</v>
      </c>
      <c r="K1168" t="str">
        <f>"410000.00"</f>
        <v>410000.00</v>
      </c>
      <c r="L1168" t="str">
        <f>"450000 РЕСП БАШКОРТОСТАН   Г УФА   УЛ КАРЛА МАРКСА д. 30 корп. 1"</f>
        <v>450000 РЕСП БАШКОРТОСТАН   Г УФА   УЛ КАРЛА МАРКСА д. 30 корп. 1</v>
      </c>
      <c r="M1168" t="str">
        <f t="shared" si="191"/>
        <v>2019-08-24</v>
      </c>
      <c r="N1168" t="str">
        <f>"АК БАШНЕФТЬ"</f>
        <v>АК БАШНЕФТЬ</v>
      </c>
      <c r="O1168" t="str">
        <f>"450000"</f>
        <v>450000</v>
      </c>
      <c r="P1168" t="str">
        <f>"РЕСП БАШКОРТОСТАН"</f>
        <v>РЕСП БАШКОРТОСТАН</v>
      </c>
      <c r="Q1168" t="str">
        <f>""</f>
        <v/>
      </c>
      <c r="R1168" t="str">
        <f>"Г УФА"</f>
        <v>Г УФА</v>
      </c>
      <c r="S1168" t="str">
        <f>""</f>
        <v/>
      </c>
      <c r="T1168" t="str">
        <f>"УЛ СТ. КУВЫКИНА"</f>
        <v>УЛ СТ. КУВЫКИНА</v>
      </c>
      <c r="U1168" s="1" t="str">
        <f>"20"</f>
        <v>20</v>
      </c>
      <c r="V1168" s="1" t="str">
        <f>""</f>
        <v/>
      </c>
      <c r="W1168" s="1" t="str">
        <f>""</f>
        <v/>
      </c>
      <c r="X1168" s="1" t="str">
        <f>""</f>
        <v/>
      </c>
      <c r="Y1168" s="1" t="str">
        <f>"66"</f>
        <v>66</v>
      </c>
      <c r="Z1168" t="str">
        <f>"9174689911"</f>
        <v>9174689911</v>
      </c>
      <c r="AA1168" t="str">
        <f>"9174689911"</f>
        <v>9174689911</v>
      </c>
      <c r="AB1168" t="str">
        <f>"9174689911"</f>
        <v>9174689911</v>
      </c>
      <c r="AC1168" t="str">
        <f>"9174689911"</f>
        <v>9174689911</v>
      </c>
      <c r="AD1168" t="str">
        <f>"9174689911"</f>
        <v>9174689911</v>
      </c>
      <c r="AE1168" t="str">
        <f>"9174689911"</f>
        <v>9174689911</v>
      </c>
    </row>
    <row r="1169" spans="1:31" x14ac:dyDescent="0.45">
      <c r="A1169" t="str">
        <f>"КОШЕЛЕВ АЛЕКСАНДР СЕРГЕЕВИЧ"</f>
        <v>КОШЕЛЕВ АЛЕКСАНДР СЕРГЕЕВИЧ</v>
      </c>
      <c r="B1169" t="str">
        <f>"1992-08-22"</f>
        <v>1992-08-22</v>
      </c>
      <c r="C1169" t="str">
        <f>"65 12 481012"</f>
        <v>65 12 481012</v>
      </c>
      <c r="D1169" t="str">
        <f>"4279011602387436"</f>
        <v>4279011602387436</v>
      </c>
      <c r="E1169" t="str">
        <f t="shared" si="193"/>
        <v>2021-05-31</v>
      </c>
      <c r="F1169" t="str">
        <f t="shared" si="192"/>
        <v>+</v>
      </c>
      <c r="G1169" t="str">
        <f>"W"</f>
        <v>W</v>
      </c>
      <c r="H1169" t="str">
        <f>"40817810716991391431"</f>
        <v>40817810716991391431</v>
      </c>
      <c r="I1169" t="str">
        <f>"7003"</f>
        <v>7003</v>
      </c>
      <c r="J1169" t="str">
        <f>"0607"</f>
        <v>0607</v>
      </c>
      <c r="K1169" t="str">
        <f>"180000.00"</f>
        <v>180000.00</v>
      </c>
      <c r="L1169" t="str">
        <f>"620000 ОБЛ СВЕРДЛОВСКАЯ   Г ЕКАТЕРИНБУРГ   УЛ СИМСКАЯ д. 1"</f>
        <v>620000 ОБЛ СВЕРДЛОВСКАЯ   Г ЕКАТЕРИНБУРГ   УЛ СИМСКАЯ д. 1</v>
      </c>
      <c r="M1169" t="str">
        <f t="shared" si="191"/>
        <v>2019-08-24</v>
      </c>
      <c r="N1169" t="str">
        <f>"НАО НИПИГОРМАШ"</f>
        <v>НАО НИПИГОРМАШ</v>
      </c>
      <c r="O1169" t="str">
        <f>"620000"</f>
        <v>620000</v>
      </c>
      <c r="P1169" t="str">
        <f>"ОБЛ СВЕРДЛОВСКАЯ"</f>
        <v>ОБЛ СВЕРДЛОВСКАЯ</v>
      </c>
      <c r="Q1169" t="str">
        <f>"Р-Н ТАЛИЦКИЙ"</f>
        <v>Р-Н ТАЛИЦКИЙ</v>
      </c>
      <c r="R1169" t="str">
        <f>"Г ТАЛИЦА"</f>
        <v>Г ТАЛИЦА</v>
      </c>
      <c r="S1169" t="str">
        <f>""</f>
        <v/>
      </c>
      <c r="T1169" t="str">
        <f>"УЛ ЦИХОВСКОГО"</f>
        <v>УЛ ЦИХОВСКОГО</v>
      </c>
      <c r="U1169" s="1" t="str">
        <f>"18"</f>
        <v>18</v>
      </c>
      <c r="V1169" s="1" t="str">
        <f>""</f>
        <v/>
      </c>
      <c r="W1169" s="1" t="str">
        <f>""</f>
        <v/>
      </c>
      <c r="X1169" s="1" t="str">
        <f>""</f>
        <v/>
      </c>
      <c r="Y1169" s="1" t="str">
        <f>"2"</f>
        <v>2</v>
      </c>
      <c r="Z1169" t="str">
        <f>""</f>
        <v/>
      </c>
      <c r="AA1169" t="str">
        <f>"9995691454"</f>
        <v>9995691454</v>
      </c>
      <c r="AB1169" t="str">
        <f>"9995691454"</f>
        <v>9995691454</v>
      </c>
      <c r="AC1169" t="str">
        <f>"9995691454"</f>
        <v>9995691454</v>
      </c>
      <c r="AD1169" t="str">
        <f>"9995691454"</f>
        <v>9995691454</v>
      </c>
      <c r="AE1169" t="str">
        <f>""</f>
        <v/>
      </c>
    </row>
    <row r="1170" spans="1:31" x14ac:dyDescent="0.45">
      <c r="A1170" t="str">
        <f>"ЕРЫКАЛОВ МАКСИМ АЛЕКСЕЕВИЧ"</f>
        <v>ЕРЫКАЛОВ МАКСИМ АЛЕКСЕЕВИЧ</v>
      </c>
      <c r="B1170" t="str">
        <f>"1985-07-22"</f>
        <v>1985-07-22</v>
      </c>
      <c r="C1170" t="str">
        <f>"65 05 539228"</f>
        <v>65 05 539228</v>
      </c>
      <c r="D1170" t="str">
        <f>"4279011646146947"</f>
        <v>4279011646146947</v>
      </c>
      <c r="E1170" t="str">
        <f t="shared" si="193"/>
        <v>2021-05-31</v>
      </c>
      <c r="F1170" t="str">
        <f t="shared" si="192"/>
        <v>+</v>
      </c>
      <c r="G1170" t="str">
        <f t="shared" si="192"/>
        <v>+</v>
      </c>
      <c r="H1170" t="str">
        <f>"40817810016991391432"</f>
        <v>40817810016991391432</v>
      </c>
      <c r="I1170" t="str">
        <f>"7003"</f>
        <v>7003</v>
      </c>
      <c r="J1170" t="str">
        <f>"0579"</f>
        <v>0579</v>
      </c>
      <c r="K1170" t="str">
        <f>"180000.00"</f>
        <v>180000.00</v>
      </c>
      <c r="L1170" t="str">
        <f>"620000 ОБЛ СВЕРДЛОВСКАЯ   Г ЕКАТЕРИНБУРГ   УЛ ГОРЬКОВО д. 7А"</f>
        <v>620000 ОБЛ СВЕРДЛОВСКАЯ   Г ЕКАТЕРИНБУРГ   УЛ ГОРЬКОВО д. 7А</v>
      </c>
      <c r="M1170" t="str">
        <f t="shared" si="191"/>
        <v>2019-08-24</v>
      </c>
      <c r="N1170" t="str">
        <f>"ООО СМУ 2"</f>
        <v>ООО СМУ 2</v>
      </c>
      <c r="O1170" t="str">
        <f>"620000"</f>
        <v>620000</v>
      </c>
      <c r="P1170" t="str">
        <f>"ОБЛ СВЕРДЛОВСКАЯ"</f>
        <v>ОБЛ СВЕРДЛОВСКАЯ</v>
      </c>
      <c r="Q1170" t="str">
        <f>"Р-Н КАМЕНСКИЙ"</f>
        <v>Р-Н КАМЕНСКИЙ</v>
      </c>
      <c r="R1170" t="str">
        <f>""</f>
        <v/>
      </c>
      <c r="S1170" t="str">
        <f>"С РЫБНИКОВСКОЕ"</f>
        <v>С РЫБНИКОВСКОЕ</v>
      </c>
      <c r="T1170" t="str">
        <f>"УЛ МОЛОДЕЖНАЯ"</f>
        <v>УЛ МОЛОДЕЖНАЯ</v>
      </c>
      <c r="U1170" s="1" t="str">
        <f>"9"</f>
        <v>9</v>
      </c>
      <c r="V1170" s="1" t="str">
        <f>""</f>
        <v/>
      </c>
      <c r="W1170" s="1" t="str">
        <f>""</f>
        <v/>
      </c>
      <c r="X1170" s="1" t="str">
        <f>""</f>
        <v/>
      </c>
      <c r="Y1170" s="1" t="str">
        <f>"2"</f>
        <v>2</v>
      </c>
      <c r="Z1170" t="str">
        <f>""</f>
        <v/>
      </c>
      <c r="AA1170" t="str">
        <f>"9226087229"</f>
        <v>9226087229</v>
      </c>
      <c r="AB1170" t="str">
        <f>"9827471314"</f>
        <v>9827471314</v>
      </c>
      <c r="AC1170" t="str">
        <f>"9226087229"</f>
        <v>9226087229</v>
      </c>
      <c r="AD1170" t="str">
        <f>"9827471314"</f>
        <v>9827471314</v>
      </c>
      <c r="AE1170" t="str">
        <f>""</f>
        <v/>
      </c>
    </row>
    <row r="1171" spans="1:31" x14ac:dyDescent="0.45">
      <c r="A1171" t="str">
        <f>"ПАНКРАЦ ДМИТРИЙ ИВАНОВИЧ"</f>
        <v>ПАНКРАЦ ДМИТРИЙ ИВАНОВИЧ</v>
      </c>
      <c r="B1171" t="str">
        <f>"1967-08-08"</f>
        <v>1967-08-08</v>
      </c>
      <c r="C1171" t="str">
        <f>"65 12 423929"</f>
        <v>65 12 423929</v>
      </c>
      <c r="D1171" t="str">
        <f>"4279011676980546"</f>
        <v>4279011676980546</v>
      </c>
      <c r="E1171" t="str">
        <f t="shared" si="193"/>
        <v>2021-05-31</v>
      </c>
      <c r="F1171" t="str">
        <f t="shared" si="192"/>
        <v>+</v>
      </c>
      <c r="G1171" t="str">
        <f t="shared" si="192"/>
        <v>+</v>
      </c>
      <c r="H1171" t="str">
        <f>"40817810316991391433"</f>
        <v>40817810316991391433</v>
      </c>
      <c r="I1171" t="str">
        <f>"7003"</f>
        <v>7003</v>
      </c>
      <c r="J1171" t="str">
        <f>"0857"</f>
        <v>0857</v>
      </c>
      <c r="K1171" t="str">
        <f>"10000.00"</f>
        <v>10000.00</v>
      </c>
      <c r="L1171" t="str">
        <f>"620000 ОБЛ СВЕРДЛОВСКАЯ   Г КРАСНОТУРЬИНСК   УЛ СЕРОВА д. 12"</f>
        <v>620000 ОБЛ СВЕРДЛОВСКАЯ   Г КРАСНОТУРЬИНСК   УЛ СЕРОВА д. 12</v>
      </c>
      <c r="M1171" t="str">
        <f t="shared" si="191"/>
        <v>2019-08-24</v>
      </c>
      <c r="N1171" t="str">
        <f>"СИБУР"</f>
        <v>СИБУР</v>
      </c>
      <c r="O1171" t="str">
        <f>"620000"</f>
        <v>620000</v>
      </c>
      <c r="P1171" t="str">
        <f>"ОБЛ СВЕРДЛОВСКАЯ"</f>
        <v>ОБЛ СВЕРДЛОВСКАЯ</v>
      </c>
      <c r="Q1171" t="str">
        <f>""</f>
        <v/>
      </c>
      <c r="R1171" t="str">
        <f>"Г КРАСНОТУРЬИНСК"</f>
        <v>Г КРАСНОТУРЬИНСК</v>
      </c>
      <c r="S1171" t="str">
        <f>""</f>
        <v/>
      </c>
      <c r="T1171" t="str">
        <f>"УЛ ЧКАЛОВА"</f>
        <v>УЛ ЧКАЛОВА</v>
      </c>
      <c r="U1171" s="1" t="str">
        <f>"27"</f>
        <v>27</v>
      </c>
      <c r="V1171" s="1" t="str">
        <f>""</f>
        <v/>
      </c>
      <c r="W1171" s="1" t="str">
        <f>""</f>
        <v/>
      </c>
      <c r="X1171" s="1" t="str">
        <f>""</f>
        <v/>
      </c>
      <c r="Y1171" s="1" t="str">
        <f>"33"</f>
        <v>33</v>
      </c>
      <c r="Z1171" t="str">
        <f>"9501919033"</f>
        <v>9501919033</v>
      </c>
      <c r="AA1171" t="str">
        <f>"9920167688"</f>
        <v>9920167688</v>
      </c>
      <c r="AB1171" t="str">
        <f>"9920167688"</f>
        <v>9920167688</v>
      </c>
      <c r="AC1171" t="str">
        <f>"9221384369"</f>
        <v>9221384369</v>
      </c>
      <c r="AD1171" t="str">
        <f>"9221384369"</f>
        <v>9221384369</v>
      </c>
      <c r="AE1171" t="str">
        <f>"9501919033"</f>
        <v>9501919033</v>
      </c>
    </row>
    <row r="1172" spans="1:31" x14ac:dyDescent="0.45">
      <c r="A1172" t="str">
        <f>"КОРОБЕЙНИКОВ АЛЕКСАНДР ПАВЛОВИЧ"</f>
        <v>КОРОБЕЙНИКОВ АЛЕКСАНДР ПАВЛОВИЧ</v>
      </c>
      <c r="B1172" t="str">
        <f>"1975-01-14"</f>
        <v>1975-01-14</v>
      </c>
      <c r="C1172" t="str">
        <f>"75 05 930389"</f>
        <v>75 05 930389</v>
      </c>
      <c r="D1172" t="str">
        <f>"4279011686174544"</f>
        <v>4279011686174544</v>
      </c>
      <c r="E1172" t="str">
        <f t="shared" si="193"/>
        <v>2021-05-31</v>
      </c>
      <c r="F1172" t="str">
        <f t="shared" si="192"/>
        <v>+</v>
      </c>
      <c r="G1172" t="str">
        <f t="shared" si="192"/>
        <v>+</v>
      </c>
      <c r="H1172" t="str">
        <f>"40817810516991391437"</f>
        <v>40817810516991391437</v>
      </c>
      <c r="I1172" t="str">
        <f>"8597"</f>
        <v>8597</v>
      </c>
      <c r="J1172" t="str">
        <f>"0326"</f>
        <v>0326</v>
      </c>
      <c r="K1172" t="str">
        <f>"200000.00"</f>
        <v>200000.00</v>
      </c>
      <c r="L1172" t="str">
        <f>"454000 ОБЛ ЧЕЛЯБИНСКАЯ   Г ТРЕХГОРНЫЙ   Ш ВОСТОЧНОЕ д. 2 корп. А"</f>
        <v>454000 ОБЛ ЧЕЛЯБИНСКАЯ   Г ТРЕХГОРНЫЙ   Ш ВОСТОЧНОЕ д. 2 корп. А</v>
      </c>
      <c r="M1172" t="str">
        <f t="shared" si="191"/>
        <v>2019-08-24</v>
      </c>
      <c r="N1172" t="s">
        <v>81</v>
      </c>
      <c r="O1172" t="str">
        <f>"454000"</f>
        <v>454000</v>
      </c>
      <c r="P1172" t="str">
        <f>"ОБЛ ЧЕЛЯБИНСКАЯ"</f>
        <v>ОБЛ ЧЕЛЯБИНСКАЯ</v>
      </c>
      <c r="Q1172" t="str">
        <f>""</f>
        <v/>
      </c>
      <c r="R1172" t="str">
        <f>"Г ТРЕХГОРНЫЙ"</f>
        <v>Г ТРЕХГОРНЫЙ</v>
      </c>
      <c r="S1172" t="str">
        <f>""</f>
        <v/>
      </c>
      <c r="T1172" t="str">
        <f>"УЛ 50 ЛЕТ ПОБЕДЫ"</f>
        <v>УЛ 50 ЛЕТ ПОБЕДЫ</v>
      </c>
      <c r="U1172" s="1" t="str">
        <f>"22"</f>
        <v>22</v>
      </c>
      <c r="V1172" s="1" t="str">
        <f>""</f>
        <v/>
      </c>
      <c r="W1172" s="1" t="str">
        <f>""</f>
        <v/>
      </c>
      <c r="X1172" s="1" t="str">
        <f>""</f>
        <v/>
      </c>
      <c r="Y1172" s="1" t="str">
        <f>"29"</f>
        <v>29</v>
      </c>
      <c r="Z1172" t="str">
        <f>"9123105631"</f>
        <v>9123105631</v>
      </c>
      <c r="AA1172" t="str">
        <f>"41357"</f>
        <v>41357</v>
      </c>
      <c r="AB1172" t="str">
        <f>"9821052446"</f>
        <v>9821052446</v>
      </c>
      <c r="AC1172" t="str">
        <f>"9821052446"</f>
        <v>9821052446</v>
      </c>
      <c r="AD1172" t="str">
        <f>"9821052446"</f>
        <v>9821052446</v>
      </c>
      <c r="AE1172" t="str">
        <f>"9123105631"</f>
        <v>9123105631</v>
      </c>
    </row>
    <row r="1173" spans="1:31" x14ac:dyDescent="0.45">
      <c r="A1173" t="str">
        <f>"ПРИТУЛОВСКАЯ ЮЛИЯ АЛЕКСЕЕВНА"</f>
        <v>ПРИТУЛОВСКАЯ ЮЛИЯ АЛЕКСЕЕВНА</v>
      </c>
      <c r="B1173" t="str">
        <f>"1975-06-07"</f>
        <v>1975-06-07</v>
      </c>
      <c r="C1173" t="str">
        <f>"75 00 320904"</f>
        <v>75 00 320904</v>
      </c>
      <c r="D1173" t="str">
        <f>"4279011638647738"</f>
        <v>4279011638647738</v>
      </c>
      <c r="E1173" t="str">
        <f t="shared" si="193"/>
        <v>2021-05-31</v>
      </c>
      <c r="F1173" t="str">
        <f t="shared" si="192"/>
        <v>+</v>
      </c>
      <c r="G1173" t="str">
        <f t="shared" si="192"/>
        <v>+</v>
      </c>
      <c r="H1173" t="str">
        <f>"40817810916991391435"</f>
        <v>40817810916991391435</v>
      </c>
      <c r="I1173" t="str">
        <f>"8597"</f>
        <v>8597</v>
      </c>
      <c r="J1173" t="str">
        <f>"0195"</f>
        <v>0195</v>
      </c>
      <c r="K1173" t="str">
        <f>"99000.00"</f>
        <v>99000.00</v>
      </c>
      <c r="L1173" t="str">
        <f>"454000 ОБЛ ЧЕЛЯБИНСКАЯ   Г ЧЕЛЯБИНСК   УЛ СМИРНЫХ д. 21"</f>
        <v>454000 ОБЛ ЧЕЛЯБИНСКАЯ   Г ЧЕЛЯБИНСК   УЛ СМИРНЫХ д. 21</v>
      </c>
      <c r="M1173" t="str">
        <f t="shared" si="191"/>
        <v>2019-08-24</v>
      </c>
      <c r="N1173" t="str">
        <f>"ИП СТРЕКАЛОВСКИХ ЕЛЕНА ГЕННАДЬЕВНА"</f>
        <v>ИП СТРЕКАЛОВСКИХ ЕЛЕНА ГЕННАДЬЕВНА</v>
      </c>
      <c r="O1173" t="str">
        <f>"454000"</f>
        <v>454000</v>
      </c>
      <c r="P1173" t="str">
        <f>"ОБЛ ЧЕЛЯБИНСКАЯ"</f>
        <v>ОБЛ ЧЕЛЯБИНСКАЯ</v>
      </c>
      <c r="Q1173" t="str">
        <f>""</f>
        <v/>
      </c>
      <c r="R1173" t="str">
        <f>"Г ЧЕЛЯБИНСК"</f>
        <v>Г ЧЕЛЯБИНСК</v>
      </c>
      <c r="S1173" t="str">
        <f>""</f>
        <v/>
      </c>
      <c r="T1173" t="str">
        <f>"УЛ ИРТЫШСКАЯ"</f>
        <v>УЛ ИРТЫШСКАЯ</v>
      </c>
      <c r="U1173" s="1" t="str">
        <f>"27"</f>
        <v>27</v>
      </c>
      <c r="V1173" s="1" t="str">
        <f>""</f>
        <v/>
      </c>
      <c r="W1173" s="1" t="str">
        <f>""</f>
        <v/>
      </c>
      <c r="X1173" s="1" t="str">
        <f>""</f>
        <v/>
      </c>
      <c r="Y1173" s="1" t="str">
        <f>""</f>
        <v/>
      </c>
      <c r="Z1173" t="str">
        <f>""</f>
        <v/>
      </c>
      <c r="AA1173" t="str">
        <f>"9823160346"</f>
        <v>9823160346</v>
      </c>
      <c r="AB1173" t="str">
        <f>"9823160346"</f>
        <v>9823160346</v>
      </c>
      <c r="AC1173" t="str">
        <f>"9823160346"</f>
        <v>9823160346</v>
      </c>
      <c r="AD1173" t="str">
        <f>"9823160346"</f>
        <v>9823160346</v>
      </c>
      <c r="AE1173" t="str">
        <f>""</f>
        <v/>
      </c>
    </row>
    <row r="1174" spans="1:31" x14ac:dyDescent="0.45">
      <c r="A1174" t="str">
        <f>"ЯЛАЕВ СЕРГЕЙ РАШИТОВИЧ"</f>
        <v>ЯЛАЕВ СЕРГЕЙ РАШИТОВИЧ</v>
      </c>
      <c r="B1174" t="str">
        <f>"1990-03-17"</f>
        <v>1990-03-17</v>
      </c>
      <c r="C1174" t="str">
        <f>"65 18 647343"</f>
        <v>65 18 647343</v>
      </c>
      <c r="D1174" t="str">
        <f>"4279011685536339"</f>
        <v>4279011685536339</v>
      </c>
      <c r="E1174" t="str">
        <f t="shared" si="193"/>
        <v>2021-05-31</v>
      </c>
      <c r="F1174" t="str">
        <f t="shared" si="192"/>
        <v>+</v>
      </c>
      <c r="G1174" t="str">
        <f t="shared" si="192"/>
        <v>+</v>
      </c>
      <c r="H1174" t="str">
        <f>"40817810216991391436"</f>
        <v>40817810216991391436</v>
      </c>
      <c r="I1174" t="str">
        <f>"7003"</f>
        <v>7003</v>
      </c>
      <c r="J1174" t="str">
        <f>"0378"</f>
        <v>0378</v>
      </c>
      <c r="K1174" t="str">
        <f>"43000.00"</f>
        <v>43000.00</v>
      </c>
      <c r="L1174" t="str">
        <f>"620000 ОБЛ СВЕРДЛОВСКАЯ   Г ЕКАТЕРИНБУРГ   УЛ РЕПИНА д. 42 корп. А офис 202"</f>
        <v>620000 ОБЛ СВЕРДЛОВСКАЯ   Г ЕКАТЕРИНБУРГ   УЛ РЕПИНА д. 42 корп. А офис 202</v>
      </c>
      <c r="M1174" t="str">
        <f t="shared" si="191"/>
        <v>2019-08-24</v>
      </c>
      <c r="N1174" t="str">
        <f>"ООО ПЕРФОРМАНС-УРАЛ"</f>
        <v>ООО ПЕРФОРМАНС-УРАЛ</v>
      </c>
      <c r="O1174" t="str">
        <f>"620000"</f>
        <v>620000</v>
      </c>
      <c r="P1174" t="str">
        <f>"ОБЛ СВЕРДЛОВСКАЯ"</f>
        <v>ОБЛ СВЕРДЛОВСКАЯ</v>
      </c>
      <c r="Q1174" t="str">
        <f>""</f>
        <v/>
      </c>
      <c r="R1174" t="str">
        <f>"Г ВЕРХНЯЯ ПЫШМА"</f>
        <v>Г ВЕРХНЯЯ ПЫШМА</v>
      </c>
      <c r="S1174" t="str">
        <f>"П ПОЛОВИННЫЙ"</f>
        <v>П ПОЛОВИННЫЙ</v>
      </c>
      <c r="T1174" t="str">
        <f>"ПЕР СОЛНЕЧНЫЙ"</f>
        <v>ПЕР СОЛНЕЧНЫЙ</v>
      </c>
      <c r="U1174" s="1" t="str">
        <f>"9"</f>
        <v>9</v>
      </c>
      <c r="V1174" s="1" t="str">
        <f>""</f>
        <v/>
      </c>
      <c r="W1174" s="1" t="str">
        <f>""</f>
        <v/>
      </c>
      <c r="X1174" s="1" t="str">
        <f>""</f>
        <v/>
      </c>
      <c r="Y1174" s="1" t="str">
        <f>""</f>
        <v/>
      </c>
      <c r="Z1174" t="str">
        <f>"+7 (932) 1111657"</f>
        <v>+7 (932) 1111657</v>
      </c>
      <c r="AA1174" t="str">
        <f>"+7 (932) 1111657"</f>
        <v>+7 (932) 1111657</v>
      </c>
      <c r="AB1174" t="str">
        <f>"+7 (932) 1111657"</f>
        <v>+7 (932) 1111657</v>
      </c>
      <c r="AC1174" t="str">
        <f>"9321111657"</f>
        <v>9321111657</v>
      </c>
      <c r="AD1174" t="str">
        <f>"9321111657"</f>
        <v>9321111657</v>
      </c>
      <c r="AE1174" t="str">
        <f>"9321111657"</f>
        <v>9321111657</v>
      </c>
    </row>
    <row r="1175" spans="1:31" x14ac:dyDescent="0.45">
      <c r="A1175" t="str">
        <f>"ТОЛКУШЕНКОВА ОЛЬГА АНАТОЛЬЕВНА"</f>
        <v>ТОЛКУШЕНКОВА ОЛЬГА АНАТОЛЬЕВНА</v>
      </c>
      <c r="B1175" t="str">
        <f>"1980-05-20"</f>
        <v>1980-05-20</v>
      </c>
      <c r="C1175" t="str">
        <f>"80 01 160438"</f>
        <v>80 01 160438</v>
      </c>
      <c r="D1175" t="str">
        <f>"4279011641286938"</f>
        <v>4279011641286938</v>
      </c>
      <c r="E1175" t="str">
        <f t="shared" si="193"/>
        <v>2021-05-31</v>
      </c>
      <c r="F1175" t="str">
        <f t="shared" si="192"/>
        <v>+</v>
      </c>
      <c r="G1175" t="str">
        <f t="shared" si="192"/>
        <v>+</v>
      </c>
      <c r="H1175" t="str">
        <f>"40817810816991391438"</f>
        <v>40817810816991391438</v>
      </c>
      <c r="I1175" t="str">
        <f>"8598"</f>
        <v>8598</v>
      </c>
      <c r="J1175" t="str">
        <f>"0694"</f>
        <v>0694</v>
      </c>
      <c r="K1175" t="str">
        <f>"82000.00"</f>
        <v>82000.00</v>
      </c>
      <c r="L1175" t="str">
        <f>"450000 РЕСП БАШКОРТОСТАН   Г КУМЕРТАУ   УЛ НОВОЗАРИНСКАЯ д. 1"</f>
        <v>450000 РЕСП БАШКОРТОСТАН   Г КУМЕРТАУ   УЛ НОВОЗАРИНСКАЯ д. 1</v>
      </c>
      <c r="M1175" t="str">
        <f t="shared" si="191"/>
        <v>2019-08-24</v>
      </c>
      <c r="N1175" t="s">
        <v>82</v>
      </c>
      <c r="O1175" t="str">
        <f>"450000"</f>
        <v>450000</v>
      </c>
      <c r="P1175" t="str">
        <f>"РЕСП БАШКОРТОСТАН"</f>
        <v>РЕСП БАШКОРТОСТАН</v>
      </c>
      <c r="Q1175" t="str">
        <f>""</f>
        <v/>
      </c>
      <c r="R1175" t="str">
        <f>"Г КУМЕРТАУ"</f>
        <v>Г КУМЕРТАУ</v>
      </c>
      <c r="S1175" t="str">
        <f>""</f>
        <v/>
      </c>
      <c r="T1175" t="str">
        <f>"УЛ КУЮРГАЗИНСКАЯ"</f>
        <v>УЛ КУЮРГАЗИНСКАЯ</v>
      </c>
      <c r="U1175" s="1" t="str">
        <f>"4"</f>
        <v>4</v>
      </c>
      <c r="V1175" s="1" t="str">
        <f>""</f>
        <v/>
      </c>
      <c r="W1175" s="1" t="str">
        <f>""</f>
        <v/>
      </c>
      <c r="X1175" s="1" t="str">
        <f>""</f>
        <v/>
      </c>
      <c r="Y1175" s="1" t="str">
        <f>"77"</f>
        <v>77</v>
      </c>
      <c r="Z1175" t="str">
        <f>""</f>
        <v/>
      </c>
      <c r="AA1175" t="str">
        <f>"9050011519"</f>
        <v>9050011519</v>
      </c>
      <c r="AB1175" t="str">
        <f>"9050011519"</f>
        <v>9050011519</v>
      </c>
      <c r="AC1175" t="str">
        <f>"9050011519"</f>
        <v>9050011519</v>
      </c>
      <c r="AD1175" t="str">
        <f>"9050011519"</f>
        <v>9050011519</v>
      </c>
      <c r="AE1175" t="str">
        <f>""</f>
        <v/>
      </c>
    </row>
    <row r="1176" spans="1:31" x14ac:dyDescent="0.45">
      <c r="A1176" t="str">
        <f>"АРТЕМЬЕВА СВЕТЛАНА СЕРГЕЕВНА"</f>
        <v>АРТЕМЬЕВА СВЕТЛАНА СЕРГЕЕВНА</v>
      </c>
      <c r="B1176" t="str">
        <f>"1989-04-28"</f>
        <v>1989-04-28</v>
      </c>
      <c r="C1176" t="str">
        <f>"65 18 640647"</f>
        <v>65 18 640647</v>
      </c>
      <c r="D1176" t="str">
        <f>"4279011693453923"</f>
        <v>4279011693453923</v>
      </c>
      <c r="E1176" t="str">
        <f t="shared" si="193"/>
        <v>2021-05-31</v>
      </c>
      <c r="F1176" t="str">
        <f t="shared" si="192"/>
        <v>+</v>
      </c>
      <c r="G1176" t="str">
        <f t="shared" si="192"/>
        <v>+</v>
      </c>
      <c r="H1176" t="str">
        <f>"40817810516991391440"</f>
        <v>40817810516991391440</v>
      </c>
      <c r="I1176" t="str">
        <f>"7003"</f>
        <v>7003</v>
      </c>
      <c r="J1176" t="str">
        <f>"0588"</f>
        <v>0588</v>
      </c>
      <c r="K1176" t="str">
        <f>"88000.00"</f>
        <v>88000.00</v>
      </c>
      <c r="L1176" t="str">
        <f>"623400 ОБЛ СВЕРДЛОВСКАЯ   Г КАМЕНСК-УРАЛЬСКИЙ   УЛ РЯБОВА д. 6"</f>
        <v>623400 ОБЛ СВЕРДЛОВСКАЯ   Г КАМЕНСК-УРАЛЬСКИЙ   УЛ РЯБОВА д. 6</v>
      </c>
      <c r="M1176" t="str">
        <f t="shared" si="191"/>
        <v>2019-08-24</v>
      </c>
      <c r="N1176" t="str">
        <f>"ОАО КУЛЗ"</f>
        <v>ОАО КУЛЗ</v>
      </c>
      <c r="O1176" t="str">
        <f>"620000"</f>
        <v>620000</v>
      </c>
      <c r="P1176" t="str">
        <f>"ОБЛ СВЕРДЛОВСКАЯ"</f>
        <v>ОБЛ СВЕРДЛОВСКАЯ</v>
      </c>
      <c r="Q1176" t="str">
        <f>""</f>
        <v/>
      </c>
      <c r="R1176" t="str">
        <f>"Г КАМЕНСК-УРАЛЬСКИЙ"</f>
        <v>Г КАМЕНСК-УРАЛЬСКИЙ</v>
      </c>
      <c r="S1176" t="str">
        <f>""</f>
        <v/>
      </c>
      <c r="T1176" t="str">
        <f>"УЛ ЧЕЛЯБИНСКАЯ"</f>
        <v>УЛ ЧЕЛЯБИНСКАЯ</v>
      </c>
      <c r="U1176" s="1" t="str">
        <f>"39"</f>
        <v>39</v>
      </c>
      <c r="V1176" s="1" t="str">
        <f>""</f>
        <v/>
      </c>
      <c r="W1176" s="1" t="str">
        <f>""</f>
        <v/>
      </c>
      <c r="X1176" s="1" t="str">
        <f>""</f>
        <v/>
      </c>
      <c r="Y1176" s="1" t="str">
        <f>"54"</f>
        <v>54</v>
      </c>
      <c r="Z1176" t="str">
        <f>"0000000000"</f>
        <v>0000000000</v>
      </c>
      <c r="AA1176" t="str">
        <f>"9089029433"</f>
        <v>9089029433</v>
      </c>
      <c r="AB1176" t="str">
        <f>"9530029908"</f>
        <v>9530029908</v>
      </c>
      <c r="AC1176" t="str">
        <f>"9089029433"</f>
        <v>9089029433</v>
      </c>
      <c r="AD1176" t="str">
        <f>"9530029908"</f>
        <v>9530029908</v>
      </c>
      <c r="AE1176" t="str">
        <f>""</f>
        <v/>
      </c>
    </row>
    <row r="1177" spans="1:31" x14ac:dyDescent="0.45">
      <c r="A1177" t="str">
        <f>"САБОВА ЕКАТЕРИНА ЕВГЕНЬЕВНА"</f>
        <v>САБОВА ЕКАТЕРИНА ЕВГЕНЬЕВНА</v>
      </c>
      <c r="B1177" t="str">
        <f>"1991-10-12"</f>
        <v>1991-10-12</v>
      </c>
      <c r="C1177" t="str">
        <f>"65 11 230369"</f>
        <v>65 11 230369</v>
      </c>
      <c r="D1177" t="str">
        <f>"4279011637344139"</f>
        <v>4279011637344139</v>
      </c>
      <c r="E1177" t="str">
        <f t="shared" si="193"/>
        <v>2021-05-31</v>
      </c>
      <c r="F1177" t="str">
        <f t="shared" si="192"/>
        <v>+</v>
      </c>
      <c r="G1177" t="str">
        <f t="shared" si="192"/>
        <v>+</v>
      </c>
      <c r="H1177" t="str">
        <f>"40817810116991391565"</f>
        <v>40817810116991391565</v>
      </c>
      <c r="I1177" t="str">
        <f>"7003"</f>
        <v>7003</v>
      </c>
      <c r="J1177" t="str">
        <f>"0412"</f>
        <v>0412</v>
      </c>
      <c r="K1177" t="str">
        <f>"150000.00"</f>
        <v>150000.00</v>
      </c>
      <c r="L1177" t="str">
        <f>"624997 ОБЛ СВЕРДЛОВСКАЯ   Г СЕРОВ   УЛ ЖЕЛЕЗНОДОРОЖНИКОВ д. 0"</f>
        <v>624997 ОБЛ СВЕРДЛОВСКАЯ   Г СЕРОВ   УЛ ЖЕЛЕЗНОДОРОЖНИКОВ д. 0</v>
      </c>
      <c r="M1177" t="str">
        <f t="shared" si="191"/>
        <v>2019-08-24</v>
      </c>
      <c r="N1177" t="str">
        <f>"000"</f>
        <v>000</v>
      </c>
      <c r="O1177" t="str">
        <f>"624997"</f>
        <v>624997</v>
      </c>
      <c r="P1177" t="str">
        <f>"ОБЛ СВЕРДЛОВСКАЯ"</f>
        <v>ОБЛ СВЕРДЛОВСКАЯ</v>
      </c>
      <c r="Q1177" t="str">
        <f>""</f>
        <v/>
      </c>
      <c r="R1177" t="str">
        <f>"Г СЕРОВ"</f>
        <v>Г СЕРОВ</v>
      </c>
      <c r="S1177" t="str">
        <f>""</f>
        <v/>
      </c>
      <c r="T1177" t="str">
        <f>"УЛ ЖЕЛЕЗНОДОРОЖНИКОВ"</f>
        <v>УЛ ЖЕЛЕЗНОДОРОЖНИКОВ</v>
      </c>
      <c r="U1177" s="1" t="str">
        <f>"12"</f>
        <v>12</v>
      </c>
      <c r="V1177" s="1" t="str">
        <f>""</f>
        <v/>
      </c>
      <c r="W1177" s="1" t="str">
        <f>""</f>
        <v/>
      </c>
      <c r="X1177" s="1" t="str">
        <f>""</f>
        <v/>
      </c>
      <c r="Y1177" s="1" t="str">
        <f>"22"</f>
        <v>22</v>
      </c>
      <c r="Z1177" t="str">
        <f>"9827647769"</f>
        <v>9827647769</v>
      </c>
      <c r="AA1177" t="str">
        <f>"9827647769"</f>
        <v>9827647769</v>
      </c>
      <c r="AB1177" t="str">
        <f>"9827647769"</f>
        <v>9827647769</v>
      </c>
      <c r="AC1177" t="str">
        <f>"9827647769"</f>
        <v>9827647769</v>
      </c>
      <c r="AD1177" t="str">
        <f>"9827647769"</f>
        <v>9827647769</v>
      </c>
      <c r="AE1177" t="str">
        <f>"9827647769"</f>
        <v>9827647769</v>
      </c>
    </row>
    <row r="1178" spans="1:31" x14ac:dyDescent="0.45">
      <c r="A1178" t="str">
        <f>"МАЛОФЕЕВ СЕРГЕЙ ВАЛЕРЬЕВИЧ"</f>
        <v>МАЛОФЕЕВ СЕРГЕЙ ВАЛЕРЬЕВИЧ</v>
      </c>
      <c r="B1178" t="str">
        <f>"1981-02-07"</f>
        <v>1981-02-07</v>
      </c>
      <c r="C1178" t="str">
        <f>"69 09 357334"</f>
        <v>69 09 357334</v>
      </c>
      <c r="D1178" t="str">
        <f>"4279011663985797"</f>
        <v>4279011663985797</v>
      </c>
      <c r="E1178" t="str">
        <f t="shared" si="193"/>
        <v>2021-05-31</v>
      </c>
      <c r="F1178" t="str">
        <f t="shared" si="192"/>
        <v>+</v>
      </c>
      <c r="G1178" t="str">
        <f t="shared" si="192"/>
        <v>+</v>
      </c>
      <c r="H1178" t="str">
        <f>"40817810016991391571"</f>
        <v>40817810016991391571</v>
      </c>
      <c r="I1178" t="str">
        <f>"7003"</f>
        <v>7003</v>
      </c>
      <c r="J1178" t="str">
        <f>"0793"</f>
        <v>0793</v>
      </c>
      <c r="K1178" t="str">
        <f>"25000.00"</f>
        <v>25000.00</v>
      </c>
      <c r="L1178" t="str">
        <f>"620000 ОБЛ СВЕРДЛОВСКАЯ   Г БЕРЕЗОВСКИЙ   УЛ ПРОМЗОНА д. 1"</f>
        <v>620000 ОБЛ СВЕРДЛОВСКАЯ   Г БЕРЕЗОВСКИЙ   УЛ ПРОМЗОНА д. 1</v>
      </c>
      <c r="M1178" t="str">
        <f t="shared" si="191"/>
        <v>2019-08-24</v>
      </c>
      <c r="N1178" t="str">
        <f>"ООО ТК"</f>
        <v>ООО ТК</v>
      </c>
      <c r="O1178" t="str">
        <f>"620000"</f>
        <v>620000</v>
      </c>
      <c r="P1178" t="str">
        <f>"ОБЛ ТОМСКАЯ"</f>
        <v>ОБЛ ТОМСКАЯ</v>
      </c>
      <c r="Q1178" t="str">
        <f>""</f>
        <v/>
      </c>
      <c r="R1178" t="str">
        <f>"Г ТОМСК"</f>
        <v>Г ТОМСК</v>
      </c>
      <c r="S1178" t="str">
        <f>"П МОЛОДЕЖНЫЙ"</f>
        <v>П МОЛОДЕЖНЫЙ</v>
      </c>
      <c r="T1178" t="str">
        <f>""</f>
        <v/>
      </c>
      <c r="U1178" s="1" t="str">
        <f>"16"</f>
        <v>16</v>
      </c>
      <c r="V1178" s="1" t="str">
        <f>""</f>
        <v/>
      </c>
      <c r="W1178" s="1" t="str">
        <f>""</f>
        <v/>
      </c>
      <c r="X1178" s="1" t="str">
        <f>""</f>
        <v/>
      </c>
      <c r="Y1178" s="1" t="str">
        <f>"55"</f>
        <v>55</v>
      </c>
      <c r="Z1178" t="str">
        <f>""</f>
        <v/>
      </c>
      <c r="AA1178" t="str">
        <f>"9920035818"</f>
        <v>9920035818</v>
      </c>
      <c r="AB1178" t="str">
        <f>"9920035818"</f>
        <v>9920035818</v>
      </c>
      <c r="AC1178" t="str">
        <f>"9920035818"</f>
        <v>9920035818</v>
      </c>
      <c r="AD1178" t="str">
        <f>"9920035818"</f>
        <v>9920035818</v>
      </c>
      <c r="AE1178" t="str">
        <f>""</f>
        <v/>
      </c>
    </row>
    <row r="1179" spans="1:31" x14ac:dyDescent="0.45">
      <c r="A1179" t="str">
        <f>"БАЛУН ОЛЬГА ГЕННАДЬЕВНА"</f>
        <v>БАЛУН ОЛЬГА ГЕННАДЬЕВНА</v>
      </c>
      <c r="B1179" t="str">
        <f>"1982-10-05"</f>
        <v>1982-10-05</v>
      </c>
      <c r="C1179" t="str">
        <f>"80 07 370803"</f>
        <v>80 07 370803</v>
      </c>
      <c r="D1179" t="str">
        <f>"4279011636705926"</f>
        <v>4279011636705926</v>
      </c>
      <c r="E1179" t="str">
        <f t="shared" si="193"/>
        <v>2021-05-31</v>
      </c>
      <c r="F1179" t="str">
        <f t="shared" si="192"/>
        <v>+</v>
      </c>
      <c r="G1179" t="str">
        <f t="shared" si="192"/>
        <v>+</v>
      </c>
      <c r="H1179" t="str">
        <f>"40817810616991391573"</f>
        <v>40817810616991391573</v>
      </c>
      <c r="I1179" t="str">
        <f>"8598"</f>
        <v>8598</v>
      </c>
      <c r="J1179" t="str">
        <f>"0059"</f>
        <v>0059</v>
      </c>
      <c r="K1179" t="str">
        <f>"31000.00"</f>
        <v>31000.00</v>
      </c>
      <c r="L1179" t="str">
        <f>"450000 РЕСП БАШКОРТОСТАН   Г УФА   УЛ ПРУДНАЯ д. 15 корп. 1"</f>
        <v>450000 РЕСП БАШКОРТОСТАН   Г УФА   УЛ ПРУДНАЯ д. 15 корп. 1</v>
      </c>
      <c r="M1179" t="str">
        <f t="shared" si="191"/>
        <v>2019-08-24</v>
      </c>
      <c r="N1179" t="str">
        <f>"ГБУЗ РКПБ 1"</f>
        <v>ГБУЗ РКПБ 1</v>
      </c>
      <c r="O1179" t="str">
        <f>"450000"</f>
        <v>450000</v>
      </c>
      <c r="P1179" t="str">
        <f>"РЕСП БАШКОРТОСТАН"</f>
        <v>РЕСП БАШКОРТОСТАН</v>
      </c>
      <c r="Q1179" t="str">
        <f>""</f>
        <v/>
      </c>
      <c r="R1179" t="str">
        <f>"Г УФА"</f>
        <v>Г УФА</v>
      </c>
      <c r="S1179" t="str">
        <f>""</f>
        <v/>
      </c>
      <c r="T1179" t="str">
        <f>"УЛ СЕЛЬСКАЯ"</f>
        <v>УЛ СЕЛЬСКАЯ</v>
      </c>
      <c r="U1179" s="1" t="str">
        <f>"8"</f>
        <v>8</v>
      </c>
      <c r="V1179" s="1" t="str">
        <f>""</f>
        <v/>
      </c>
      <c r="W1179" s="1" t="str">
        <f>""</f>
        <v/>
      </c>
      <c r="X1179" s="1" t="str">
        <f>""</f>
        <v/>
      </c>
      <c r="Y1179" s="1" t="str">
        <f>"235"</f>
        <v>235</v>
      </c>
      <c r="Z1179" t="str">
        <f>"9876150301"</f>
        <v>9876150301</v>
      </c>
      <c r="AA1179" t="str">
        <f>"9173871919"</f>
        <v>9173871919</v>
      </c>
      <c r="AB1179" t="str">
        <f>"9173871919"</f>
        <v>9173871919</v>
      </c>
      <c r="AC1179" t="str">
        <f>"9173871919"</f>
        <v>9173871919</v>
      </c>
      <c r="AD1179" t="str">
        <f>"9173871919"</f>
        <v>9173871919</v>
      </c>
      <c r="AE1179" t="str">
        <f>"9876150301"</f>
        <v>9876150301</v>
      </c>
    </row>
    <row r="1180" spans="1:31" x14ac:dyDescent="0.45">
      <c r="A1180" t="str">
        <f>"ВАЛЕЕВ ЭДУАРД ЗИФОВИЧ"</f>
        <v>ВАЛЕЕВ ЭДУАРД ЗИФОВИЧ</v>
      </c>
      <c r="B1180" t="str">
        <f>"1975-11-10"</f>
        <v>1975-11-10</v>
      </c>
      <c r="C1180" t="str">
        <f>"80 08 621200"</f>
        <v>80 08 621200</v>
      </c>
      <c r="D1180" t="str">
        <f>"4276011682956327"</f>
        <v>4276011682956327</v>
      </c>
      <c r="E1180" t="str">
        <f t="shared" si="193"/>
        <v>2021-05-31</v>
      </c>
      <c r="F1180" t="str">
        <f>"Q"</f>
        <v>Q</v>
      </c>
      <c r="G1180" t="str">
        <f>"Q"</f>
        <v>Q</v>
      </c>
      <c r="H1180" t="str">
        <f>"40817810716991391567"</f>
        <v>40817810716991391567</v>
      </c>
      <c r="I1180" t="str">
        <f>"8598"</f>
        <v>8598</v>
      </c>
      <c r="J1180" t="str">
        <f>"0228"</f>
        <v>0228</v>
      </c>
      <c r="K1180" t="str">
        <f>"0.00"</f>
        <v>0.00</v>
      </c>
      <c r="L1180" t="str">
        <f>"450000 РЕСП БАШКОРТОСТАН   Г УФА   УЛ 50 ЛЕТ СССР д. 39 стр. П"</f>
        <v>450000 РЕСП БАШКОРТОСТАН   Г УФА   УЛ 50 ЛЕТ СССР д. 39 стр. П</v>
      </c>
      <c r="M1180" t="str">
        <f t="shared" si="191"/>
        <v>2019-08-24</v>
      </c>
      <c r="N1180" t="str">
        <f>"ИП ЮНУСОВ"</f>
        <v>ИП ЮНУСОВ</v>
      </c>
      <c r="O1180" t="str">
        <f>"450000"</f>
        <v>450000</v>
      </c>
      <c r="P1180" t="str">
        <f>"РЕСП БАШКОРТОСТАН"</f>
        <v>РЕСП БАШКОРТОСТАН</v>
      </c>
      <c r="Q1180" t="str">
        <f>""</f>
        <v/>
      </c>
      <c r="R1180" t="str">
        <f>"Г УФА"</f>
        <v>Г УФА</v>
      </c>
      <c r="S1180" t="str">
        <f>""</f>
        <v/>
      </c>
      <c r="T1180" t="str">
        <f>"УЛ АВРОРЫ"</f>
        <v>УЛ АВРОРЫ</v>
      </c>
      <c r="U1180" s="1" t="str">
        <f>"29"</f>
        <v>29</v>
      </c>
      <c r="V1180" s="1" t="str">
        <f>""</f>
        <v/>
      </c>
      <c r="W1180" s="1" t="str">
        <f>""</f>
        <v/>
      </c>
      <c r="X1180" s="1" t="str">
        <f>""</f>
        <v/>
      </c>
      <c r="Y1180" s="1" t="str">
        <f>"33"</f>
        <v>33</v>
      </c>
      <c r="Z1180" t="str">
        <f>"9174101910"</f>
        <v>9174101910</v>
      </c>
      <c r="AA1180" t="str">
        <f>"9174101910"</f>
        <v>9174101910</v>
      </c>
      <c r="AB1180" t="str">
        <f>"9174101910"</f>
        <v>9174101910</v>
      </c>
      <c r="AC1180" t="str">
        <f>"9174101910"</f>
        <v>9174101910</v>
      </c>
      <c r="AD1180" t="str">
        <f>"9174101910"</f>
        <v>9174101910</v>
      </c>
      <c r="AE1180" t="str">
        <f>"9174101910"</f>
        <v>9174101910</v>
      </c>
    </row>
    <row r="1181" spans="1:31" x14ac:dyDescent="0.45">
      <c r="A1181" t="str">
        <f>"НУРЛЫГАЯНОВА ЛИАНА МАНСАФОВНА"</f>
        <v>НУРЛЫГАЯНОВА ЛИАНА МАНСАФОВНА</v>
      </c>
      <c r="B1181" t="str">
        <f>"1988-08-13"</f>
        <v>1988-08-13</v>
      </c>
      <c r="C1181" t="str">
        <f>"80 08 620860"</f>
        <v>80 08 620860</v>
      </c>
      <c r="D1181" t="str">
        <f>"4279011639345126"</f>
        <v>4279011639345126</v>
      </c>
      <c r="E1181" t="str">
        <f t="shared" si="193"/>
        <v>2021-05-31</v>
      </c>
      <c r="F1181" t="str">
        <f>"+"</f>
        <v>+</v>
      </c>
      <c r="G1181" t="str">
        <f>"+"</f>
        <v>+</v>
      </c>
      <c r="H1181" t="str">
        <f>"40817810716991391570"</f>
        <v>40817810716991391570</v>
      </c>
      <c r="I1181" t="str">
        <f>"8598"</f>
        <v>8598</v>
      </c>
      <c r="J1181" t="str">
        <f>"0198"</f>
        <v>0198</v>
      </c>
      <c r="K1181" t="str">
        <f>"50000.00"</f>
        <v>50000.00</v>
      </c>
      <c r="L1181" t="str">
        <f>"450000 РЕСП БАШКОРТОСТАН   Г УФА   УЛ СТЕПАНА ХАЛТУРИНА д. 47 корп. 1"</f>
        <v>450000 РЕСП БАШКОРТОСТАН   Г УФА   УЛ СТЕПАНА ХАЛТУРИНА д. 47 корп. 1</v>
      </c>
      <c r="M1181" t="str">
        <f t="shared" si="191"/>
        <v>2019-08-24</v>
      </c>
      <c r="N1181" t="str">
        <f>"МБДОУ ДЕТСКИЙ САД 30"</f>
        <v>МБДОУ ДЕТСКИЙ САД 30</v>
      </c>
      <c r="O1181" t="str">
        <f>"450000"</f>
        <v>450000</v>
      </c>
      <c r="P1181" t="str">
        <f>"РЕСП БАШКОРТОСТАН"</f>
        <v>РЕСП БАШКОРТОСТАН</v>
      </c>
      <c r="Q1181" t="str">
        <f>""</f>
        <v/>
      </c>
      <c r="R1181" t="str">
        <f>"Г УФА"</f>
        <v>Г УФА</v>
      </c>
      <c r="S1181" t="str">
        <f>""</f>
        <v/>
      </c>
      <c r="T1181" t="str">
        <f>"УЛ С ПЕРОВСКОЙ"</f>
        <v>УЛ С ПЕРОВСКОЙ</v>
      </c>
      <c r="U1181" s="1" t="str">
        <f>"15"</f>
        <v>15</v>
      </c>
      <c r="V1181" s="1" t="str">
        <f>""</f>
        <v/>
      </c>
      <c r="W1181" s="1" t="str">
        <f>""</f>
        <v/>
      </c>
      <c r="X1181" s="1" t="str">
        <f>""</f>
        <v/>
      </c>
      <c r="Y1181" s="1" t="str">
        <f>"114"</f>
        <v>114</v>
      </c>
      <c r="Z1181" t="str">
        <f>"9625421288"</f>
        <v>9625421288</v>
      </c>
      <c r="AA1181" t="str">
        <f>"9378610299"</f>
        <v>9378610299</v>
      </c>
      <c r="AB1181" t="str">
        <f>"9378610299"</f>
        <v>9378610299</v>
      </c>
      <c r="AC1181" t="str">
        <f>"9625421288"</f>
        <v>9625421288</v>
      </c>
      <c r="AD1181" t="str">
        <f>"9378610299"</f>
        <v>9378610299</v>
      </c>
      <c r="AE1181" t="str">
        <f>"9625421288"</f>
        <v>9625421288</v>
      </c>
    </row>
    <row r="1182" spans="1:31" x14ac:dyDescent="0.45">
      <c r="A1182" t="str">
        <f>"ТИХОМИРОВА ИРИНА АЛЕКСАНДРОВНА"</f>
        <v>ТИХОМИРОВА ИРИНА АЛЕКСАНДРОВНА</v>
      </c>
      <c r="B1182" t="str">
        <f>"1986-07-02"</f>
        <v>1986-07-02</v>
      </c>
      <c r="C1182" t="str">
        <f>"75 05 836702"</f>
        <v>75 05 836702</v>
      </c>
      <c r="D1182" t="str">
        <f>"4279011632335801"</f>
        <v>4279011632335801</v>
      </c>
      <c r="E1182" t="str">
        <f t="shared" si="193"/>
        <v>2021-05-31</v>
      </c>
      <c r="F1182" t="str">
        <f>"+"</f>
        <v>+</v>
      </c>
      <c r="G1182" t="str">
        <f>"+"</f>
        <v>+</v>
      </c>
      <c r="H1182" t="str">
        <f>"40817810316991391569"</f>
        <v>40817810316991391569</v>
      </c>
      <c r="I1182" t="str">
        <f>"8597"</f>
        <v>8597</v>
      </c>
      <c r="J1182" t="str">
        <f>"0190"</f>
        <v>0190</v>
      </c>
      <c r="K1182" t="str">
        <f>"47000.00"</f>
        <v>47000.00</v>
      </c>
      <c r="L1182" t="str">
        <f>"454000 ОБЛ ЧЕЛЯБИНСКАЯ   Г ЧЕЛЯБИНСК   ТРАКТ ТРОИЦКИЙ д. 76 стр. Б"</f>
        <v>454000 ОБЛ ЧЕЛЯБИНСКАЯ   Г ЧЕЛЯБИНСК   ТРАКТ ТРОИЦКИЙ д. 76 стр. Б</v>
      </c>
      <c r="M1182" t="str">
        <f t="shared" si="191"/>
        <v>2019-08-24</v>
      </c>
      <c r="N1182" t="str">
        <f>"ООО ИГРОМАРКЕТ"</f>
        <v>ООО ИГРОМАРКЕТ</v>
      </c>
      <c r="O1182" t="str">
        <f>"454000"</f>
        <v>454000</v>
      </c>
      <c r="P1182" t="str">
        <f>"ОБЛ ЧЕЛЯБИНСКАЯ"</f>
        <v>ОБЛ ЧЕЛЯБИНСКАЯ</v>
      </c>
      <c r="Q1182" t="str">
        <f>""</f>
        <v/>
      </c>
      <c r="R1182" t="str">
        <f>"Г ЧЕЛЯБИНСК"</f>
        <v>Г ЧЕЛЯБИНСК</v>
      </c>
      <c r="S1182" t="str">
        <f>"С ГЛАДЫШЕВО"</f>
        <v>С ГЛАДЫШЕВО</v>
      </c>
      <c r="T1182" t="str">
        <f>"УЛ ЦЕНТРАЛЬНАЯ"</f>
        <v>УЛ ЦЕНТРАЛЬНАЯ</v>
      </c>
      <c r="U1182" s="1" t="str">
        <f>"13"</f>
        <v>13</v>
      </c>
      <c r="V1182" s="1" t="str">
        <f>""</f>
        <v/>
      </c>
      <c r="W1182" s="1" t="str">
        <f>""</f>
        <v/>
      </c>
      <c r="X1182" s="1" t="str">
        <f>""</f>
        <v/>
      </c>
      <c r="Y1182" s="1" t="str">
        <f>""</f>
        <v/>
      </c>
      <c r="Z1182" t="str">
        <f>""</f>
        <v/>
      </c>
      <c r="AA1182" t="str">
        <f>"9085798269"</f>
        <v>9085798269</v>
      </c>
      <c r="AB1182" t="str">
        <f>"9085798269"</f>
        <v>9085798269</v>
      </c>
      <c r="AC1182" t="str">
        <f>"9085798269"</f>
        <v>9085798269</v>
      </c>
      <c r="AD1182" t="str">
        <f>"9085798269"</f>
        <v>9085798269</v>
      </c>
      <c r="AE1182" t="str">
        <f>""</f>
        <v/>
      </c>
    </row>
    <row r="1183" spans="1:31" x14ac:dyDescent="0.45">
      <c r="A1183" t="str">
        <f>"ХАТЫПОВА МАРГАРИТА ЛЕОНИДОВНА"</f>
        <v>ХАТЫПОВА МАРГАРИТА ЛЕОНИДОВНА</v>
      </c>
      <c r="B1183" t="str">
        <f>"1991-07-10"</f>
        <v>1991-07-10</v>
      </c>
      <c r="C1183" t="str">
        <f>"65 19 865012"</f>
        <v>65 19 865012</v>
      </c>
      <c r="D1183" t="str">
        <f>"4279011672817916"</f>
        <v>4279011672817916</v>
      </c>
      <c r="E1183" t="str">
        <f t="shared" si="193"/>
        <v>2021-05-31</v>
      </c>
      <c r="F1183" t="str">
        <f>"K"</f>
        <v>K</v>
      </c>
      <c r="G1183" t="str">
        <f t="shared" ref="G1183:G1194" si="194">"+"</f>
        <v>+</v>
      </c>
      <c r="H1183" t="str">
        <f>"40817810716991391583"</f>
        <v>40817810716991391583</v>
      </c>
      <c r="I1183" t="str">
        <f>"7003"</f>
        <v>7003</v>
      </c>
      <c r="J1183" t="str">
        <f>"0650"</f>
        <v>0650</v>
      </c>
      <c r="K1183" t="str">
        <f>"29000.00"</f>
        <v>29000.00</v>
      </c>
      <c r="L1183" t="str">
        <f>"620000 ОБЛ СВЕРДЛОВСКАЯ Р-Н БОГДАНОВИЧСКИЙ Г БОГДАНОВИЧ   УЛ СОВЕТСКАЯ д. 3"</f>
        <v>620000 ОБЛ СВЕРДЛОВСКАЯ Р-Н БОГДАНОВИЧСКИЙ Г БОГДАНОВИЧ   УЛ СОВЕТСКАЯ д. 3</v>
      </c>
      <c r="M1183" t="str">
        <f t="shared" si="191"/>
        <v>2019-08-24</v>
      </c>
      <c r="N1183" t="str">
        <f>"УСП ПО БОГДАНОВИЧСКОМУ РАЙОНУ"</f>
        <v>УСП ПО БОГДАНОВИЧСКОМУ РАЙОНУ</v>
      </c>
      <c r="O1183" t="str">
        <f>"620000"</f>
        <v>620000</v>
      </c>
      <c r="P1183" t="str">
        <f>"ОБЛ СВЕРДЛОВСКАЯ"</f>
        <v>ОБЛ СВЕРДЛОВСКАЯ</v>
      </c>
      <c r="Q1183" t="str">
        <f>"Р-Н БОГДАНОВИЧСКИЙ"</f>
        <v>Р-Н БОГДАНОВИЧСКИЙ</v>
      </c>
      <c r="R1183" t="str">
        <f>"Г БОГДАНОВИЧ"</f>
        <v>Г БОГДАНОВИЧ</v>
      </c>
      <c r="S1183" t="str">
        <f>""</f>
        <v/>
      </c>
      <c r="T1183" t="str">
        <f>"УЛ ОКТЯБРЬСКАЯ"</f>
        <v>УЛ ОКТЯБРЬСКАЯ</v>
      </c>
      <c r="U1183" s="1" t="str">
        <f>"92"</f>
        <v>92</v>
      </c>
      <c r="V1183" s="1" t="str">
        <f>""</f>
        <v/>
      </c>
      <c r="W1183" s="1" t="str">
        <f>"2"</f>
        <v>2</v>
      </c>
      <c r="X1183" s="1" t="str">
        <f>""</f>
        <v/>
      </c>
      <c r="Y1183" s="1" t="str">
        <f>"65"</f>
        <v>65</v>
      </c>
      <c r="Z1183" t="str">
        <f>"9826335752"</f>
        <v>9826335752</v>
      </c>
      <c r="AA1183" t="str">
        <f>"9826335752"</f>
        <v>9826335752</v>
      </c>
      <c r="AB1183" t="str">
        <f>"9826335752"</f>
        <v>9826335752</v>
      </c>
      <c r="AC1183" t="str">
        <f>"9826335752"</f>
        <v>9826335752</v>
      </c>
      <c r="AD1183" t="str">
        <f>"9826335752"</f>
        <v>9826335752</v>
      </c>
      <c r="AE1183" t="str">
        <f>"9826335752"</f>
        <v>9826335752</v>
      </c>
    </row>
    <row r="1184" spans="1:31" x14ac:dyDescent="0.45">
      <c r="A1184" t="str">
        <f>"КОЧКИНА ЮЛИЯ ПЕТРОВНА"</f>
        <v>КОЧКИНА ЮЛИЯ ПЕТРОВНА</v>
      </c>
      <c r="B1184" t="str">
        <f>"1983-09-18"</f>
        <v>1983-09-18</v>
      </c>
      <c r="C1184" t="str">
        <f>"75 05 764900"</f>
        <v>75 05 764900</v>
      </c>
      <c r="D1184" t="str">
        <f>"4279011683374709"</f>
        <v>4279011683374709</v>
      </c>
      <c r="E1184" t="str">
        <f t="shared" si="193"/>
        <v>2021-05-31</v>
      </c>
      <c r="F1184" t="str">
        <f t="shared" ref="F1184:F1195" si="195">"+"</f>
        <v>+</v>
      </c>
      <c r="G1184" t="str">
        <f t="shared" si="194"/>
        <v>+</v>
      </c>
      <c r="H1184" t="str">
        <f>"40817810016991391568"</f>
        <v>40817810016991391568</v>
      </c>
      <c r="I1184" t="str">
        <f>"8597"</f>
        <v>8597</v>
      </c>
      <c r="J1184" t="str">
        <f>"0389"</f>
        <v>0389</v>
      </c>
      <c r="K1184" t="str">
        <f>"40000.00"</f>
        <v>40000.00</v>
      </c>
      <c r="L1184" t="str">
        <f>"454000 ОБЛ ЧЕЛЯБИНСКАЯ Р-Н ВАРНЕНСКИЙ   П НОВЙ УРАЛ УЛ ШКОЛЬНАЯ д. 28"</f>
        <v>454000 ОБЛ ЧЕЛЯБИНСКАЯ Р-Н ВАРНЕНСКИЙ   П НОВЙ УРАЛ УЛ ШКОЛЬНАЯ д. 28</v>
      </c>
      <c r="M1184" t="str">
        <f t="shared" si="191"/>
        <v>2019-08-24</v>
      </c>
      <c r="N1184" t="str">
        <f>"БИБЛИОТЕКА"</f>
        <v>БИБЛИОТЕКА</v>
      </c>
      <c r="O1184" t="str">
        <f>"454000"</f>
        <v>454000</v>
      </c>
      <c r="P1184" t="str">
        <f>"ОБЛ ЧЕЛЯБИНСКАЯ"</f>
        <v>ОБЛ ЧЕЛЯБИНСКАЯ</v>
      </c>
      <c r="Q1184" t="str">
        <f>"Р-Н ВАРНЕНСКИЙ"</f>
        <v>Р-Н ВАРНЕНСКИЙ</v>
      </c>
      <c r="R1184" t="str">
        <f>""</f>
        <v/>
      </c>
      <c r="S1184" t="str">
        <f>"П НОВЫЙ УРАЛ"</f>
        <v>П НОВЫЙ УРАЛ</v>
      </c>
      <c r="T1184" t="str">
        <f>"УЛ ЗЕЛЕНАЯ"</f>
        <v>УЛ ЗЕЛЕНАЯ</v>
      </c>
      <c r="U1184" s="1" t="str">
        <f>"30"</f>
        <v>30</v>
      </c>
      <c r="V1184" s="1" t="str">
        <f>""</f>
        <v/>
      </c>
      <c r="W1184" s="1" t="str">
        <f>""</f>
        <v/>
      </c>
      <c r="X1184" s="1" t="str">
        <f>""</f>
        <v/>
      </c>
      <c r="Y1184" s="1" t="str">
        <f>""</f>
        <v/>
      </c>
      <c r="Z1184" t="str">
        <f>""</f>
        <v/>
      </c>
      <c r="AA1184" t="str">
        <f>"9227000897"</f>
        <v>9227000897</v>
      </c>
      <c r="AB1184" t="str">
        <f>"9227378728"</f>
        <v>9227378728</v>
      </c>
      <c r="AC1184" t="str">
        <f>"9227000897"</f>
        <v>9227000897</v>
      </c>
      <c r="AD1184" t="str">
        <f>"9227000897"</f>
        <v>9227000897</v>
      </c>
      <c r="AE1184" t="str">
        <f>""</f>
        <v/>
      </c>
    </row>
    <row r="1185" spans="1:31" x14ac:dyDescent="0.45">
      <c r="A1185" t="str">
        <f>"ДУБРОВИНА ЕЛЕНА АНАТОЛЬЕВНА"</f>
        <v>ДУБРОВИНА ЕЛЕНА АНАТОЛЬЕВНА</v>
      </c>
      <c r="B1185" t="str">
        <f>"1976-03-20"</f>
        <v>1976-03-20</v>
      </c>
      <c r="C1185" t="str">
        <f>"65 07 202022"</f>
        <v>65 07 202022</v>
      </c>
      <c r="D1185" t="str">
        <f>"4279011657819499"</f>
        <v>4279011657819499</v>
      </c>
      <c r="E1185" t="str">
        <f t="shared" si="193"/>
        <v>2021-05-31</v>
      </c>
      <c r="F1185" t="str">
        <f t="shared" si="195"/>
        <v>+</v>
      </c>
      <c r="G1185" t="str">
        <f t="shared" si="194"/>
        <v>+</v>
      </c>
      <c r="H1185" t="str">
        <f>"40817810516991391576"</f>
        <v>40817810516991391576</v>
      </c>
      <c r="I1185" t="str">
        <f>"7003"</f>
        <v>7003</v>
      </c>
      <c r="J1185" t="str">
        <f>"0714"</f>
        <v>0714</v>
      </c>
      <c r="K1185" t="str">
        <f>"14000.00"</f>
        <v>14000.00</v>
      </c>
      <c r="L1185" t="str">
        <f>"620000 ОБЛ СВЕРДЛОВСКАЯ   Г НЕВЬЯНСК   УЛ ВОЛОДАРСКОГО д. 122"</f>
        <v>620000 ОБЛ СВЕРДЛОВСКАЯ   Г НЕВЬЯНСК   УЛ ВОЛОДАРСКОГО д. 122</v>
      </c>
      <c r="M1185" t="str">
        <f t="shared" si="191"/>
        <v>2019-08-24</v>
      </c>
      <c r="N1185" t="str">
        <f>"ИП ПАЙГАНОВ А П"</f>
        <v>ИП ПАЙГАНОВ А П</v>
      </c>
      <c r="O1185" t="str">
        <f>"624173"</f>
        <v>624173</v>
      </c>
      <c r="P1185" t="str">
        <f>"ОБЛ СВЕРДЛОВСКАЯ"</f>
        <v>ОБЛ СВЕРДЛОВСКАЯ</v>
      </c>
      <c r="Q1185" t="str">
        <f>"Р-Н НЕВЬЯНСКИЙ"</f>
        <v>Р-Н НЕВЬЯНСКИЙ</v>
      </c>
      <c r="R1185" t="str">
        <f>""</f>
        <v/>
      </c>
      <c r="S1185" t="str">
        <f>"П ЦЕМЕНТНЫЙ"</f>
        <v>П ЦЕМЕНТНЫЙ</v>
      </c>
      <c r="T1185" t="str">
        <f>"УЛ СВЕРДЛОВА"</f>
        <v>УЛ СВЕРДЛОВА</v>
      </c>
      <c r="U1185" s="1" t="str">
        <f>"16"</f>
        <v>16</v>
      </c>
      <c r="V1185" s="1" t="str">
        <f>""</f>
        <v/>
      </c>
      <c r="W1185" s="1" t="str">
        <f>""</f>
        <v/>
      </c>
      <c r="X1185" s="1" t="str">
        <f>""</f>
        <v/>
      </c>
      <c r="Y1185" s="1" t="str">
        <f>"54"</f>
        <v>54</v>
      </c>
      <c r="Z1185" t="str">
        <f>"9028737132"</f>
        <v>9028737132</v>
      </c>
      <c r="AA1185" t="str">
        <f>"9028737132"</f>
        <v>9028737132</v>
      </c>
      <c r="AB1185" t="str">
        <f>"9028737132"</f>
        <v>9028737132</v>
      </c>
      <c r="AC1185" t="str">
        <f>"9028737132"</f>
        <v>9028737132</v>
      </c>
      <c r="AD1185" t="str">
        <f>"9028737132"</f>
        <v>9028737132</v>
      </c>
      <c r="AE1185" t="str">
        <f>"9028737132"</f>
        <v>9028737132</v>
      </c>
    </row>
    <row r="1186" spans="1:31" x14ac:dyDescent="0.45">
      <c r="A1186" t="str">
        <f>"АГАПОВА УЛЬЯНА СЕРГЕЕВНА"</f>
        <v>АГАПОВА УЛЬЯНА СЕРГЕЕВНА</v>
      </c>
      <c r="B1186" t="str">
        <f>"1983-05-14"</f>
        <v>1983-05-14</v>
      </c>
      <c r="C1186" t="str">
        <f>"65 04 411541"</f>
        <v>65 04 411541</v>
      </c>
      <c r="D1186" t="str">
        <f>"4279011616847490"</f>
        <v>4279011616847490</v>
      </c>
      <c r="E1186" t="str">
        <f t="shared" si="193"/>
        <v>2021-05-31</v>
      </c>
      <c r="F1186" t="str">
        <f t="shared" si="195"/>
        <v>+</v>
      </c>
      <c r="G1186" t="str">
        <f t="shared" si="194"/>
        <v>+</v>
      </c>
      <c r="H1186" t="str">
        <f>"40817810316991391572"</f>
        <v>40817810316991391572</v>
      </c>
      <c r="I1186" t="str">
        <f>"7003"</f>
        <v>7003</v>
      </c>
      <c r="J1186" t="str">
        <f>"0690"</f>
        <v>0690</v>
      </c>
      <c r="K1186" t="str">
        <f>"25000.00"</f>
        <v>25000.00</v>
      </c>
      <c r="L1186" t="str">
        <f>"620000 ОБЛ СВЕРДЛОВСКАЯ   Г ПЕРВОУРАЛЬСК   УЛ ВАТУТИНА д. 44"</f>
        <v>620000 ОБЛ СВЕРДЛОВСКАЯ   Г ПЕРВОУРАЛЬСК   УЛ ВАТУТИНА д. 44</v>
      </c>
      <c r="M1186" t="str">
        <f t="shared" si="191"/>
        <v>2019-08-24</v>
      </c>
      <c r="N1186" t="str">
        <f>"ПАО БИНБАНК"</f>
        <v>ПАО БИНБАНК</v>
      </c>
      <c r="O1186" t="str">
        <f>"620000"</f>
        <v>620000</v>
      </c>
      <c r="P1186" t="str">
        <f>"ОБЛ СВЕРДЛОВСКАЯ"</f>
        <v>ОБЛ СВЕРДЛОВСКАЯ</v>
      </c>
      <c r="Q1186" t="str">
        <f>""</f>
        <v/>
      </c>
      <c r="R1186" t="str">
        <f>"Г ПЕРВОУРАЛЬСК"</f>
        <v>Г ПЕРВОУРАЛЬСК</v>
      </c>
      <c r="S1186" t="str">
        <f>""</f>
        <v/>
      </c>
      <c r="T1186" t="str">
        <f>"УЛ ВАТУТИНА"</f>
        <v>УЛ ВАТУТИНА</v>
      </c>
      <c r="U1186" s="1" t="str">
        <f>"31"</f>
        <v>31</v>
      </c>
      <c r="V1186" s="1" t="str">
        <f>""</f>
        <v/>
      </c>
      <c r="W1186" s="1" t="str">
        <f>""</f>
        <v/>
      </c>
      <c r="X1186" s="1" t="str">
        <f>""</f>
        <v/>
      </c>
      <c r="Y1186" s="1" t="str">
        <f>"15"</f>
        <v>15</v>
      </c>
      <c r="Z1186" t="str">
        <f>""</f>
        <v/>
      </c>
      <c r="AA1186" t="str">
        <f>"9122311302"</f>
        <v>9122311302</v>
      </c>
      <c r="AB1186" t="str">
        <f>"9122311302"</f>
        <v>9122311302</v>
      </c>
      <c r="AC1186" t="str">
        <f>"9122311302"</f>
        <v>9122311302</v>
      </c>
      <c r="AD1186" t="str">
        <f>"9122311302"</f>
        <v>9122311302</v>
      </c>
      <c r="AE1186" t="str">
        <f>""</f>
        <v/>
      </c>
    </row>
    <row r="1187" spans="1:31" x14ac:dyDescent="0.45">
      <c r="A1187" t="str">
        <f>"КИНДЕНОВА ТАТЬЯНА ВЛАДИМИРОВНА"</f>
        <v>КИНДЕНОВА ТАТЬЯНА ВЛАДИМИРОВНА</v>
      </c>
      <c r="B1187" t="str">
        <f>"1989-08-24"</f>
        <v>1989-08-24</v>
      </c>
      <c r="C1187" t="str">
        <f>"75 09 593632"</f>
        <v>75 09 593632</v>
      </c>
      <c r="D1187" t="str">
        <f>"4279011637542682"</f>
        <v>4279011637542682</v>
      </c>
      <c r="E1187" t="str">
        <f t="shared" si="193"/>
        <v>2021-05-31</v>
      </c>
      <c r="F1187" t="str">
        <f t="shared" si="195"/>
        <v>+</v>
      </c>
      <c r="G1187" t="str">
        <f t="shared" si="194"/>
        <v>+</v>
      </c>
      <c r="H1187" t="str">
        <f>"40817810116991391581"</f>
        <v>40817810116991391581</v>
      </c>
      <c r="I1187" t="str">
        <f>"8597"</f>
        <v>8597</v>
      </c>
      <c r="J1187" t="str">
        <f>"0341"</f>
        <v>0341</v>
      </c>
      <c r="K1187" t="str">
        <f>"85000.00"</f>
        <v>85000.00</v>
      </c>
      <c r="L1187" t="str">
        <f>"455000 ОБЛ ЧЕЛЯБИНСКАЯ   Г МАГНИТОГОРСК   УЛ ВОКЗАЛЬНАЯ д. 1 кв. 0"</f>
        <v>455000 ОБЛ ЧЕЛЯБИНСКАЯ   Г МАГНИТОГОРСК   УЛ ВОКЗАЛЬНАЯ д. 1 кв. 0</v>
      </c>
      <c r="M1187" t="str">
        <f t="shared" si="191"/>
        <v>2019-08-24</v>
      </c>
      <c r="N1187" t="str">
        <f>"ИП ПАВЛОВ А С"</f>
        <v>ИП ПАВЛОВ А С</v>
      </c>
      <c r="O1187" t="str">
        <f>"455000"</f>
        <v>455000</v>
      </c>
      <c r="P1187" t="str">
        <f>"ОБЛ ЧЕЛЯБИНСКАЯ"</f>
        <v>ОБЛ ЧЕЛЯБИНСКАЯ</v>
      </c>
      <c r="Q1187" t="str">
        <f>""</f>
        <v/>
      </c>
      <c r="R1187" t="str">
        <f>"Г МАГНИТОГОРСК"</f>
        <v>Г МАГНИТОГОРСК</v>
      </c>
      <c r="S1187" t="str">
        <f>""</f>
        <v/>
      </c>
      <c r="T1187" t="str">
        <f>"УЛ ОРАНЖЕРЕЙНАЯ"</f>
        <v>УЛ ОРАНЖЕРЕЙНАЯ</v>
      </c>
      <c r="U1187" s="1" t="str">
        <f>"31"</f>
        <v>31</v>
      </c>
      <c r="V1187" s="1" t="str">
        <f>""</f>
        <v/>
      </c>
      <c r="W1187" s="1" t="str">
        <f>""</f>
        <v/>
      </c>
      <c r="X1187" s="1" t="str">
        <f>""</f>
        <v/>
      </c>
      <c r="Y1187" s="1" t="str">
        <f>"2"</f>
        <v>2</v>
      </c>
      <c r="Z1187" t="str">
        <f>"3519208804"</f>
        <v>3519208804</v>
      </c>
      <c r="AA1187" t="str">
        <f>"9617975876"</f>
        <v>9617975876</v>
      </c>
      <c r="AB1187" t="str">
        <f>"9068516345"</f>
        <v>9068516345</v>
      </c>
      <c r="AC1187" t="str">
        <f>"9617975876"</f>
        <v>9617975876</v>
      </c>
      <c r="AD1187" t="str">
        <f>"9068516345"</f>
        <v>9068516345</v>
      </c>
      <c r="AE1187" t="str">
        <f>"3519208804"</f>
        <v>3519208804</v>
      </c>
    </row>
    <row r="1188" spans="1:31" x14ac:dyDescent="0.45">
      <c r="A1188" t="str">
        <f>"СИВАКОВСКАЯ СВЕТЛАНА НИКОЛАЕВНА"</f>
        <v>СИВАКОВСКАЯ СВЕТЛАНА НИКОЛАЕВНА</v>
      </c>
      <c r="B1188" t="str">
        <f>"1973-12-31"</f>
        <v>1973-12-31</v>
      </c>
      <c r="C1188" t="str">
        <f>"75 18 256036"</f>
        <v>75 18 256036</v>
      </c>
      <c r="D1188" t="str">
        <f>"4854630389353981"</f>
        <v>4854630389353981</v>
      </c>
      <c r="E1188" t="str">
        <f>"2021-04-30"</f>
        <v>2021-04-30</v>
      </c>
      <c r="F1188" t="str">
        <f t="shared" si="195"/>
        <v>+</v>
      </c>
      <c r="G1188" t="str">
        <f t="shared" si="194"/>
        <v>+</v>
      </c>
      <c r="H1188" t="str">
        <f>"40817810616991463126"</f>
        <v>40817810616991463126</v>
      </c>
      <c r="I1188" t="str">
        <f>"8597"</f>
        <v>8597</v>
      </c>
      <c r="J1188" t="str">
        <f>"0270"</f>
        <v>0270</v>
      </c>
      <c r="K1188" t="str">
        <f>"11000.00"</f>
        <v>11000.00</v>
      </c>
      <c r="L1188" t="str">
        <f>"454000 ОБЛ ЧЕЛЯБИНСКАЯ   Г ЧЕЛЯБИНСК   УЛ БРАТЬЕВ КАШИРИНЫХ д. 97"</f>
        <v>454000 ОБЛ ЧЕЛЯБИНСКАЯ   Г ЧЕЛЯБИНСК   УЛ БРАТЬЕВ КАШИРИНЫХ д. 97</v>
      </c>
      <c r="M1188" t="str">
        <f t="shared" si="191"/>
        <v>2019-08-24</v>
      </c>
      <c r="N1188" t="str">
        <f>"ООО ТЕКСТИЛЬ УРАЛ"</f>
        <v>ООО ТЕКСТИЛЬ УРАЛ</v>
      </c>
      <c r="O1188" t="str">
        <f>"454000"</f>
        <v>454000</v>
      </c>
      <c r="P1188" t="str">
        <f>"ОБЛ ЧЕЛЯБИНСКАЯ"</f>
        <v>ОБЛ ЧЕЛЯБИНСКАЯ</v>
      </c>
      <c r="Q1188" t="str">
        <f>""</f>
        <v/>
      </c>
      <c r="R1188" t="str">
        <f>"Г ЧЕЛЯБИНСК"</f>
        <v>Г ЧЕЛЯБИНСК</v>
      </c>
      <c r="S1188" t="str">
        <f>""</f>
        <v/>
      </c>
      <c r="T1188" t="str">
        <f>"УЛ РЫЛЕЕВА"</f>
        <v>УЛ РЫЛЕЕВА</v>
      </c>
      <c r="U1188" s="1" t="str">
        <f>"5"</f>
        <v>5</v>
      </c>
      <c r="V1188" s="1" t="str">
        <f>""</f>
        <v/>
      </c>
      <c r="W1188" s="1" t="str">
        <f>""</f>
        <v/>
      </c>
      <c r="X1188" s="1" t="str">
        <f>""</f>
        <v/>
      </c>
      <c r="Y1188" s="1" t="str">
        <f>""</f>
        <v/>
      </c>
      <c r="Z1188" t="str">
        <f>""</f>
        <v/>
      </c>
      <c r="AA1188" t="str">
        <f>"+7 (908) 8101188"</f>
        <v>+7 (908) 8101188</v>
      </c>
      <c r="AB1188" t="str">
        <f>"+7 (908) 8101188"</f>
        <v>+7 (908) 8101188</v>
      </c>
      <c r="AC1188" t="str">
        <f>"9088101188"</f>
        <v>9088101188</v>
      </c>
      <c r="AD1188" t="str">
        <f>"9088101188"</f>
        <v>9088101188</v>
      </c>
      <c r="AE1188" t="str">
        <f>""</f>
        <v/>
      </c>
    </row>
    <row r="1189" spans="1:31" x14ac:dyDescent="0.45">
      <c r="A1189" t="str">
        <f>"СТЯЖКИНА ОЛЬГА НИКОЛАЕВНА"</f>
        <v>СТЯЖКИНА ОЛЬГА НИКОЛАЕВНА</v>
      </c>
      <c r="B1189" t="str">
        <f>"1971-04-17"</f>
        <v>1971-04-17</v>
      </c>
      <c r="C1189" t="str">
        <f>"80 16 482828"</f>
        <v>80 16 482828</v>
      </c>
      <c r="D1189" t="str">
        <f>"4279011632359447"</f>
        <v>4279011632359447</v>
      </c>
      <c r="E1189" t="str">
        <f t="shared" ref="E1189:E1197" si="196">"2021-06-30"</f>
        <v>2021-06-30</v>
      </c>
      <c r="F1189" t="str">
        <f t="shared" si="195"/>
        <v>+</v>
      </c>
      <c r="G1189" t="str">
        <f t="shared" si="194"/>
        <v>+</v>
      </c>
      <c r="H1189" t="str">
        <f>"40817810116991463147"</f>
        <v>40817810116991463147</v>
      </c>
      <c r="I1189" t="str">
        <f>"8598"</f>
        <v>8598</v>
      </c>
      <c r="J1189" t="str">
        <f>"0128"</f>
        <v>0128</v>
      </c>
      <c r="K1189" t="str">
        <f>"65000.00"</f>
        <v>65000.00</v>
      </c>
      <c r="L1189" t="str">
        <f>"450000 РЕСП БАШКОРТОСТАН Р-Н ЧИШМИНСКИЙ   С АЛКИНО УЛ КРЮЧКОВА д. 8 кв. 51"</f>
        <v>450000 РЕСП БАШКОРТОСТАН Р-Н ЧИШМИНСКИЙ   С АЛКИНО УЛ КРЮЧКОВА д. 8 кв. 51</v>
      </c>
      <c r="M1189" t="str">
        <f t="shared" si="191"/>
        <v>2019-08-24</v>
      </c>
      <c r="N1189" t="str">
        <f>"ИП СТЯЖКИНА"</f>
        <v>ИП СТЯЖКИНА</v>
      </c>
      <c r="O1189" t="str">
        <f>"450000"</f>
        <v>450000</v>
      </c>
      <c r="P1189" t="str">
        <f>"РЕСП БАШКОРТОСТАН"</f>
        <v>РЕСП БАШКОРТОСТАН</v>
      </c>
      <c r="Q1189" t="str">
        <f>"Р-Н ЧИШМИНСКИЙ"</f>
        <v>Р-Н ЧИШМИНСКИЙ</v>
      </c>
      <c r="R1189" t="str">
        <f>""</f>
        <v/>
      </c>
      <c r="S1189" t="str">
        <f>"С АЛКИНО-2"</f>
        <v>С АЛКИНО-2</v>
      </c>
      <c r="T1189" t="str">
        <f>"УЛ КРЮЧКОВА"</f>
        <v>УЛ КРЮЧКОВА</v>
      </c>
      <c r="U1189" s="1" t="str">
        <f>"8"</f>
        <v>8</v>
      </c>
      <c r="V1189" s="1" t="str">
        <f>""</f>
        <v/>
      </c>
      <c r="W1189" s="1" t="str">
        <f>""</f>
        <v/>
      </c>
      <c r="X1189" s="1" t="str">
        <f>""</f>
        <v/>
      </c>
      <c r="Y1189" s="1" t="str">
        <f>"51"</f>
        <v>51</v>
      </c>
      <c r="Z1189" t="str">
        <f>""</f>
        <v/>
      </c>
      <c r="AA1189" t="str">
        <f>"9608062555"</f>
        <v>9608062555</v>
      </c>
      <c r="AB1189" t="str">
        <f>"9608062555"</f>
        <v>9608062555</v>
      </c>
      <c r="AC1189" t="str">
        <f>"9608062555"</f>
        <v>9608062555</v>
      </c>
      <c r="AD1189" t="str">
        <f>"9174824904"</f>
        <v>9174824904</v>
      </c>
      <c r="AE1189" t="str">
        <f>""</f>
        <v/>
      </c>
    </row>
    <row r="1190" spans="1:31" x14ac:dyDescent="0.45">
      <c r="A1190" t="str">
        <f>"МАЛЬЦЕВА ОЛЬГА АЛЕКСАНДРОВНА"</f>
        <v>МАЛЬЦЕВА ОЛЬГА АЛЕКСАНДРОВНА</v>
      </c>
      <c r="B1190" t="str">
        <f>"1986-10-16"</f>
        <v>1986-10-16</v>
      </c>
      <c r="C1190" t="str">
        <f>"65 19 904208"</f>
        <v>65 19 904208</v>
      </c>
      <c r="D1190" t="str">
        <f>"4279011674843928"</f>
        <v>4279011674843928</v>
      </c>
      <c r="E1190" t="str">
        <f t="shared" si="196"/>
        <v>2021-06-30</v>
      </c>
      <c r="F1190" t="str">
        <f t="shared" si="195"/>
        <v>+</v>
      </c>
      <c r="G1190" t="str">
        <f t="shared" si="194"/>
        <v>+</v>
      </c>
      <c r="H1190" t="str">
        <f>"40817810416991463148"</f>
        <v>40817810416991463148</v>
      </c>
      <c r="I1190" t="str">
        <f>"7003"</f>
        <v>7003</v>
      </c>
      <c r="J1190" t="str">
        <f>"0735"</f>
        <v>0735</v>
      </c>
      <c r="K1190" t="str">
        <f>"70000.00"</f>
        <v>70000.00</v>
      </c>
      <c r="L1190" t="str">
        <f>"622051 ОБЛ СВЕРДЛОВСКАЯ ОБЛАСТЬ   Г НИЖНИИ ТАГИЛ   УЛ ВОСТОЧНОЕ ШОССЕ д. 28"</f>
        <v>622051 ОБЛ СВЕРДЛОВСКАЯ ОБЛАСТЬ   Г НИЖНИИ ТАГИЛ   УЛ ВОСТОЧНОЕ ШОССЕ д. 28</v>
      </c>
      <c r="M1190" t="str">
        <f t="shared" si="191"/>
        <v>2019-08-24</v>
      </c>
      <c r="N1190" t="str">
        <f>"АО НПК УВЗ"</f>
        <v>АО НПК УВЗ</v>
      </c>
      <c r="O1190" t="str">
        <f>"620000"</f>
        <v>620000</v>
      </c>
      <c r="P1190" t="str">
        <f>"ОБЛ СВЕРДЛОВСКАЯ"</f>
        <v>ОБЛ СВЕРДЛОВСКАЯ</v>
      </c>
      <c r="Q1190" t="str">
        <f>""</f>
        <v/>
      </c>
      <c r="R1190" t="str">
        <f>"Г НИЖНИЙ ТАГИЛ"</f>
        <v>Г НИЖНИЙ ТАГИЛ</v>
      </c>
      <c r="S1190" t="str">
        <f>""</f>
        <v/>
      </c>
      <c r="T1190" t="str">
        <f>"УЛ ОРДЖОНИКИДЗЕ"</f>
        <v>УЛ ОРДЖОНИКИДЗЕ</v>
      </c>
      <c r="U1190" s="1" t="str">
        <f>"6"</f>
        <v>6</v>
      </c>
      <c r="V1190" s="1" t="str">
        <f>""</f>
        <v/>
      </c>
      <c r="W1190" s="1" t="str">
        <f>""</f>
        <v/>
      </c>
      <c r="X1190" s="1" t="str">
        <f>""</f>
        <v/>
      </c>
      <c r="Y1190" s="1" t="str">
        <f>"29"</f>
        <v>29</v>
      </c>
      <c r="Z1190" t="str">
        <f>"+7 (3435) 345344"</f>
        <v>+7 (3435) 345344</v>
      </c>
      <c r="AA1190" t="str">
        <f>"+7 (3435) 356212"</f>
        <v>+7 (3435) 356212</v>
      </c>
      <c r="AB1190" t="str">
        <f>"+7 (912) 2434408"</f>
        <v>+7 (912) 2434408</v>
      </c>
      <c r="AC1190" t="str">
        <f>"3435356212"</f>
        <v>3435356212</v>
      </c>
      <c r="AD1190" t="str">
        <f>"9122434408"</f>
        <v>9122434408</v>
      </c>
      <c r="AE1190" t="str">
        <f>"3435349808"</f>
        <v>3435349808</v>
      </c>
    </row>
    <row r="1191" spans="1:31" x14ac:dyDescent="0.45">
      <c r="A1191" t="str">
        <f>"ГАЙСИНА СВЕТЛАНА ХАМИТЯНОВНА"</f>
        <v>ГАЙСИНА СВЕТЛАНА ХАМИТЯНОВНА</v>
      </c>
      <c r="B1191" t="str">
        <f>"1965-09-19"</f>
        <v>1965-09-19</v>
      </c>
      <c r="C1191" t="str">
        <f>"80 10 180899"</f>
        <v>80 10 180899</v>
      </c>
      <c r="D1191" t="str">
        <f>"4279011637040299"</f>
        <v>4279011637040299</v>
      </c>
      <c r="E1191" t="str">
        <f t="shared" si="196"/>
        <v>2021-06-30</v>
      </c>
      <c r="F1191" t="str">
        <f t="shared" si="195"/>
        <v>+</v>
      </c>
      <c r="G1191" t="str">
        <f t="shared" si="194"/>
        <v>+</v>
      </c>
      <c r="H1191" t="str">
        <f>"40817810716991463149"</f>
        <v>40817810716991463149</v>
      </c>
      <c r="I1191" t="str">
        <f>"8598"</f>
        <v>8598</v>
      </c>
      <c r="J1191" t="str">
        <f>"0599"</f>
        <v>0599</v>
      </c>
      <c r="K1191" t="str">
        <f>"25000.00"</f>
        <v>25000.00</v>
      </c>
      <c r="L1191" t="str">
        <f>"450000 РЕСП БАШКОРТОСТАН   Г НЕФТЕКАМСК   УЛ ЯНАУЛЬСКАЯ д. 1"</f>
        <v>450000 РЕСП БАШКОРТОСТАН   Г НЕФТЕКАМСК   УЛ ЯНАУЛЬСКАЯ д. 1</v>
      </c>
      <c r="M1191" t="str">
        <f t="shared" si="191"/>
        <v>2019-08-24</v>
      </c>
      <c r="N1191" t="str">
        <f>"НЕФАЗ"</f>
        <v>НЕФАЗ</v>
      </c>
      <c r="O1191" t="str">
        <f>"450000"</f>
        <v>450000</v>
      </c>
      <c r="P1191" t="str">
        <f>"РЕСП БАШКОРТОСТАН"</f>
        <v>РЕСП БАШКОРТОСТАН</v>
      </c>
      <c r="Q1191" t="str">
        <f>""</f>
        <v/>
      </c>
      <c r="R1191" t="str">
        <f>"Г НЕФТЕКАМСК"</f>
        <v>Г НЕФТЕКАМСК</v>
      </c>
      <c r="S1191" t="str">
        <f>""</f>
        <v/>
      </c>
      <c r="T1191" t="str">
        <f>"УЛ ГИНИНА"</f>
        <v>УЛ ГИНИНА</v>
      </c>
      <c r="U1191" s="1" t="str">
        <f>"12"</f>
        <v>12</v>
      </c>
      <c r="V1191" s="1" t="str">
        <f>""</f>
        <v/>
      </c>
      <c r="W1191" s="1" t="str">
        <f>""</f>
        <v/>
      </c>
      <c r="X1191" s="1" t="str">
        <f>""</f>
        <v/>
      </c>
      <c r="Y1191" s="1" t="str">
        <f>""</f>
        <v/>
      </c>
      <c r="Z1191" t="str">
        <f>""</f>
        <v/>
      </c>
      <c r="AA1191" t="str">
        <f>"9053576434"</f>
        <v>9053576434</v>
      </c>
      <c r="AB1191" t="str">
        <f>"9061034876"</f>
        <v>9061034876</v>
      </c>
      <c r="AC1191" t="str">
        <f>"9053576434"</f>
        <v>9053576434</v>
      </c>
      <c r="AD1191" t="str">
        <f>"9061034876"</f>
        <v>9061034876</v>
      </c>
      <c r="AE1191" t="str">
        <f>""</f>
        <v/>
      </c>
    </row>
    <row r="1192" spans="1:31" x14ac:dyDescent="0.45">
      <c r="A1192" t="str">
        <f>"БАХАРЕВА СВЕТЛАНА ЮРЬЕВНА"</f>
        <v>БАХАРЕВА СВЕТЛАНА ЮРЬЕВНА</v>
      </c>
      <c r="B1192" t="str">
        <f>"1959-10-20"</f>
        <v>1959-10-20</v>
      </c>
      <c r="C1192" t="str">
        <f>"65 05 364801"</f>
        <v>65 05 364801</v>
      </c>
      <c r="D1192" t="str">
        <f>"4279011618764479"</f>
        <v>4279011618764479</v>
      </c>
      <c r="E1192" t="str">
        <f t="shared" si="196"/>
        <v>2021-06-30</v>
      </c>
      <c r="F1192" t="str">
        <f t="shared" si="195"/>
        <v>+</v>
      </c>
      <c r="G1192" t="str">
        <f t="shared" si="194"/>
        <v>+</v>
      </c>
      <c r="H1192" t="str">
        <f>"40817810116991463150"</f>
        <v>40817810116991463150</v>
      </c>
      <c r="I1192" t="str">
        <f>"7003"</f>
        <v>7003</v>
      </c>
      <c r="J1192" t="str">
        <f>"0408"</f>
        <v>0408</v>
      </c>
      <c r="K1192" t="str">
        <f>"85000.00"</f>
        <v>85000.00</v>
      </c>
      <c r="L1192" t="str">
        <f>"620000 ОБЛ СВЕРДЛОВСКАЯ   Г ЕКАТЕРИНБУРГ   УЛ МАШИНОСТОИТЕЛЕЙ д. 19"</f>
        <v>620000 ОБЛ СВЕРДЛОВСКАЯ   Г ЕКАТЕРИНБУРГ   УЛ МАШИНОСТОИТЕЛЕЙ д. 19</v>
      </c>
      <c r="M1192" t="str">
        <f t="shared" si="191"/>
        <v>2019-08-24</v>
      </c>
      <c r="N1192" t="str">
        <f>"ПЕНСИОННЫЙ ФОНД РФ"</f>
        <v>ПЕНСИОННЫЙ ФОНД РФ</v>
      </c>
      <c r="O1192" t="str">
        <f>"620000"</f>
        <v>620000</v>
      </c>
      <c r="P1192" t="str">
        <f>"ОБЛ СВЕРДЛОВСКАЯ"</f>
        <v>ОБЛ СВЕРДЛОВСКАЯ</v>
      </c>
      <c r="Q1192" t="str">
        <f>""</f>
        <v/>
      </c>
      <c r="R1192" t="str">
        <f>"Г ЕКАТЕРИНБУРГ"</f>
        <v>Г ЕКАТЕРИНБУРГ</v>
      </c>
      <c r="S1192" t="str">
        <f>""</f>
        <v/>
      </c>
      <c r="T1192" t="str">
        <f>"ПЕР ЗАМЯТИНА"</f>
        <v>ПЕР ЗАМЯТИНА</v>
      </c>
      <c r="U1192" s="1" t="str">
        <f>"38"</f>
        <v>38</v>
      </c>
      <c r="V1192" s="1" t="str">
        <f>""</f>
        <v/>
      </c>
      <c r="W1192" s="1" t="str">
        <f>"1"</f>
        <v>1</v>
      </c>
      <c r="X1192" s="1" t="str">
        <f>""</f>
        <v/>
      </c>
      <c r="Y1192" s="1" t="str">
        <f>"52"</f>
        <v>52</v>
      </c>
      <c r="Z1192" t="str">
        <f>"9530073971"</f>
        <v>9530073971</v>
      </c>
      <c r="AA1192" t="str">
        <f>"3433525650"</f>
        <v>3433525650</v>
      </c>
      <c r="AB1192" t="str">
        <f>"9530073971"</f>
        <v>9530073971</v>
      </c>
      <c r="AC1192" t="str">
        <f>"9530073971"</f>
        <v>9530073971</v>
      </c>
      <c r="AD1192" t="str">
        <f>"9530073971"</f>
        <v>9530073971</v>
      </c>
      <c r="AE1192" t="str">
        <f>"9530073971"</f>
        <v>9530073971</v>
      </c>
    </row>
    <row r="1193" spans="1:31" x14ac:dyDescent="0.45">
      <c r="A1193" t="str">
        <f>"КОЛБАСА ВИКТОР НИКОЛАЕВИЧ"</f>
        <v>КОЛБАСА ВИКТОР НИКОЛАЕВИЧ</v>
      </c>
      <c r="B1193" t="str">
        <f>"1952-07-08"</f>
        <v>1952-07-08</v>
      </c>
      <c r="C1193" t="str">
        <f>"37 03 893989"</f>
        <v>37 03 893989</v>
      </c>
      <c r="D1193" t="str">
        <f>"4279011694194344"</f>
        <v>4279011694194344</v>
      </c>
      <c r="E1193" t="str">
        <f t="shared" si="196"/>
        <v>2021-06-30</v>
      </c>
      <c r="F1193" t="str">
        <f t="shared" si="195"/>
        <v>+</v>
      </c>
      <c r="G1193" t="str">
        <f t="shared" si="194"/>
        <v>+</v>
      </c>
      <c r="H1193" t="str">
        <f>"40817810716991463152"</f>
        <v>40817810716991463152</v>
      </c>
      <c r="I1193" t="str">
        <f>"8599"</f>
        <v>8599</v>
      </c>
      <c r="J1193" t="str">
        <f>"0051"</f>
        <v>0051</v>
      </c>
      <c r="K1193" t="str">
        <f>"15000.00"</f>
        <v>15000.00</v>
      </c>
      <c r="L1193" t="str">
        <f>"641000 ОБЛ КУРГАНСКАЯ Р-Н ВАРГАШИНСКИЙ   СТ ЮРАХЛЫ УЛ СТАНЦИОННАЯ д. 2 кв. 4"</f>
        <v>641000 ОБЛ КУРГАНСКАЯ Р-Н ВАРГАШИНСКИЙ   СТ ЮРАХЛЫ УЛ СТАНЦИОННАЯ д. 2 кв. 4</v>
      </c>
      <c r="M1193" t="str">
        <f t="shared" si="191"/>
        <v>2019-08-24</v>
      </c>
      <c r="N1193" t="str">
        <f>"ПЕНСИОНЕР"</f>
        <v>ПЕНСИОНЕР</v>
      </c>
      <c r="O1193" t="str">
        <f>"641000"</f>
        <v>641000</v>
      </c>
      <c r="P1193" t="str">
        <f>"ОБЛ КУРГАНСКАЯ"</f>
        <v>ОБЛ КУРГАНСКАЯ</v>
      </c>
      <c r="Q1193" t="str">
        <f>"Р-Н ВАРГАШИНСКИЙ"</f>
        <v>Р-Н ВАРГАШИНСКИЙ</v>
      </c>
      <c r="R1193" t="str">
        <f>""</f>
        <v/>
      </c>
      <c r="S1193" t="str">
        <f>"СТ ЮРАХЛЫ"</f>
        <v>СТ ЮРАХЛЫ</v>
      </c>
      <c r="T1193" t="str">
        <f>"УЛ СТАНЦИОННАЯ"</f>
        <v>УЛ СТАНЦИОННАЯ</v>
      </c>
      <c r="U1193" s="1" t="str">
        <f>"2"</f>
        <v>2</v>
      </c>
      <c r="V1193" s="1" t="str">
        <f>""</f>
        <v/>
      </c>
      <c r="W1193" s="1" t="str">
        <f>""</f>
        <v/>
      </c>
      <c r="X1193" s="1" t="str">
        <f>""</f>
        <v/>
      </c>
      <c r="Y1193" s="1" t="str">
        <f>"4"</f>
        <v>4</v>
      </c>
      <c r="Z1193" t="str">
        <f>"9088316406"</f>
        <v>9088316406</v>
      </c>
      <c r="AA1193" t="str">
        <f>"9512696917"</f>
        <v>9512696917</v>
      </c>
      <c r="AB1193" t="str">
        <f>"9512696917"</f>
        <v>9512696917</v>
      </c>
      <c r="AC1193" t="str">
        <f>"9088316406"</f>
        <v>9088316406</v>
      </c>
      <c r="AD1193" t="str">
        <f>"9088316406"</f>
        <v>9088316406</v>
      </c>
      <c r="AE1193" t="str">
        <f>"9088316406"</f>
        <v>9088316406</v>
      </c>
    </row>
    <row r="1194" spans="1:31" x14ac:dyDescent="0.45">
      <c r="A1194" t="str">
        <f>"РЯБОВ СЕРГЕЙ АЛЕКСАНДРОВИЧ"</f>
        <v>РЯБОВ СЕРГЕЙ АЛЕКСАНДРОВИЧ</v>
      </c>
      <c r="B1194" t="str">
        <f>"1954-11-26"</f>
        <v>1954-11-26</v>
      </c>
      <c r="C1194" t="str">
        <f>"65 16 255847"</f>
        <v>65 16 255847</v>
      </c>
      <c r="D1194" t="str">
        <f>"4279011612817034"</f>
        <v>4279011612817034</v>
      </c>
      <c r="E1194" t="str">
        <f t="shared" si="196"/>
        <v>2021-06-30</v>
      </c>
      <c r="F1194" t="str">
        <f t="shared" si="195"/>
        <v>+</v>
      </c>
      <c r="G1194" t="str">
        <f t="shared" si="194"/>
        <v>+</v>
      </c>
      <c r="H1194" t="str">
        <f>"40817810016991463153"</f>
        <v>40817810016991463153</v>
      </c>
      <c r="I1194" t="str">
        <f>"7003"</f>
        <v>7003</v>
      </c>
      <c r="J1194" t="str">
        <f>"0829"</f>
        <v>0829</v>
      </c>
      <c r="K1194" t="str">
        <f>"63000.00"</f>
        <v>63000.00</v>
      </c>
      <c r="L1194" t="str">
        <f>"620000 ОБЛ СВЕРДЛОВСКАЯ   Г НОВОУРАЛЬСК   УЛ КРУПСКОЙ д. 6"</f>
        <v>620000 ОБЛ СВЕРДЛОВСКАЯ   Г НОВОУРАЛЬСК   УЛ КРУПСКОЙ д. 6</v>
      </c>
      <c r="M1194" t="str">
        <f t="shared" si="191"/>
        <v>2019-08-24</v>
      </c>
      <c r="N1194" t="str">
        <f>"ПФР ГОРОДА НОВОУРАЛЬСКА"</f>
        <v>ПФР ГОРОДА НОВОУРАЛЬСКА</v>
      </c>
      <c r="O1194" t="str">
        <f>"620000"</f>
        <v>620000</v>
      </c>
      <c r="P1194" t="str">
        <f>"ОБЛ СВЕРДЛОВСКАЯ"</f>
        <v>ОБЛ СВЕРДЛОВСКАЯ</v>
      </c>
      <c r="Q1194" t="str">
        <f>""</f>
        <v/>
      </c>
      <c r="R1194" t="str">
        <f>"Г НОВОУРАЛЬСК"</f>
        <v>Г НОВОУРАЛЬСК</v>
      </c>
      <c r="S1194" t="str">
        <f>""</f>
        <v/>
      </c>
      <c r="T1194" t="str">
        <f>"УЛ МАКСИМА ГОРЬКОГО"</f>
        <v>УЛ МАКСИМА ГОРЬКОГО</v>
      </c>
      <c r="U1194" s="1" t="str">
        <f>"5Б"</f>
        <v>5Б</v>
      </c>
      <c r="V1194" s="1" t="str">
        <f>""</f>
        <v/>
      </c>
      <c r="W1194" s="1" t="str">
        <f>""</f>
        <v/>
      </c>
      <c r="X1194" s="1" t="str">
        <f>""</f>
        <v/>
      </c>
      <c r="Y1194" s="1" t="str">
        <f>"42"</f>
        <v>42</v>
      </c>
      <c r="Z1194" t="str">
        <f>""</f>
        <v/>
      </c>
      <c r="AA1194" t="str">
        <f>"3437046521"</f>
        <v>3437046521</v>
      </c>
      <c r="AB1194" t="str">
        <f>"9002006124"</f>
        <v>9002006124</v>
      </c>
      <c r="AC1194" t="str">
        <f>"3437046521"</f>
        <v>3437046521</v>
      </c>
      <c r="AD1194" t="str">
        <f>"9002006124"</f>
        <v>9002006124</v>
      </c>
      <c r="AE1194" t="str">
        <f>""</f>
        <v/>
      </c>
    </row>
    <row r="1195" spans="1:31" x14ac:dyDescent="0.45">
      <c r="A1195" t="str">
        <f>"ЗАГУРСКАЯ АННА ВЛАДИМИРОВНА"</f>
        <v>ЗАГУРСКАЯ АННА ВЛАДИМИРОВНА</v>
      </c>
      <c r="B1195" t="str">
        <f>"1972-12-12"</f>
        <v>1972-12-12</v>
      </c>
      <c r="C1195" t="str">
        <f>"65 17 536304"</f>
        <v>65 17 536304</v>
      </c>
      <c r="D1195" t="str">
        <f>"4279011645054076"</f>
        <v>4279011645054076</v>
      </c>
      <c r="E1195" t="str">
        <f t="shared" si="196"/>
        <v>2021-06-30</v>
      </c>
      <c r="F1195" t="str">
        <f t="shared" si="195"/>
        <v>+</v>
      </c>
      <c r="G1195" t="str">
        <f>"W"</f>
        <v>W</v>
      </c>
      <c r="H1195" t="str">
        <f>"40817810916991463156"</f>
        <v>40817810916991463156</v>
      </c>
      <c r="I1195" t="str">
        <f>"7003"</f>
        <v>7003</v>
      </c>
      <c r="J1195" t="str">
        <f>"0819"</f>
        <v>0819</v>
      </c>
      <c r="K1195" t="str">
        <f>"93000.00"</f>
        <v>93000.00</v>
      </c>
      <c r="L1195" t="str">
        <f>"620000 ОБЛ СВЕРДЛОВСКАЯ   Г ИВДЕЛЬ   УЛ ШКОЛЬНАЯ д. 23"</f>
        <v>620000 ОБЛ СВЕРДЛОВСКАЯ   Г ИВДЕЛЬ   УЛ ШКОЛЬНАЯ д. 23</v>
      </c>
      <c r="M1195" t="str">
        <f t="shared" si="191"/>
        <v>2019-08-24</v>
      </c>
      <c r="N1195" t="str">
        <f>"КАФЕ ТРАНЗИТ"</f>
        <v>КАФЕ ТРАНЗИТ</v>
      </c>
      <c r="O1195" t="str">
        <f>"693000"</f>
        <v>693000</v>
      </c>
      <c r="P1195" t="str">
        <f>"ОБЛ САХАЛИНСКАЯ"</f>
        <v>ОБЛ САХАЛИНСКАЯ</v>
      </c>
      <c r="Q1195" t="str">
        <f>""</f>
        <v/>
      </c>
      <c r="R1195" t="str">
        <f>"Г ИВДЕЛЬ"</f>
        <v>Г ИВДЕЛЬ</v>
      </c>
      <c r="S1195" t="str">
        <f>""</f>
        <v/>
      </c>
      <c r="T1195" t="str">
        <f>"УЛ ГОРНАЯ1-Я"</f>
        <v>УЛ ГОРНАЯ1-Я</v>
      </c>
      <c r="U1195" s="1" t="str">
        <f>"7"</f>
        <v>7</v>
      </c>
      <c r="V1195" s="1" t="str">
        <f>""</f>
        <v/>
      </c>
      <c r="W1195" s="1" t="str">
        <f>""</f>
        <v/>
      </c>
      <c r="X1195" s="1" t="str">
        <f>""</f>
        <v/>
      </c>
      <c r="Y1195" s="1" t="str">
        <f>"5"</f>
        <v>5</v>
      </c>
      <c r="Z1195" t="str">
        <f>"343 8623256"</f>
        <v>343 8623256</v>
      </c>
      <c r="AA1195" t="str">
        <f>"9086346496"</f>
        <v>9086346496</v>
      </c>
      <c r="AB1195" t="str">
        <f>"9086346496"</f>
        <v>9086346496</v>
      </c>
      <c r="AC1195" t="str">
        <f>"9086346496"</f>
        <v>9086346496</v>
      </c>
      <c r="AD1195" t="str">
        <f>"9086346496"</f>
        <v>9086346496</v>
      </c>
      <c r="AE1195" t="str">
        <f>""</f>
        <v/>
      </c>
    </row>
    <row r="1196" spans="1:31" x14ac:dyDescent="0.45">
      <c r="A1196" t="str">
        <f>"ХАЛИКОВА ФИЗАЛИЯ ЗАКИЯНОВНА"</f>
        <v>ХАЛИКОВА ФИЗАЛИЯ ЗАКИЯНОВНА</v>
      </c>
      <c r="B1196" t="str">
        <f>"1965-06-13"</f>
        <v>1965-06-13</v>
      </c>
      <c r="C1196" t="str">
        <f>"80 10 084722"</f>
        <v>80 10 084722</v>
      </c>
      <c r="D1196" t="str">
        <f>"4279011668388468"</f>
        <v>4279011668388468</v>
      </c>
      <c r="E1196" t="str">
        <f t="shared" si="196"/>
        <v>2021-06-30</v>
      </c>
      <c r="F1196" t="str">
        <f>"Y"</f>
        <v>Y</v>
      </c>
      <c r="G1196" t="str">
        <f>"Q"</f>
        <v>Q</v>
      </c>
      <c r="H1196" t="str">
        <f>"40817810216991463157"</f>
        <v>40817810216991463157</v>
      </c>
      <c r="I1196" t="str">
        <f>"8598"</f>
        <v>8598</v>
      </c>
      <c r="J1196" t="str">
        <f>"0637"</f>
        <v>0637</v>
      </c>
      <c r="K1196" t="str">
        <f>"0.00"</f>
        <v>0.00</v>
      </c>
      <c r="L1196" t="str">
        <f>"450000 РЕСП БАШКОРТОСТАН   Г ОКТЯБРЬСКИЙ   УЛ КУВЫКИНА д. 15"</f>
        <v>450000 РЕСП БАШКОРТОСТАН   Г ОКТЯБРЬСКИЙ   УЛ КУВЫКИНА д. 15</v>
      </c>
      <c r="M1196" t="str">
        <f t="shared" si="191"/>
        <v>2019-08-24</v>
      </c>
      <c r="N1196" t="str">
        <f>"ИП"</f>
        <v>ИП</v>
      </c>
      <c r="O1196" t="str">
        <f>"450000"</f>
        <v>450000</v>
      </c>
      <c r="P1196" t="str">
        <f>"РЕСП БАШКОРТОСТАН"</f>
        <v>РЕСП БАШКОРТОСТАН</v>
      </c>
      <c r="Q1196" t="str">
        <f>""</f>
        <v/>
      </c>
      <c r="R1196" t="str">
        <f>"Г ОКТЯБРЬСКИЙ"</f>
        <v>Г ОКТЯБРЬСКИЙ</v>
      </c>
      <c r="S1196" t="str">
        <f>""</f>
        <v/>
      </c>
      <c r="T1196" t="str">
        <f>"УЛ МАЛЬЦЕВА"</f>
        <v>УЛ МАЛЬЦЕВА</v>
      </c>
      <c r="U1196" s="1" t="str">
        <f>"2"</f>
        <v>2</v>
      </c>
      <c r="V1196" s="1" t="str">
        <f>"А"</f>
        <v>А</v>
      </c>
      <c r="W1196" s="1" t="str">
        <f>""</f>
        <v/>
      </c>
      <c r="X1196" s="1" t="str">
        <f>""</f>
        <v/>
      </c>
      <c r="Y1196" s="1" t="str">
        <f>""</f>
        <v/>
      </c>
      <c r="Z1196" t="str">
        <f>"3476754361"</f>
        <v>3476754361</v>
      </c>
      <c r="AA1196" t="str">
        <f>"9270862247"</f>
        <v>9270862247</v>
      </c>
      <c r="AB1196" t="str">
        <f>"9270862247"</f>
        <v>9270862247</v>
      </c>
      <c r="AC1196" t="str">
        <f>"9270862247"</f>
        <v>9270862247</v>
      </c>
      <c r="AD1196" t="str">
        <f>"9270862247"</f>
        <v>9270862247</v>
      </c>
      <c r="AE1196" t="str">
        <f>"3476754361"</f>
        <v>3476754361</v>
      </c>
    </row>
    <row r="1197" spans="1:31" x14ac:dyDescent="0.45">
      <c r="A1197" t="str">
        <f>"ПАВЛОВА РЕГИНА ФЛАРИСОВНА"</f>
        <v>ПАВЛОВА РЕГИНА ФЛАРИСОВНА</v>
      </c>
      <c r="B1197" t="str">
        <f>"1986-10-01"</f>
        <v>1986-10-01</v>
      </c>
      <c r="C1197" t="str">
        <f>"80 10 120329"</f>
        <v>80 10 120329</v>
      </c>
      <c r="D1197" t="str">
        <f>"4279011633899755"</f>
        <v>4279011633899755</v>
      </c>
      <c r="E1197" t="str">
        <f t="shared" si="196"/>
        <v>2021-06-30</v>
      </c>
      <c r="F1197" t="str">
        <f>"+"</f>
        <v>+</v>
      </c>
      <c r="G1197" t="str">
        <f>"+"</f>
        <v>+</v>
      </c>
      <c r="H1197" t="str">
        <f>"40817810816991463159"</f>
        <v>40817810816991463159</v>
      </c>
      <c r="I1197" t="str">
        <f>"8598"</f>
        <v>8598</v>
      </c>
      <c r="J1197" t="str">
        <f>"7770"</f>
        <v>7770</v>
      </c>
      <c r="K1197" t="str">
        <f>"60000.00"</f>
        <v>60000.00</v>
      </c>
      <c r="L1197" t="str">
        <f>"450000 РЕСП БАШКОРТОСТАН   Г УФА   УЛ ТРАМВАЙНАЯ д. 2/1"</f>
        <v>450000 РЕСП БАШКОРТОСТАН   Г УФА   УЛ ТРАМВАЙНАЯ д. 2/1</v>
      </c>
      <c r="M1197" t="str">
        <f t="shared" si="191"/>
        <v>2019-08-24</v>
      </c>
      <c r="N1197" t="str">
        <f>"ЭФЕС"</f>
        <v>ЭФЕС</v>
      </c>
      <c r="O1197" t="str">
        <f>"450000"</f>
        <v>450000</v>
      </c>
      <c r="P1197" t="str">
        <f>"РЕСП БАШКОРТОСТАН"</f>
        <v>РЕСП БАШКОРТОСТАН</v>
      </c>
      <c r="Q1197" t="str">
        <f>""</f>
        <v/>
      </c>
      <c r="R1197" t="str">
        <f>"Г УФА"</f>
        <v>Г УФА</v>
      </c>
      <c r="S1197" t="str">
        <f>""</f>
        <v/>
      </c>
      <c r="T1197" t="str">
        <f>"УЛ Б.БИКБАЯ"</f>
        <v>УЛ Б.БИКБАЯ</v>
      </c>
      <c r="U1197" s="1" t="str">
        <f>"19"</f>
        <v>19</v>
      </c>
      <c r="V1197" s="1" t="str">
        <f>""</f>
        <v/>
      </c>
      <c r="W1197" s="1" t="str">
        <f>"1"</f>
        <v>1</v>
      </c>
      <c r="X1197" s="1" t="str">
        <f>""</f>
        <v/>
      </c>
      <c r="Y1197" s="1" t="str">
        <f>"188"</f>
        <v>188</v>
      </c>
      <c r="Z1197" t="str">
        <f>"3472643030"</f>
        <v>3472643030</v>
      </c>
      <c r="AA1197" t="str">
        <f>"3472642525"</f>
        <v>3472642525</v>
      </c>
      <c r="AB1197" t="str">
        <f>"9656431419"</f>
        <v>9656431419</v>
      </c>
      <c r="AC1197" t="str">
        <f>"3472642525"</f>
        <v>3472642525</v>
      </c>
      <c r="AD1197" t="str">
        <f>"9656431419"</f>
        <v>9656431419</v>
      </c>
      <c r="AE1197" t="str">
        <f>"3472643030"</f>
        <v>3472643030</v>
      </c>
    </row>
    <row r="1198" spans="1:31" x14ac:dyDescent="0.45">
      <c r="A1198" t="str">
        <f>"СИДОРОВА ТАТЬЯНА БОРИСОВНА"</f>
        <v>СИДОРОВА ТАТЬЯНА БОРИСОВНА</v>
      </c>
      <c r="B1198" t="str">
        <f>"1962-05-31"</f>
        <v>1962-05-31</v>
      </c>
      <c r="C1198" t="str">
        <f>"37 07 196284"</f>
        <v>37 07 196284</v>
      </c>
      <c r="D1198" t="str">
        <f>"4854630408445297"</f>
        <v>4854630408445297</v>
      </c>
      <c r="E1198" t="str">
        <f>"2021-04-30"</f>
        <v>2021-04-30</v>
      </c>
      <c r="F1198" t="str">
        <f>"+"</f>
        <v>+</v>
      </c>
      <c r="G1198" t="str">
        <f>"+"</f>
        <v>+</v>
      </c>
      <c r="H1198" t="str">
        <f>"40817810616991427968"</f>
        <v>40817810616991427968</v>
      </c>
      <c r="I1198" t="str">
        <f>"8599"</f>
        <v>8599</v>
      </c>
      <c r="J1198" t="str">
        <f>"0111"</f>
        <v>0111</v>
      </c>
      <c r="K1198" t="str">
        <f>"40000.00"</f>
        <v>40000.00</v>
      </c>
      <c r="L1198" t="str">
        <f>"641000 ОБЛ КУРГАНСКАЯ Р-Н КЕТОВСКИЙ   С КЕТОВО УЛ КОСМОНАВТОВ д. 41"</f>
        <v>641000 ОБЛ КУРГАНСКАЯ Р-Н КЕТОВСКИЙ   С КЕТОВО УЛ КОСМОНАВТОВ д. 41</v>
      </c>
      <c r="M1198" t="str">
        <f t="shared" si="191"/>
        <v>2019-08-24</v>
      </c>
      <c r="N1198" t="str">
        <f>"УПФР"</f>
        <v>УПФР</v>
      </c>
      <c r="O1198" t="str">
        <f>"641000"</f>
        <v>641000</v>
      </c>
      <c r="P1198" t="str">
        <f>"ОБЛ КУРГАНСКАЯ"</f>
        <v>ОБЛ КУРГАНСКАЯ</v>
      </c>
      <c r="Q1198" t="str">
        <f>"Р-Н КЕТОВСКИЙ"</f>
        <v>Р-Н КЕТОВСКИЙ</v>
      </c>
      <c r="R1198" t="str">
        <f>""</f>
        <v/>
      </c>
      <c r="S1198" t="str">
        <f>"С ВВЕДЕНСКОЕ"</f>
        <v>С ВВЕДЕНСКОЕ</v>
      </c>
      <c r="T1198" t="str">
        <f>"УЛ МОЛОДЕЖНАЯ"</f>
        <v>УЛ МОЛОДЕЖНАЯ</v>
      </c>
      <c r="U1198" s="1" t="str">
        <f>"18"</f>
        <v>18</v>
      </c>
      <c r="V1198" s="1" t="str">
        <f>""</f>
        <v/>
      </c>
      <c r="W1198" s="1" t="str">
        <f>""</f>
        <v/>
      </c>
      <c r="X1198" s="1" t="str">
        <f>""</f>
        <v/>
      </c>
      <c r="Y1198" s="1" t="str">
        <f>"2"</f>
        <v>2</v>
      </c>
      <c r="Z1198" t="str">
        <f>"9091769705"</f>
        <v>9091769705</v>
      </c>
      <c r="AA1198" t="str">
        <f>"9195728587"</f>
        <v>9195728587</v>
      </c>
      <c r="AB1198" t="str">
        <f>"9195728587"</f>
        <v>9195728587</v>
      </c>
      <c r="AC1198" t="str">
        <f>"9195728587"</f>
        <v>9195728587</v>
      </c>
      <c r="AD1198" t="str">
        <f>"9195728587"</f>
        <v>9195728587</v>
      </c>
      <c r="AE1198" t="str">
        <f>"9091769705"</f>
        <v>9091769705</v>
      </c>
    </row>
    <row r="1199" spans="1:31" x14ac:dyDescent="0.45">
      <c r="A1199" t="str">
        <f>"ИЦКОВА ИРИНА ЮРЬЕВНА"</f>
        <v>ИЦКОВА ИРИНА ЮРЬЕВНА</v>
      </c>
      <c r="B1199" t="str">
        <f>"1985-05-20"</f>
        <v>1985-05-20</v>
      </c>
      <c r="C1199" t="str">
        <f>"75 09 620303"</f>
        <v>75 09 620303</v>
      </c>
      <c r="D1199" t="str">
        <f>"4279011688278772"</f>
        <v>4279011688278772</v>
      </c>
      <c r="E1199" t="str">
        <f>"2021-06-30"</f>
        <v>2021-06-30</v>
      </c>
      <c r="F1199" t="str">
        <f>"K"</f>
        <v>K</v>
      </c>
      <c r="G1199" t="str">
        <f t="shared" ref="G1199:G1207" si="197">"+"</f>
        <v>+</v>
      </c>
      <c r="H1199" t="str">
        <f>"40817810816991463243"</f>
        <v>40817810816991463243</v>
      </c>
      <c r="I1199" t="str">
        <f>"8597"</f>
        <v>8597</v>
      </c>
      <c r="J1199" t="str">
        <f>"0449"</f>
        <v>0449</v>
      </c>
      <c r="K1199" t="str">
        <f>"200000.00"</f>
        <v>200000.00</v>
      </c>
      <c r="L1199" t="str">
        <f>"454000 ОБЛ ЧЕЛЯБИНСКАЯ   Г ТРОИЦК   ПЛ МАЙСКАЯ д. 1"</f>
        <v>454000 ОБЛ ЧЕЛЯБИНСКАЯ   Г ТРОИЦК   ПЛ МАЙСКАЯ д. 1</v>
      </c>
      <c r="M1199" t="str">
        <f t="shared" si="191"/>
        <v>2019-08-24</v>
      </c>
      <c r="N1199" t="str">
        <f>"ГБУЗ ОБЛАСТНАЯ БОЛЬНИЦА Г. ТРОИЦКА"</f>
        <v>ГБУЗ ОБЛАСТНАЯ БОЛЬНИЦА Г. ТРОИЦКА</v>
      </c>
      <c r="O1199" t="str">
        <f>"454000"</f>
        <v>454000</v>
      </c>
      <c r="P1199" t="str">
        <f>"ОБЛ ЧЕЛЯБИНСКАЯ"</f>
        <v>ОБЛ ЧЕЛЯБИНСКАЯ</v>
      </c>
      <c r="Q1199" t="str">
        <f>"Р-Н ТРОИЦКИЙ"</f>
        <v>Р-Н ТРОИЦКИЙ</v>
      </c>
      <c r="R1199" t="str">
        <f>""</f>
        <v/>
      </c>
      <c r="S1199" t="str">
        <f>"П МОРОЗКИНА"</f>
        <v>П МОРОЗКИНА</v>
      </c>
      <c r="T1199" t="str">
        <f>"УЛ МОЛОДЕЖНАЯ"</f>
        <v>УЛ МОЛОДЕЖНАЯ</v>
      </c>
      <c r="U1199" s="1" t="str">
        <f>"7"</f>
        <v>7</v>
      </c>
      <c r="V1199" s="1" t="str">
        <f>""</f>
        <v/>
      </c>
      <c r="W1199" s="1" t="str">
        <f>""</f>
        <v/>
      </c>
      <c r="X1199" s="1" t="str">
        <f>""</f>
        <v/>
      </c>
      <c r="Y1199" s="1" t="str">
        <f>""</f>
        <v/>
      </c>
      <c r="Z1199" t="str">
        <f>"+7 (35163) 25514"</f>
        <v>+7 (35163) 25514</v>
      </c>
      <c r="AA1199" t="str">
        <f>"+7 (35163) 60205"</f>
        <v>+7 (35163) 60205</v>
      </c>
      <c r="AB1199" t="str">
        <f>"+7 (908) 0511039"</f>
        <v>+7 (908) 0511039</v>
      </c>
      <c r="AC1199" t="str">
        <f>"9507203807"</f>
        <v>9507203807</v>
      </c>
      <c r="AD1199" t="str">
        <f>"9080511039"</f>
        <v>9080511039</v>
      </c>
      <c r="AE1199" t="str">
        <f>""</f>
        <v/>
      </c>
    </row>
    <row r="1200" spans="1:31" x14ac:dyDescent="0.45">
      <c r="A1200" t="str">
        <f>"ОТТ ЕВГЕНИЯ ПАВЛОВНА"</f>
        <v>ОТТ ЕВГЕНИЯ ПАВЛОВНА</v>
      </c>
      <c r="B1200" t="str">
        <f>"1995-03-30"</f>
        <v>1995-03-30</v>
      </c>
      <c r="C1200" t="str">
        <f>"67 15 465073"</f>
        <v>67 15 465073</v>
      </c>
      <c r="D1200" t="str">
        <f>"5484016706640786"</f>
        <v>5484016706640786</v>
      </c>
      <c r="E1200" t="str">
        <f t="shared" ref="E1200:E1206" si="198">"2021-05-31"</f>
        <v>2021-05-31</v>
      </c>
      <c r="F1200" t="str">
        <f>"+"</f>
        <v>+</v>
      </c>
      <c r="G1200" t="str">
        <f t="shared" si="197"/>
        <v>+</v>
      </c>
      <c r="H1200" t="str">
        <f>"40817810316992350415"</f>
        <v>40817810316992350415</v>
      </c>
      <c r="I1200" t="str">
        <f>"5940"</f>
        <v>5940</v>
      </c>
      <c r="J1200" t="str">
        <f>"7770"</f>
        <v>7770</v>
      </c>
      <c r="K1200" t="str">
        <f>"25000.00"</f>
        <v>25000.00</v>
      </c>
      <c r="L1200" t="str">
        <f>"628400 ОБЛ ТЮМЕНСКАЯ     Г СУРГУТ УЛ МЕЛИК-КАРАМОВА д. 12"</f>
        <v>628400 ОБЛ ТЮМЕНСКАЯ     Г СУРГУТ УЛ МЕЛИК-КАРАМОВА д. 12</v>
      </c>
      <c r="M1200" t="str">
        <f t="shared" si="191"/>
        <v>2019-08-24</v>
      </c>
      <c r="N1200" t="str">
        <f>"МАОУДОД СДЮСШОР ОЛИМП"</f>
        <v>МАОУДОД СДЮСШОР ОЛИМП</v>
      </c>
      <c r="O1200" t="str">
        <f>"628400"</f>
        <v>628400</v>
      </c>
      <c r="P1200" t="str">
        <f t="shared" ref="P1200:P1207" si="199">"ОБЛ ТЮМЕНСКАЯ"</f>
        <v>ОБЛ ТЮМЕНСКАЯ</v>
      </c>
      <c r="Q1200" t="str">
        <f>"АО ХМАО-ЮГРА"</f>
        <v>АО ХМАО-ЮГРА</v>
      </c>
      <c r="R1200" t="str">
        <f>""</f>
        <v/>
      </c>
      <c r="S1200" t="str">
        <f>"Г СУРГУТ"</f>
        <v>Г СУРГУТ</v>
      </c>
      <c r="T1200" t="str">
        <f>"УЛ 30 ЛЕТ ПОБЕДЫ"</f>
        <v>УЛ 30 ЛЕТ ПОБЕДЫ</v>
      </c>
      <c r="U1200" s="1" t="str">
        <f>"44/3"</f>
        <v>44/3</v>
      </c>
      <c r="V1200" s="1" t="str">
        <f>""</f>
        <v/>
      </c>
      <c r="W1200" s="1" t="str">
        <f>""</f>
        <v/>
      </c>
      <c r="X1200" s="1" t="str">
        <f>""</f>
        <v/>
      </c>
      <c r="Y1200" s="1" t="str">
        <f>"36"</f>
        <v>36</v>
      </c>
      <c r="Z1200" t="str">
        <f>"3462267033"</f>
        <v>3462267033</v>
      </c>
      <c r="AA1200" t="str">
        <f>"9125126603"</f>
        <v>9125126603</v>
      </c>
      <c r="AB1200" t="str">
        <f>"9125126603"</f>
        <v>9125126603</v>
      </c>
      <c r="AC1200" t="str">
        <f>"9125126603"</f>
        <v>9125126603</v>
      </c>
      <c r="AD1200" t="str">
        <f>"9125126603"</f>
        <v>9125126603</v>
      </c>
      <c r="AE1200" t="str">
        <f>"3462267033"</f>
        <v>3462267033</v>
      </c>
    </row>
    <row r="1201" spans="1:31" x14ac:dyDescent="0.45">
      <c r="A1201" t="str">
        <f>"ЛУМПОВ АЛЕКСАНДР ВАЛЕНТИНОВИЧ"</f>
        <v>ЛУМПОВ АЛЕКСАНДР ВАЛЕНТИНОВИЧ</v>
      </c>
      <c r="B1201" t="str">
        <f>"1968-04-09"</f>
        <v>1968-04-09</v>
      </c>
      <c r="C1201" t="str">
        <f>"18 13 858164"</f>
        <v>18 13 858164</v>
      </c>
      <c r="D1201" t="str">
        <f>"4279016745647026"</f>
        <v>4279016745647026</v>
      </c>
      <c r="E1201" t="str">
        <f t="shared" si="198"/>
        <v>2021-05-31</v>
      </c>
      <c r="F1201" t="str">
        <f>"K"</f>
        <v>K</v>
      </c>
      <c r="G1201" t="str">
        <f t="shared" si="197"/>
        <v>+</v>
      </c>
      <c r="H1201" t="str">
        <f>"40817810116992350505"</f>
        <v>40817810116992350505</v>
      </c>
      <c r="I1201" t="str">
        <f>"8369"</f>
        <v>8369</v>
      </c>
      <c r="J1201" t="str">
        <f>"0050"</f>
        <v>0050</v>
      </c>
      <c r="K1201" t="str">
        <f>"185000.00"</f>
        <v>185000.00</v>
      </c>
      <c r="L1201" t="str">
        <f>"629730 ОБЛ ТЮМЕНСКАЯ   Г НАДЫМ   УЛ ПРОЕЗД 8"</f>
        <v>629730 ОБЛ ТЮМЕНСКАЯ   Г НАДЫМ   УЛ ПРОЕЗД 8</v>
      </c>
      <c r="M1201" t="str">
        <f t="shared" si="191"/>
        <v>2019-08-24</v>
      </c>
      <c r="N1201" t="str">
        <f>"РГС"</f>
        <v>РГС</v>
      </c>
      <c r="O1201" t="str">
        <f>"629730"</f>
        <v>629730</v>
      </c>
      <c r="P1201" t="str">
        <f t="shared" si="199"/>
        <v>ОБЛ ТЮМЕНСКАЯ</v>
      </c>
      <c r="Q1201" t="str">
        <f>""</f>
        <v/>
      </c>
      <c r="R1201" t="str">
        <f>"Г НАДЫМ"</f>
        <v>Г НАДЫМ</v>
      </c>
      <c r="S1201" t="str">
        <f>""</f>
        <v/>
      </c>
      <c r="T1201" t="str">
        <f>"УЛ ЛЕНИНГРАДСКИЙ"</f>
        <v>УЛ ЛЕНИНГРАДСКИЙ</v>
      </c>
      <c r="U1201" s="1" t="str">
        <f>"20/1"</f>
        <v>20/1</v>
      </c>
      <c r="V1201" s="1" t="str">
        <f>""</f>
        <v/>
      </c>
      <c r="W1201" s="1" t="str">
        <f>""</f>
        <v/>
      </c>
      <c r="X1201" s="1" t="str">
        <f>""</f>
        <v/>
      </c>
      <c r="Y1201" s="1" t="str">
        <f>"28"</f>
        <v>28</v>
      </c>
      <c r="Z1201" t="str">
        <f>"3499537804"</f>
        <v>3499537804</v>
      </c>
      <c r="AA1201" t="str">
        <f>"9222687782"</f>
        <v>9222687782</v>
      </c>
      <c r="AB1201" t="str">
        <f>"9224657993"</f>
        <v>9224657993</v>
      </c>
      <c r="AC1201" t="str">
        <f>"9222687782"</f>
        <v>9222687782</v>
      </c>
      <c r="AD1201" t="str">
        <f>"9224657993"</f>
        <v>9224657993</v>
      </c>
      <c r="AE1201" t="str">
        <f>"3499537804"</f>
        <v>3499537804</v>
      </c>
    </row>
    <row r="1202" spans="1:31" x14ac:dyDescent="0.45">
      <c r="A1202" t="str">
        <f>"СМИРНОВА ТАТЬЯНА ЮРЬЕВНА"</f>
        <v>СМИРНОВА ТАТЬЯНА ЮРЬЕВНА</v>
      </c>
      <c r="B1202" t="str">
        <f>"1968-10-16"</f>
        <v>1968-10-16</v>
      </c>
      <c r="C1202" t="str">
        <f>"71 13 033073"</f>
        <v>71 13 033073</v>
      </c>
      <c r="D1202" t="str">
        <f>"5484016705593242"</f>
        <v>5484016705593242</v>
      </c>
      <c r="E1202" t="str">
        <f t="shared" si="198"/>
        <v>2021-05-31</v>
      </c>
      <c r="F1202" t="str">
        <f t="shared" ref="F1202:F1207" si="200">"+"</f>
        <v>+</v>
      </c>
      <c r="G1202" t="str">
        <f t="shared" si="197"/>
        <v>+</v>
      </c>
      <c r="H1202" t="str">
        <f>"40817810316992099556"</f>
        <v>40817810316992099556</v>
      </c>
      <c r="I1202" t="str">
        <f>"8647"</f>
        <v>8647</v>
      </c>
      <c r="J1202" t="str">
        <f>"7770"</f>
        <v>7770</v>
      </c>
      <c r="K1202" t="str">
        <f>"50000.00"</f>
        <v>50000.00</v>
      </c>
      <c r="L1202" t="str">
        <f>"625000 ОБЛ ТЮМЕНСКАЯ   Г ТЮМЕНЬ   УЛ ЮРИЯ СЕМОВСКИХ д. 10"</f>
        <v>625000 ОБЛ ТЮМЕНСКАЯ   Г ТЮМЕНЬ   УЛ ЮРИЯ СЕМОВСКИХ д. 10</v>
      </c>
      <c r="M1202" t="str">
        <f t="shared" si="191"/>
        <v>2019-08-24</v>
      </c>
      <c r="N1202" t="str">
        <f>"ОКБ № 1"</f>
        <v>ОКБ № 1</v>
      </c>
      <c r="O1202" t="str">
        <f>"625000"</f>
        <v>625000</v>
      </c>
      <c r="P1202" t="str">
        <f t="shared" si="199"/>
        <v>ОБЛ ТЮМЕНСКАЯ</v>
      </c>
      <c r="Q1202" t="str">
        <f>""</f>
        <v/>
      </c>
      <c r="R1202" t="str">
        <f>"Г ТЮМЕНЬ"</f>
        <v>Г ТЮМЕНЬ</v>
      </c>
      <c r="S1202" t="str">
        <f>""</f>
        <v/>
      </c>
      <c r="T1202" t="str">
        <f>"УЛ МЕЛЬНИКАЙТЕ"</f>
        <v>УЛ МЕЛЬНИКАЙТЕ</v>
      </c>
      <c r="U1202" s="1" t="str">
        <f>"50А"</f>
        <v>50А</v>
      </c>
      <c r="V1202" s="1" t="str">
        <f>""</f>
        <v/>
      </c>
      <c r="W1202" s="1" t="str">
        <f>""</f>
        <v/>
      </c>
      <c r="X1202" s="1" t="str">
        <f>""</f>
        <v/>
      </c>
      <c r="Y1202" s="1" t="str">
        <f>"24"</f>
        <v>24</v>
      </c>
      <c r="Z1202" t="str">
        <f>"3452294124"</f>
        <v>3452294124</v>
      </c>
      <c r="AA1202" t="str">
        <f>"9292699900"</f>
        <v>9292699900</v>
      </c>
      <c r="AB1202" t="str">
        <f>"9292699900"</f>
        <v>9292699900</v>
      </c>
      <c r="AC1202" t="str">
        <f>"9292699900"</f>
        <v>9292699900</v>
      </c>
      <c r="AD1202" t="str">
        <f>"9292699900"</f>
        <v>9292699900</v>
      </c>
      <c r="AE1202" t="str">
        <f>"3452294124"</f>
        <v>3452294124</v>
      </c>
    </row>
    <row r="1203" spans="1:31" x14ac:dyDescent="0.45">
      <c r="A1203" t="str">
        <f>"ХОХЛОВА ЕЛЕНА ВАСИЛЬЕВНА"</f>
        <v>ХОХЛОВА ЕЛЕНА ВАСИЛЬЕВНА</v>
      </c>
      <c r="B1203" t="str">
        <f>"1953-06-27"</f>
        <v>1953-06-27</v>
      </c>
      <c r="C1203" t="str">
        <f>"71 03 990874"</f>
        <v>71 03 990874</v>
      </c>
      <c r="D1203" t="str">
        <f>"5484016701587404"</f>
        <v>5484016701587404</v>
      </c>
      <c r="E1203" t="str">
        <f t="shared" si="198"/>
        <v>2021-05-31</v>
      </c>
      <c r="F1203" t="str">
        <f t="shared" si="200"/>
        <v>+</v>
      </c>
      <c r="G1203" t="str">
        <f t="shared" si="197"/>
        <v>+</v>
      </c>
      <c r="H1203" t="str">
        <f>"40817810316992099941"</f>
        <v>40817810316992099941</v>
      </c>
      <c r="I1203" t="str">
        <f>"8647"</f>
        <v>8647</v>
      </c>
      <c r="J1203" t="str">
        <f>"7770"</f>
        <v>7770</v>
      </c>
      <c r="K1203" t="str">
        <f>"400000.00"</f>
        <v>400000.00</v>
      </c>
      <c r="L1203" t="str">
        <f>"625000 ОБЛ ТЮМЕНСКАЯ Р-Н ЦЕНТРАЛЬНОГО Г ТЮМЕНЬ Г ТЮМЕНЬ УЛ РЕСПУБЛИКИ д. 155А"</f>
        <v>625000 ОБЛ ТЮМЕНСКАЯ Р-Н ЦЕНТРАЛЬНОГО Г ТЮМЕНЬ Г ТЮМЕНЬ УЛ РЕСПУБЛИКИ д. 155А</v>
      </c>
      <c r="M1203" t="str">
        <f t="shared" si="191"/>
        <v>2019-08-24</v>
      </c>
      <c r="N1203" t="str">
        <f>"ООО ПРЕСТИЖ ЛЮКС"</f>
        <v>ООО ПРЕСТИЖ ЛЮКС</v>
      </c>
      <c r="O1203" t="str">
        <f>"625000"</f>
        <v>625000</v>
      </c>
      <c r="P1203" t="str">
        <f t="shared" si="199"/>
        <v>ОБЛ ТЮМЕНСКАЯ</v>
      </c>
      <c r="Q1203" t="str">
        <f>"Р-Н ЦЕНТРАЛЬНОГО"</f>
        <v>Р-Н ЦЕНТРАЛЬНОГО</v>
      </c>
      <c r="R1203" t="str">
        <f>"Г ТЮМЕНЬ"</f>
        <v>Г ТЮМЕНЬ</v>
      </c>
      <c r="S1203" t="str">
        <f>"Г ТЮМЕНЬ"</f>
        <v>Г ТЮМЕНЬ</v>
      </c>
      <c r="T1203" t="str">
        <f>"УЛ ХОХРЯКОВА"</f>
        <v>УЛ ХОХРЯКОВА</v>
      </c>
      <c r="U1203" s="1" t="str">
        <f>"97"</f>
        <v>97</v>
      </c>
      <c r="V1203" s="1" t="str">
        <f>""</f>
        <v/>
      </c>
      <c r="W1203" s="1" t="str">
        <f>""</f>
        <v/>
      </c>
      <c r="X1203" s="1" t="str">
        <f>""</f>
        <v/>
      </c>
      <c r="Y1203" s="1" t="str">
        <f>"51"</f>
        <v>51</v>
      </c>
      <c r="Z1203" t="str">
        <f>"3452753267"</f>
        <v>3452753267</v>
      </c>
      <c r="AA1203" t="str">
        <f>"9829155755"</f>
        <v>9829155755</v>
      </c>
      <c r="AB1203" t="str">
        <f>"9829155755"</f>
        <v>9829155755</v>
      </c>
      <c r="AC1203" t="str">
        <f>"9829155755"</f>
        <v>9829155755</v>
      </c>
      <c r="AD1203" t="str">
        <f>"9829155755"</f>
        <v>9829155755</v>
      </c>
      <c r="AE1203" t="str">
        <f>"3452753267"</f>
        <v>3452753267</v>
      </c>
    </row>
    <row r="1204" spans="1:31" x14ac:dyDescent="0.45">
      <c r="A1204" t="str">
        <f>"СУСЛОВА ЯНА СЕРГЕЕВНА"</f>
        <v>СУСЛОВА ЯНА СЕРГЕЕВНА</v>
      </c>
      <c r="B1204" t="str">
        <f>"1982-05-01"</f>
        <v>1982-05-01</v>
      </c>
      <c r="C1204" t="str">
        <f>"65 05 488057"</f>
        <v>65 05 488057</v>
      </c>
      <c r="D1204" t="str">
        <f>"5484016708809801"</f>
        <v>5484016708809801</v>
      </c>
      <c r="E1204" t="str">
        <f t="shared" si="198"/>
        <v>2021-05-31</v>
      </c>
      <c r="F1204" t="str">
        <f t="shared" si="200"/>
        <v>+</v>
      </c>
      <c r="G1204" t="str">
        <f t="shared" si="197"/>
        <v>+</v>
      </c>
      <c r="H1204" t="str">
        <f>"40817810916992402255"</f>
        <v>40817810916992402255</v>
      </c>
      <c r="I1204" t="str">
        <f>"8647"</f>
        <v>8647</v>
      </c>
      <c r="J1204" t="str">
        <f>"7770"</f>
        <v>7770</v>
      </c>
      <c r="K1204" t="str">
        <f>"175000.00"</f>
        <v>175000.00</v>
      </c>
      <c r="L1204" t="str">
        <f>"625013 ОБЛ ТЮМЕНСКАЯ   Г ТЮМЕНЬ   УЛ ЭНЕРГЕТИКОВ д. 26"</f>
        <v>625013 ОБЛ ТЮМЕНСКАЯ   Г ТЮМЕНЬ   УЛ ЭНЕРГЕТИКОВ д. 26</v>
      </c>
      <c r="M1204" t="str">
        <f t="shared" si="191"/>
        <v>2019-08-24</v>
      </c>
      <c r="N1204" t="str">
        <f>"ОКБ 1"</f>
        <v>ОКБ 1</v>
      </c>
      <c r="O1204" t="str">
        <f>"625000"</f>
        <v>625000</v>
      </c>
      <c r="P1204" t="str">
        <f t="shared" si="199"/>
        <v>ОБЛ ТЮМЕНСКАЯ</v>
      </c>
      <c r="Q1204" t="str">
        <f>""</f>
        <v/>
      </c>
      <c r="R1204" t="str">
        <f>"Г ТЮМЕНЬ"</f>
        <v>Г ТЮМЕНЬ</v>
      </c>
      <c r="S1204" t="str">
        <f>""</f>
        <v/>
      </c>
      <c r="T1204" t="str">
        <f>"УЛ ШИРОТНАЯ"</f>
        <v>УЛ ШИРОТНАЯ</v>
      </c>
      <c r="U1204" s="1" t="str">
        <f>"192"</f>
        <v>192</v>
      </c>
      <c r="V1204" s="1" t="str">
        <f>""</f>
        <v/>
      </c>
      <c r="W1204" s="1" t="str">
        <f>"1"</f>
        <v>1</v>
      </c>
      <c r="X1204" s="1" t="str">
        <f>""</f>
        <v/>
      </c>
      <c r="Y1204" s="1" t="str">
        <f>"177"</f>
        <v>177</v>
      </c>
      <c r="Z1204" t="str">
        <f>"3452560010"</f>
        <v>3452560010</v>
      </c>
      <c r="AA1204" t="str">
        <f>"9088698492"</f>
        <v>9088698492</v>
      </c>
      <c r="AB1204" t="str">
        <f>"9088698492"</f>
        <v>9088698492</v>
      </c>
      <c r="AC1204" t="str">
        <f>"9088698492"</f>
        <v>9088698492</v>
      </c>
      <c r="AD1204" t="str">
        <f>"9088698492"</f>
        <v>9088698492</v>
      </c>
      <c r="AE1204" t="str">
        <f>"3452560010"</f>
        <v>3452560010</v>
      </c>
    </row>
    <row r="1205" spans="1:31" x14ac:dyDescent="0.45">
      <c r="A1205" t="str">
        <f>"ШАНИНА ЛИЛИЯ ВЛАДИМИРОВНА"</f>
        <v>ШАНИНА ЛИЛИЯ ВЛАДИМИРОВНА</v>
      </c>
      <c r="B1205" t="str">
        <f>"1983-09-14"</f>
        <v>1983-09-14</v>
      </c>
      <c r="C1205" t="str">
        <f>"71 04 291715"</f>
        <v>71 04 291715</v>
      </c>
      <c r="D1205" t="str">
        <f>"5484016707324794"</f>
        <v>5484016707324794</v>
      </c>
      <c r="E1205" t="str">
        <f t="shared" si="198"/>
        <v>2021-05-31</v>
      </c>
      <c r="F1205" t="str">
        <f t="shared" si="200"/>
        <v>+</v>
      </c>
      <c r="G1205" t="str">
        <f t="shared" si="197"/>
        <v>+</v>
      </c>
      <c r="H1205" t="str">
        <f>"40817810716992402358"</f>
        <v>40817810716992402358</v>
      </c>
      <c r="I1205" t="str">
        <f>"8647"</f>
        <v>8647</v>
      </c>
      <c r="J1205" t="str">
        <f>"7770"</f>
        <v>7770</v>
      </c>
      <c r="K1205" t="str">
        <f>"175000.00"</f>
        <v>175000.00</v>
      </c>
      <c r="L1205" t="str">
        <f>"625000 ОБЛ ТЮМЕНСКАЯ   Г ТЮМЕНЬ   УЛ КОТОВСКОГО д. 55"</f>
        <v>625000 ОБЛ ТЮМЕНСКАЯ   Г ТЮМЕНЬ   УЛ КОТОВСКОГО д. 55</v>
      </c>
      <c r="M1205" t="str">
        <f t="shared" si="191"/>
        <v>2019-08-24</v>
      </c>
      <c r="N1205" t="str">
        <f>"ОКБ 1"</f>
        <v>ОКБ 1</v>
      </c>
      <c r="O1205" t="str">
        <f>"625000"</f>
        <v>625000</v>
      </c>
      <c r="P1205" t="str">
        <f t="shared" si="199"/>
        <v>ОБЛ ТЮМЕНСКАЯ</v>
      </c>
      <c r="Q1205" t="str">
        <f>""</f>
        <v/>
      </c>
      <c r="R1205" t="str">
        <f>"Г ТЮМЕНЬ"</f>
        <v>Г ТЮМЕНЬ</v>
      </c>
      <c r="S1205" t="str">
        <f>""</f>
        <v/>
      </c>
      <c r="T1205" t="str">
        <f>"УЛ 30 ЛЕТ ПОБЕДЫ"</f>
        <v>УЛ 30 ЛЕТ ПОБЕДЫ</v>
      </c>
      <c r="U1205" s="1" t="str">
        <f>"76"</f>
        <v>76</v>
      </c>
      <c r="V1205" s="1" t="str">
        <f>""</f>
        <v/>
      </c>
      <c r="W1205" s="1" t="str">
        <f>""</f>
        <v/>
      </c>
      <c r="X1205" s="1" t="str">
        <f>""</f>
        <v/>
      </c>
      <c r="Y1205" s="1" t="str">
        <f>"110"</f>
        <v>110</v>
      </c>
      <c r="Z1205" t="str">
        <f>"3452287625"</f>
        <v>3452287625</v>
      </c>
      <c r="AA1205" t="str">
        <f>"9123897335"</f>
        <v>9123897335</v>
      </c>
      <c r="AB1205" t="str">
        <f>"9123897335"</f>
        <v>9123897335</v>
      </c>
      <c r="AC1205" t="str">
        <f>"9123897335"</f>
        <v>9123897335</v>
      </c>
      <c r="AD1205" t="str">
        <f>"9123897335"</f>
        <v>9123897335</v>
      </c>
      <c r="AE1205" t="str">
        <f>"3452287625"</f>
        <v>3452287625</v>
      </c>
    </row>
    <row r="1206" spans="1:31" x14ac:dyDescent="0.45">
      <c r="A1206" t="str">
        <f>"ПОЛОВОДОВА МАРИНА ОЛЕГОВНА"</f>
        <v>ПОЛОВОДОВА МАРИНА ОЛЕГОВНА</v>
      </c>
      <c r="B1206" t="str">
        <f>"1995-09-15"</f>
        <v>1995-09-15</v>
      </c>
      <c r="C1206" t="str">
        <f>"71 15 168943"</f>
        <v>71 15 168943</v>
      </c>
      <c r="D1206" t="str">
        <f>"5484016704769272"</f>
        <v>5484016704769272</v>
      </c>
      <c r="E1206" t="str">
        <f t="shared" si="198"/>
        <v>2021-05-31</v>
      </c>
      <c r="F1206" t="str">
        <f t="shared" si="200"/>
        <v>+</v>
      </c>
      <c r="G1206" t="str">
        <f t="shared" si="197"/>
        <v>+</v>
      </c>
      <c r="H1206" t="str">
        <f>"40817810816992402449"</f>
        <v>40817810816992402449</v>
      </c>
      <c r="I1206" t="str">
        <f>"8647"</f>
        <v>8647</v>
      </c>
      <c r="J1206" t="str">
        <f>"0295"</f>
        <v>0295</v>
      </c>
      <c r="K1206" t="str">
        <f>"50000.00"</f>
        <v>50000.00</v>
      </c>
      <c r="L1206" t="str">
        <f>"626150 ОБЛ ТЮМЕНСКАЯ   Г ТОБОЛЬСК   МКР 8 д. 1"</f>
        <v>626150 ОБЛ ТЮМЕНСКАЯ   Г ТОБОЛЬСК   МКР 8 д. 1</v>
      </c>
      <c r="M1206" t="str">
        <f t="shared" si="191"/>
        <v>2019-08-24</v>
      </c>
      <c r="N1206" t="str">
        <f>"БЭТА ТЮМЕНЬ"</f>
        <v>БЭТА ТЮМЕНЬ</v>
      </c>
      <c r="O1206" t="str">
        <f>"626150"</f>
        <v>626150</v>
      </c>
      <c r="P1206" t="str">
        <f t="shared" si="199"/>
        <v>ОБЛ ТЮМЕНСКАЯ</v>
      </c>
      <c r="Q1206" t="str">
        <f>"Р-Н ВАГАЙСКИЙ"</f>
        <v>Р-Н ВАГАЙСКИЙ</v>
      </c>
      <c r="R1206" t="str">
        <f>""</f>
        <v/>
      </c>
      <c r="S1206" t="str">
        <f>"С КУЛАРОВО"</f>
        <v>С КУЛАРОВО</v>
      </c>
      <c r="T1206" t="str">
        <f>"УЛ НОВАЯ"</f>
        <v>УЛ НОВАЯ</v>
      </c>
      <c r="U1206" s="1" t="str">
        <f>"27"</f>
        <v>27</v>
      </c>
      <c r="V1206" s="1" t="str">
        <f>""</f>
        <v/>
      </c>
      <c r="W1206" s="1" t="str">
        <f>""</f>
        <v/>
      </c>
      <c r="X1206" s="1" t="str">
        <f>""</f>
        <v/>
      </c>
      <c r="Y1206" s="1" t="str">
        <f>""</f>
        <v/>
      </c>
      <c r="Z1206" t="str">
        <f>""</f>
        <v/>
      </c>
      <c r="AA1206" t="str">
        <f>"9829172448"</f>
        <v>9829172448</v>
      </c>
      <c r="AB1206" t="str">
        <f>"9123861422"</f>
        <v>9123861422</v>
      </c>
      <c r="AC1206" t="str">
        <f>"9829172448"</f>
        <v>9829172448</v>
      </c>
      <c r="AD1206" t="str">
        <f>"9123861422"</f>
        <v>9123861422</v>
      </c>
      <c r="AE1206" t="str">
        <f>""</f>
        <v/>
      </c>
    </row>
    <row r="1207" spans="1:31" x14ac:dyDescent="0.45">
      <c r="A1207" t="str">
        <f>"ГРАФКИНА АНАСТАСИЯ АЛЕКСАНДРОВНА"</f>
        <v>ГРАФКИНА АНАСТАСИЯ АЛЕКСАНДРОВНА</v>
      </c>
      <c r="B1207" t="str">
        <f>"1979-04-28"</f>
        <v>1979-04-28</v>
      </c>
      <c r="C1207" t="str">
        <f>"74 14 873924"</f>
        <v>74 14 873924</v>
      </c>
      <c r="D1207" t="str">
        <f>"4854630406451214"</f>
        <v>4854630406451214</v>
      </c>
      <c r="E1207" t="str">
        <f>"2020-11-30"</f>
        <v>2020-11-30</v>
      </c>
      <c r="F1207" t="str">
        <f t="shared" si="200"/>
        <v>+</v>
      </c>
      <c r="G1207" t="str">
        <f t="shared" si="197"/>
        <v>+</v>
      </c>
      <c r="H1207" t="str">
        <f>"40817810216992112863"</f>
        <v>40817810216992112863</v>
      </c>
      <c r="I1207" t="str">
        <f>"8369"</f>
        <v>8369</v>
      </c>
      <c r="J1207" t="str">
        <f>"0003"</f>
        <v>0003</v>
      </c>
      <c r="K1207" t="str">
        <f>"200000.00"</f>
        <v>200000.00</v>
      </c>
      <c r="L1207" t="str">
        <f>"629300 ОБЛ ТЮМЕНСКАЯ АО ЯНАО Г НОВЫЙ УРЕНГОЙ   УЛ ЮЖНАЯ д. 2А"</f>
        <v>629300 ОБЛ ТЮМЕНСКАЯ АО ЯНАО Г НОВЫЙ УРЕНГОЙ   УЛ ЮЖНАЯ д. 2А</v>
      </c>
      <c r="M1207" t="str">
        <f t="shared" si="191"/>
        <v>2019-08-24</v>
      </c>
      <c r="N1207" t="str">
        <f>"ООО НГХК"</f>
        <v>ООО НГХК</v>
      </c>
      <c r="O1207" t="str">
        <f>"629300"</f>
        <v>629300</v>
      </c>
      <c r="P1207" t="str">
        <f t="shared" si="199"/>
        <v>ОБЛ ТЮМЕНСКАЯ</v>
      </c>
      <c r="Q1207" t="str">
        <f>"АО ЯНАО"</f>
        <v>АО ЯНАО</v>
      </c>
      <c r="R1207" t="str">
        <f>"Г НОВЫЙ УРЕНГОЙ"</f>
        <v>Г НОВЫЙ УРЕНГОЙ</v>
      </c>
      <c r="S1207" t="str">
        <f>""</f>
        <v/>
      </c>
      <c r="T1207" t="str">
        <f>"ПР-КТ ГУБКИНА"</f>
        <v>ПР-КТ ГУБКИНА</v>
      </c>
      <c r="U1207" s="1" t="str">
        <f>"26"</f>
        <v>26</v>
      </c>
      <c r="V1207" s="1" t="str">
        <f>""</f>
        <v/>
      </c>
      <c r="W1207" s="1" t="str">
        <f>""</f>
        <v/>
      </c>
      <c r="X1207" s="1" t="str">
        <f>""</f>
        <v/>
      </c>
      <c r="Y1207" s="1" t="str">
        <f>"138"</f>
        <v>138</v>
      </c>
      <c r="Z1207" t="str">
        <f>"3494970405"</f>
        <v>3494970405</v>
      </c>
      <c r="AA1207" t="str">
        <f>"9821640003"</f>
        <v>9821640003</v>
      </c>
      <c r="AB1207" t="str">
        <f>"9821640003"</f>
        <v>9821640003</v>
      </c>
      <c r="AC1207" t="str">
        <f>"9821640003"</f>
        <v>9821640003</v>
      </c>
      <c r="AD1207" t="str">
        <f>"9821640003"</f>
        <v>9821640003</v>
      </c>
      <c r="AE1207" t="str">
        <f>"9821640003"</f>
        <v>9821640003</v>
      </c>
    </row>
    <row r="1208" spans="1:31" x14ac:dyDescent="0.45">
      <c r="A1208" t="str">
        <f>"ФОРМАНЮК ВАЛЕНТИНА АЛЕКСАНДРОВНА"</f>
        <v>ФОРМАНЮК ВАЛЕНТИНА АЛЕКСАНДРОВНА</v>
      </c>
      <c r="B1208" t="str">
        <f>"1989-02-22"</f>
        <v>1989-02-22</v>
      </c>
      <c r="C1208" t="str">
        <f>"80 08 765943"</f>
        <v>80 08 765943</v>
      </c>
      <c r="D1208" t="str">
        <f>"4854630419335016"</f>
        <v>4854630419335016</v>
      </c>
      <c r="E1208" t="str">
        <f>"2020-11-30"</f>
        <v>2020-11-30</v>
      </c>
      <c r="F1208" t="str">
        <f>"Q"</f>
        <v>Q</v>
      </c>
      <c r="G1208" t="str">
        <f>"Q"</f>
        <v>Q</v>
      </c>
      <c r="H1208" t="str">
        <f>"40817810916991391299"</f>
        <v>40817810916991391299</v>
      </c>
      <c r="I1208" t="str">
        <f>"8598"</f>
        <v>8598</v>
      </c>
      <c r="J1208" t="str">
        <f>"0183"</f>
        <v>0183</v>
      </c>
      <c r="K1208" t="str">
        <f>"0.00"</f>
        <v>0.00</v>
      </c>
      <c r="L1208" t="str">
        <f>"450000 РЕСП БАШКОРТОСТАН   Г УФА   УЛ ЖУКОВА д. 30 офис 1"</f>
        <v>450000 РЕСП БАШКОРТОСТАН   Г УФА   УЛ ЖУКОВА д. 30 офис 1</v>
      </c>
      <c r="M1208" t="str">
        <f t="shared" si="191"/>
        <v>2019-08-24</v>
      </c>
      <c r="N1208" t="str">
        <f>"ООО САТУРНСТРОЙМАРКЕТ"</f>
        <v>ООО САТУРНСТРОЙМАРКЕТ</v>
      </c>
      <c r="O1208" t="str">
        <f>"450105"</f>
        <v>450105</v>
      </c>
      <c r="P1208" t="str">
        <f>"РЕСП БАШКОРТОСТАН"</f>
        <v>РЕСП БАШКОРТОСТАН</v>
      </c>
      <c r="Q1208" t="str">
        <f>""</f>
        <v/>
      </c>
      <c r="R1208" t="str">
        <f>"Г УФА"</f>
        <v>Г УФА</v>
      </c>
      <c r="S1208" t="str">
        <f>""</f>
        <v/>
      </c>
      <c r="T1208" t="str">
        <f>"УЛ ЮРИЯ ГАГАРИНА"</f>
        <v>УЛ ЮРИЯ ГАГАРИНА</v>
      </c>
      <c r="U1208" s="1" t="str">
        <f>"52"</f>
        <v>52</v>
      </c>
      <c r="V1208" s="1" t="str">
        <f>""</f>
        <v/>
      </c>
      <c r="W1208" s="1" t="str">
        <f>"1"</f>
        <v>1</v>
      </c>
      <c r="X1208" s="1" t="str">
        <f>""</f>
        <v/>
      </c>
      <c r="Y1208" s="1" t="str">
        <f>"47"</f>
        <v>47</v>
      </c>
      <c r="Z1208" t="str">
        <f>""</f>
        <v/>
      </c>
      <c r="AA1208" t="str">
        <f>"9875803556"</f>
        <v>9875803556</v>
      </c>
      <c r="AB1208" t="str">
        <f>"9875803556"</f>
        <v>9875803556</v>
      </c>
      <c r="AC1208" t="str">
        <f>"9875803556"</f>
        <v>9875803556</v>
      </c>
      <c r="AD1208" t="str">
        <f>"9875803556"</f>
        <v>9875803556</v>
      </c>
      <c r="AE1208" t="str">
        <f>""</f>
        <v/>
      </c>
    </row>
    <row r="1209" spans="1:31" x14ac:dyDescent="0.45">
      <c r="A1209" t="str">
        <f>"БАДЫРХАНОВА РАЙСАТ БАГАУТДИНОВНА"</f>
        <v>БАДЫРХАНОВА РАЙСАТ БАГАУТДИНОВНА</v>
      </c>
      <c r="B1209" t="str">
        <f>"1966-11-10"</f>
        <v>1966-11-10</v>
      </c>
      <c r="C1209" t="str">
        <f>"67 11 148500"</f>
        <v>67 11 148500</v>
      </c>
      <c r="D1209" t="str">
        <f>"5313100209483659"</f>
        <v>5313100209483659</v>
      </c>
      <c r="E1209" t="str">
        <f>"2021-04-30"</f>
        <v>2021-04-30</v>
      </c>
      <c r="F1209" t="str">
        <f>"+"</f>
        <v>+</v>
      </c>
      <c r="G1209" t="str">
        <f>"+"</f>
        <v>+</v>
      </c>
      <c r="H1209" t="str">
        <f>"40817810116992450887"</f>
        <v>40817810116992450887</v>
      </c>
      <c r="I1209" t="str">
        <f>"5940"</f>
        <v>5940</v>
      </c>
      <c r="J1209" t="str">
        <f>"0016"</f>
        <v>0016</v>
      </c>
      <c r="K1209" t="str">
        <f>"70000.00"</f>
        <v>70000.00</v>
      </c>
      <c r="L1209" t="str">
        <f>"628433 ОБЛ ТЮМЕНСКАЯ Р-Н СУРГУТСКИЙ   П БЕЛЫЙ ЯР УЛ ЛЕСНАЯ д. 11 корп. А кв. 15"</f>
        <v>628433 ОБЛ ТЮМЕНСКАЯ Р-Н СУРГУТСКИЙ   П БЕЛЫЙ ЯР УЛ ЛЕСНАЯ д. 11 корп. А кв. 15</v>
      </c>
      <c r="M1209" t="str">
        <f t="shared" si="191"/>
        <v>2019-08-24</v>
      </c>
      <c r="N1209" t="str">
        <f>"МУПТО"</f>
        <v>МУПТО</v>
      </c>
      <c r="O1209" t="str">
        <f>"628433"</f>
        <v>628433</v>
      </c>
      <c r="P1209" t="str">
        <f>"ОБЛ ТЮМЕНСКАЯ"</f>
        <v>ОБЛ ТЮМЕНСКАЯ</v>
      </c>
      <c r="Q1209" t="str">
        <f>"Р-Н СУРГУТСКИЙ"</f>
        <v>Р-Н СУРГУТСКИЙ</v>
      </c>
      <c r="R1209" t="str">
        <f>""</f>
        <v/>
      </c>
      <c r="S1209" t="str">
        <f>"П БЕЛЫЙ ЯР"</f>
        <v>П БЕЛЫЙ ЯР</v>
      </c>
      <c r="T1209" t="str">
        <f>"УЛ ЛЕСНАЯ"</f>
        <v>УЛ ЛЕСНАЯ</v>
      </c>
      <c r="U1209" s="1" t="str">
        <f>"11"</f>
        <v>11</v>
      </c>
      <c r="V1209" s="1" t="str">
        <f>""</f>
        <v/>
      </c>
      <c r="W1209" s="1" t="str">
        <f>"А"</f>
        <v>А</v>
      </c>
      <c r="X1209" s="1" t="str">
        <f>""</f>
        <v/>
      </c>
      <c r="Y1209" s="1" t="str">
        <f>"15"</f>
        <v>15</v>
      </c>
      <c r="Z1209" t="str">
        <f>"3462746400"</f>
        <v>3462746400</v>
      </c>
      <c r="AA1209" t="str">
        <f>"3462746400"</f>
        <v>3462746400</v>
      </c>
      <c r="AB1209" t="str">
        <f>"9224290294"</f>
        <v>9224290294</v>
      </c>
      <c r="AC1209" t="str">
        <f>"3462746400"</f>
        <v>3462746400</v>
      </c>
      <c r="AD1209" t="str">
        <f>"9224290294"</f>
        <v>9224290294</v>
      </c>
      <c r="AE1209" t="str">
        <f>""</f>
        <v/>
      </c>
    </row>
    <row r="1210" spans="1:31" x14ac:dyDescent="0.45">
      <c r="A1210" t="str">
        <f>"ГОРБУНОВА МАРИНА АЛЕКСЕЕВНА"</f>
        <v>ГОРБУНОВА МАРИНА АЛЕКСЕЕВНА</v>
      </c>
      <c r="B1210" t="str">
        <f>"1964-11-12"</f>
        <v>1964-11-12</v>
      </c>
      <c r="C1210" t="str">
        <f>"80 09 974796"</f>
        <v>80 09 974796</v>
      </c>
      <c r="D1210" t="str">
        <f>"5313100334663290"</f>
        <v>5313100334663290</v>
      </c>
      <c r="E1210" t="str">
        <f>"2020-11-30"</f>
        <v>2020-11-30</v>
      </c>
      <c r="F1210" t="str">
        <f>"+"</f>
        <v>+</v>
      </c>
      <c r="G1210" t="str">
        <f>"+"</f>
        <v>+</v>
      </c>
      <c r="H1210" t="str">
        <f>"40817810316991391323"</f>
        <v>40817810316991391323</v>
      </c>
      <c r="I1210" t="str">
        <f>"8598"</f>
        <v>8598</v>
      </c>
      <c r="J1210" t="str">
        <f>"0217"</f>
        <v>0217</v>
      </c>
      <c r="K1210" t="str">
        <f>"20000.00"</f>
        <v>20000.00</v>
      </c>
      <c r="L1210" t="str">
        <f>"450000 РЕСП БАШКОРТОСТАН   Г УФА   УЛ ШАФИЕВА д. 28"</f>
        <v>450000 РЕСП БАШКОРТОСТАН   Г УФА   УЛ ШАФИЕВА д. 28</v>
      </c>
      <c r="M1210" t="str">
        <f t="shared" si="191"/>
        <v>2019-08-24</v>
      </c>
      <c r="N1210" t="str">
        <f>"ИП ГАЙНАНОВА ГУЛЬНАРА НАЗИПОВНА"</f>
        <v>ИП ГАЙНАНОВА ГУЛЬНАРА НАЗИПОВНА</v>
      </c>
      <c r="O1210" t="str">
        <f>"450000"</f>
        <v>450000</v>
      </c>
      <c r="P1210" t="str">
        <f>"РЕСП БАШКОРТОСТАН"</f>
        <v>РЕСП БАШКОРТОСТАН</v>
      </c>
      <c r="Q1210" t="str">
        <f>""</f>
        <v/>
      </c>
      <c r="R1210" t="str">
        <f>"Г УФА"</f>
        <v>Г УФА</v>
      </c>
      <c r="S1210" t="str">
        <f>""</f>
        <v/>
      </c>
      <c r="T1210" t="str">
        <f>"УЛ ФЕРИНА"</f>
        <v>УЛ ФЕРИНА</v>
      </c>
      <c r="U1210" s="1" t="str">
        <f>"8"</f>
        <v>8</v>
      </c>
      <c r="V1210" s="1" t="str">
        <f>""</f>
        <v/>
      </c>
      <c r="W1210" s="1" t="str">
        <f>""</f>
        <v/>
      </c>
      <c r="X1210" s="1" t="str">
        <f>""</f>
        <v/>
      </c>
      <c r="Y1210" s="1" t="str">
        <f>"79"</f>
        <v>79</v>
      </c>
      <c r="Z1210" t="str">
        <f>""</f>
        <v/>
      </c>
      <c r="AA1210" t="str">
        <f>"9174421562"</f>
        <v>9174421562</v>
      </c>
      <c r="AB1210" t="str">
        <f>"9174421562"</f>
        <v>9174421562</v>
      </c>
      <c r="AC1210" t="str">
        <f>"9174421562"</f>
        <v>9174421562</v>
      </c>
      <c r="AD1210" t="str">
        <f>"9174421562"</f>
        <v>9174421562</v>
      </c>
      <c r="AE1210" t="str">
        <f>""</f>
        <v/>
      </c>
    </row>
    <row r="1211" spans="1:31" x14ac:dyDescent="0.45">
      <c r="A1211" t="str">
        <f>"ЖДАНОВА ЛЮДМИЛА ПЕТРОВНА"</f>
        <v>ЖДАНОВА ЛЮДМИЛА ПЕТРОВНА</v>
      </c>
      <c r="B1211" t="str">
        <f>"1953-11-09"</f>
        <v>1953-11-09</v>
      </c>
      <c r="C1211" t="str">
        <f>"71 97 001864"</f>
        <v>71 97 001864</v>
      </c>
      <c r="D1211" t="str">
        <f>"4854630200212937"</f>
        <v>4854630200212937</v>
      </c>
      <c r="E1211" t="str">
        <f>"2020-11-30"</f>
        <v>2020-11-30</v>
      </c>
      <c r="F1211" t="str">
        <f>"Q"</f>
        <v>Q</v>
      </c>
      <c r="G1211" t="str">
        <f>"Q"</f>
        <v>Q</v>
      </c>
      <c r="H1211" t="str">
        <f>"40817810567720682370"</f>
        <v>40817810567720682370</v>
      </c>
      <c r="I1211" t="str">
        <f>"0029"</f>
        <v>0029</v>
      </c>
      <c r="J1211" t="str">
        <f>"0295"</f>
        <v>0295</v>
      </c>
      <c r="K1211" t="str">
        <f>"0.00"</f>
        <v>0.00</v>
      </c>
      <c r="L1211" t="str">
        <f>"626150 ОБЛ ТЮМЕНСКАЯ Р-Н УВАТСКИЙ   С ДЕМЯНСКОЕ УЛ НПС д. 22 кв. 1"</f>
        <v>626150 ОБЛ ТЮМЕНСКАЯ Р-Н УВАТСКИЙ   С ДЕМЯНСКОЕ УЛ НПС д. 22 кв. 1</v>
      </c>
      <c r="M1211" t="str">
        <f t="shared" si="191"/>
        <v>2019-08-24</v>
      </c>
      <c r="N1211" t="str">
        <f>"ПЕНСИОНЕР"</f>
        <v>ПЕНСИОНЕР</v>
      </c>
      <c r="O1211" t="str">
        <f>"626150"</f>
        <v>626150</v>
      </c>
      <c r="P1211" t="str">
        <f>"ОБЛ ТЮМЕНСКАЯ"</f>
        <v>ОБЛ ТЮМЕНСКАЯ</v>
      </c>
      <c r="Q1211" t="str">
        <f>"Р-Н ТОБОЛЬСКИЙ"</f>
        <v>Р-Н ТОБОЛЬСКИЙ</v>
      </c>
      <c r="R1211" t="str">
        <f>""</f>
        <v/>
      </c>
      <c r="S1211" t="str">
        <f>"С ДЕМЯНСКОЕ"</f>
        <v>С ДЕМЯНСКОЕ</v>
      </c>
      <c r="T1211" t="str">
        <f>"УЛ НПС"</f>
        <v>УЛ НПС</v>
      </c>
      <c r="U1211" s="1" t="str">
        <f>"22"</f>
        <v>22</v>
      </c>
      <c r="V1211" s="1" t="str">
        <f>""</f>
        <v/>
      </c>
      <c r="W1211" s="1" t="str">
        <f>""</f>
        <v/>
      </c>
      <c r="X1211" s="1" t="str">
        <f>""</f>
        <v/>
      </c>
      <c r="Y1211" s="1" t="str">
        <f>"1"</f>
        <v>1</v>
      </c>
      <c r="Z1211" t="str">
        <f>""</f>
        <v/>
      </c>
      <c r="AA1211" t="str">
        <f>"+7 (929) 2636104"</f>
        <v>+7 (929) 2636104</v>
      </c>
      <c r="AB1211" t="str">
        <f>"+7 (922) 4812109"</f>
        <v>+7 (922) 4812109</v>
      </c>
      <c r="AC1211" t="str">
        <f>"9292636104"</f>
        <v>9292636104</v>
      </c>
      <c r="AD1211" t="str">
        <f>"9523477539"</f>
        <v>9523477539</v>
      </c>
      <c r="AE1211" t="str">
        <f>""</f>
        <v/>
      </c>
    </row>
    <row r="1212" spans="1:31" x14ac:dyDescent="0.45">
      <c r="A1212" t="str">
        <f>"ГОРБУНОВА ЕВГЕНИЯ ЮРЬЕВНА"</f>
        <v>ГОРБУНОВА ЕВГЕНИЯ ЮРЬЕВНА</v>
      </c>
      <c r="B1212" t="str">
        <f>"1988-05-18"</f>
        <v>1988-05-18</v>
      </c>
      <c r="C1212" t="str">
        <f>"65 09 823509"</f>
        <v>65 09 823509</v>
      </c>
      <c r="D1212" t="str">
        <f>"5313100052942520"</f>
        <v>5313100052942520</v>
      </c>
      <c r="E1212" t="str">
        <f>"2020-09-30"</f>
        <v>2020-09-30</v>
      </c>
      <c r="F1212" t="str">
        <f t="shared" ref="F1212:G1236" si="201">"+"</f>
        <v>+</v>
      </c>
      <c r="G1212" t="str">
        <f>"7"</f>
        <v>7</v>
      </c>
      <c r="H1212" t="str">
        <f>"40817810816991391344"</f>
        <v>40817810816991391344</v>
      </c>
      <c r="I1212" t="str">
        <f>"7003"</f>
        <v>7003</v>
      </c>
      <c r="J1212" t="str">
        <f>"0690"</f>
        <v>0690</v>
      </c>
      <c r="K1212" t="str">
        <f>"274995.05"</f>
        <v>274995.05</v>
      </c>
      <c r="L1212" t="str">
        <f>"620000 ОБЛ СВЕРДЛОВСКАЯ   Г ПЕРВОУРАЛЬСК   УЛ ВАТУТИНА д. 36"</f>
        <v>620000 ОБЛ СВЕРДЛОВСКАЯ   Г ПЕРВОУРАЛЬСК   УЛ ВАТУТИНА д. 36</v>
      </c>
      <c r="M1212" t="str">
        <f t="shared" si="191"/>
        <v>2019-08-24</v>
      </c>
      <c r="N1212" t="str">
        <f>"УП ЖКХ ИС ГО ПЕРВОУРАЛЬСК"</f>
        <v>УП ЖКХ ИС ГО ПЕРВОУРАЛЬСК</v>
      </c>
      <c r="O1212" t="str">
        <f>"620000"</f>
        <v>620000</v>
      </c>
      <c r="P1212" t="str">
        <f>"ОБЛ СВЕРДЛОВСКАЯ"</f>
        <v>ОБЛ СВЕРДЛОВСКАЯ</v>
      </c>
      <c r="Q1212" t="str">
        <f>""</f>
        <v/>
      </c>
      <c r="R1212" t="str">
        <f>"Г ПЕРВОУРАЛЬСК"</f>
        <v>Г ПЕРВОУРАЛЬСК</v>
      </c>
      <c r="S1212" t="str">
        <f>""</f>
        <v/>
      </c>
      <c r="T1212" t="str">
        <f>"УЛ БЕРЕГОВАЯ"</f>
        <v>УЛ БЕРЕГОВАЯ</v>
      </c>
      <c r="U1212" s="1" t="str">
        <f>"5"</f>
        <v>5</v>
      </c>
      <c r="V1212" s="1" t="str">
        <f>""</f>
        <v/>
      </c>
      <c r="W1212" s="1" t="str">
        <f>"Б"</f>
        <v>Б</v>
      </c>
      <c r="X1212" s="1" t="str">
        <f>""</f>
        <v/>
      </c>
      <c r="Y1212" s="1" t="str">
        <f>"69"</f>
        <v>69</v>
      </c>
      <c r="Z1212" t="str">
        <f>"9001984270"</f>
        <v>9001984270</v>
      </c>
      <c r="AA1212" t="str">
        <f>"9001984270"</f>
        <v>9001984270</v>
      </c>
      <c r="AB1212" t="str">
        <f>"9001984270"</f>
        <v>9001984270</v>
      </c>
      <c r="AC1212" t="str">
        <f>"9001984270"</f>
        <v>9001984270</v>
      </c>
      <c r="AD1212" t="str">
        <f>"9001984270"</f>
        <v>9001984270</v>
      </c>
      <c r="AE1212" t="str">
        <f>"9001984270"</f>
        <v>9001984270</v>
      </c>
    </row>
    <row r="1213" spans="1:31" x14ac:dyDescent="0.45">
      <c r="A1213" t="str">
        <f>"СУЛТАНОВ ИШМОРАД ИЛЕВИЧ"</f>
        <v>СУЛТАНОВ ИШМОРАД ИЛЕВИЧ</v>
      </c>
      <c r="B1213" t="str">
        <f>"1983-05-11"</f>
        <v>1983-05-11</v>
      </c>
      <c r="C1213" t="str">
        <f>"80 15 214519"</f>
        <v>80 15 214519</v>
      </c>
      <c r="D1213" t="str">
        <f>"4279011637173652"</f>
        <v>4279011637173652</v>
      </c>
      <c r="E1213" t="str">
        <f t="shared" ref="E1213:E1232" si="202">"2021-05-31"</f>
        <v>2021-05-31</v>
      </c>
      <c r="F1213" t="str">
        <f t="shared" si="201"/>
        <v>+</v>
      </c>
      <c r="G1213" t="str">
        <f>"+"</f>
        <v>+</v>
      </c>
      <c r="H1213" t="str">
        <f>"40817810416991391362"</f>
        <v>40817810416991391362</v>
      </c>
      <c r="I1213" t="str">
        <f>"8598"</f>
        <v>8598</v>
      </c>
      <c r="J1213" t="str">
        <f>"0223"</f>
        <v>0223</v>
      </c>
      <c r="K1213" t="str">
        <f>"125000.00"</f>
        <v>125000.00</v>
      </c>
      <c r="L1213" t="str">
        <f>"450000 РЕСП БАШКОРТОСТАН   Г УФА   ПР-КТ ОКТЯБРЯ д. 56 корп. 2"</f>
        <v>450000 РЕСП БАШКОРТОСТАН   Г УФА   ПР-КТ ОКТЯБРЯ д. 56 корп. 2</v>
      </c>
      <c r="M1213" t="str">
        <f t="shared" si="191"/>
        <v>2019-08-24</v>
      </c>
      <c r="N1213" t="str">
        <f>"ООО ЗЕМЕЛЬНО-КАДАСТРОВАЯ КОМПАНИЯ,, ФАЛЬКОР,,"</f>
        <v>ООО ЗЕМЕЛЬНО-КАДАСТРОВАЯ КОМПАНИЯ,, ФАЛЬКОР,,</v>
      </c>
      <c r="O1213" t="str">
        <f>"450000"</f>
        <v>450000</v>
      </c>
      <c r="P1213" t="str">
        <f>"РЕСП БАШКОРТОСТАН"</f>
        <v>РЕСП БАШКОРТОСТАН</v>
      </c>
      <c r="Q1213" t="str">
        <f>""</f>
        <v/>
      </c>
      <c r="R1213" t="str">
        <f>"Г УФА"</f>
        <v>Г УФА</v>
      </c>
      <c r="S1213" t="str">
        <f>""</f>
        <v/>
      </c>
      <c r="T1213" t="str">
        <f>"УЛ ЦЮРУПЫ"</f>
        <v>УЛ ЦЮРУПЫ</v>
      </c>
      <c r="U1213" s="1" t="str">
        <f>"84"</f>
        <v>84</v>
      </c>
      <c r="V1213" s="1" t="str">
        <f>""</f>
        <v/>
      </c>
      <c r="W1213" s="1" t="str">
        <f>""</f>
        <v/>
      </c>
      <c r="X1213" s="1" t="str">
        <f>""</f>
        <v/>
      </c>
      <c r="Y1213" s="1" t="str">
        <f>"274"</f>
        <v>274</v>
      </c>
      <c r="Z1213" t="str">
        <f>"+7 (347) 2667746"</f>
        <v>+7 (347) 2667746</v>
      </c>
      <c r="AA1213" t="str">
        <f>"+7 (347) 2507350"</f>
        <v>+7 (347) 2507350</v>
      </c>
      <c r="AB1213" t="str">
        <f>"+7 (937) 1503049"</f>
        <v>+7 (937) 1503049</v>
      </c>
      <c r="AC1213" t="str">
        <f>"9371503049"</f>
        <v>9371503049</v>
      </c>
      <c r="AD1213" t="str">
        <f>"9371503049"</f>
        <v>9371503049</v>
      </c>
      <c r="AE1213" t="str">
        <f>"9371503049"</f>
        <v>9371503049</v>
      </c>
    </row>
    <row r="1214" spans="1:31" x14ac:dyDescent="0.45">
      <c r="A1214" t="str">
        <f>"ЕРЁМИНА ЕВГЕНИЯ АЛЕКСЕЕВНА"</f>
        <v>ЕРЁМИНА ЕВГЕНИЯ АЛЕКСЕЕВНА</v>
      </c>
      <c r="B1214" t="str">
        <f>"1993-08-31"</f>
        <v>1993-08-31</v>
      </c>
      <c r="C1214" t="str">
        <f>"65 13 609755"</f>
        <v>65 13 609755</v>
      </c>
      <c r="D1214" t="str">
        <f>"4279011639322950"</f>
        <v>4279011639322950</v>
      </c>
      <c r="E1214" t="str">
        <f t="shared" si="202"/>
        <v>2021-05-31</v>
      </c>
      <c r="F1214" t="str">
        <f t="shared" si="201"/>
        <v>+</v>
      </c>
      <c r="G1214" t="str">
        <f>"+"</f>
        <v>+</v>
      </c>
      <c r="H1214" t="str">
        <f>"40817810716991391363"</f>
        <v>40817810716991391363</v>
      </c>
      <c r="I1214" t="str">
        <f>"7003"</f>
        <v>7003</v>
      </c>
      <c r="J1214" t="str">
        <f>"0755"</f>
        <v>0755</v>
      </c>
      <c r="K1214" t="str">
        <f>"50000.00"</f>
        <v>50000.00</v>
      </c>
      <c r="L1214" t="str">
        <f>"620000 ОБЛ СВЕРДЛОВСКАЯ   Г ЕКАТЕРИНБУРГ   УЛ МАМИНА СИБИРЯКА д. 128"</f>
        <v>620000 ОБЛ СВЕРДЛОВСКАЯ   Г ЕКАТЕРИНБУРГ   УЛ МАМИНА СИБИРЯКА д. 128</v>
      </c>
      <c r="M1214" t="str">
        <f t="shared" si="191"/>
        <v>2019-08-24</v>
      </c>
      <c r="N1214" t="str">
        <f>"ООО ЛУКОЙЛ ПЕРМНЕФТЕПРОДУКТ"</f>
        <v>ООО ЛУКОЙЛ ПЕРМНЕФТЕПРОДУКТ</v>
      </c>
      <c r="O1214" t="str">
        <f>"620000"</f>
        <v>620000</v>
      </c>
      <c r="P1214" t="str">
        <f>"ОБЛ СВЕРДЛОВСКАЯ"</f>
        <v>ОБЛ СВЕРДЛОВСКАЯ</v>
      </c>
      <c r="Q1214" t="str">
        <f>""</f>
        <v/>
      </c>
      <c r="R1214" t="str">
        <f>"Г НИЖНИЙ ТАГИЛ"</f>
        <v>Г НИЖНИЙ ТАГИЛ</v>
      </c>
      <c r="S1214" t="str">
        <f>""</f>
        <v/>
      </c>
      <c r="T1214" t="str">
        <f>"УЛ ЛИСОГОРСКАЯ"</f>
        <v>УЛ ЛИСОГОРСКАЯ</v>
      </c>
      <c r="U1214" s="1" t="str">
        <f>"74А"</f>
        <v>74А</v>
      </c>
      <c r="V1214" s="1" t="str">
        <f>""</f>
        <v/>
      </c>
      <c r="W1214" s="1" t="str">
        <f>""</f>
        <v/>
      </c>
      <c r="X1214" s="1" t="str">
        <f>""</f>
        <v/>
      </c>
      <c r="Y1214" s="1" t="str">
        <f>""</f>
        <v/>
      </c>
      <c r="Z1214" t="str">
        <f>"3432531410"</f>
        <v>3432531410</v>
      </c>
      <c r="AA1214" t="str">
        <f>"9222980288"</f>
        <v>9222980288</v>
      </c>
      <c r="AB1214" t="str">
        <f>"9222980288"</f>
        <v>9222980288</v>
      </c>
      <c r="AC1214" t="str">
        <f>"9222980288"</f>
        <v>9222980288</v>
      </c>
      <c r="AD1214" t="str">
        <f>"9222980288"</f>
        <v>9222980288</v>
      </c>
      <c r="AE1214" t="str">
        <f>"9122019991"</f>
        <v>9122019991</v>
      </c>
    </row>
    <row r="1215" spans="1:31" x14ac:dyDescent="0.45">
      <c r="A1215" t="str">
        <f>"ВЕЛИН МИХАИЛ АЛЕКСАНДРОВИЧ"</f>
        <v>ВЕЛИН МИХАИЛ АЛЕКСАНДРОВИЧ</v>
      </c>
      <c r="B1215" t="str">
        <f>"1982-07-01"</f>
        <v>1982-07-01</v>
      </c>
      <c r="C1215" t="str">
        <f>"75 10 870148"</f>
        <v>75 10 870148</v>
      </c>
      <c r="D1215" t="str">
        <f>"4279011677547237"</f>
        <v>4279011677547237</v>
      </c>
      <c r="E1215" t="str">
        <f t="shared" si="202"/>
        <v>2021-05-31</v>
      </c>
      <c r="F1215" t="str">
        <f t="shared" si="201"/>
        <v>+</v>
      </c>
      <c r="G1215" t="str">
        <f>"+"</f>
        <v>+</v>
      </c>
      <c r="H1215" t="str">
        <f>"40817810616991391447"</f>
        <v>40817810616991391447</v>
      </c>
      <c r="I1215" t="str">
        <f>"8597"</f>
        <v>8597</v>
      </c>
      <c r="J1215" t="str">
        <f>"0274"</f>
        <v>0274</v>
      </c>
      <c r="K1215" t="str">
        <f>"165000.00"</f>
        <v>165000.00</v>
      </c>
      <c r="L1215" t="str">
        <f>"454000 ОБЛ ЧЕЛЯБИНСКАЯ   Г ЧЕЛЯБИНСК   УЛ ЦИНКОВАЯ д. 1 корп. 2"</f>
        <v>454000 ОБЛ ЧЕЛЯБИНСКАЯ   Г ЧЕЛЯБИНСК   УЛ ЦИНКОВАЯ д. 1 корп. 2</v>
      </c>
      <c r="M1215" t="str">
        <f t="shared" si="191"/>
        <v>2019-08-24</v>
      </c>
      <c r="N1215" t="str">
        <f>"ИП МАРИНИН А.Г."</f>
        <v>ИП МАРИНИН А.Г.</v>
      </c>
      <c r="O1215" t="str">
        <f>"454000"</f>
        <v>454000</v>
      </c>
      <c r="P1215" t="str">
        <f>"ОБЛ ЧЕЛЯБИНСКАЯ"</f>
        <v>ОБЛ ЧЕЛЯБИНСКАЯ</v>
      </c>
      <c r="Q1215" t="str">
        <f>""</f>
        <v/>
      </c>
      <c r="R1215" t="str">
        <f>"Г ЧЕЛЯБИНСК"</f>
        <v>Г ЧЕЛЯБИНСК</v>
      </c>
      <c r="S1215" t="str">
        <f>""</f>
        <v/>
      </c>
      <c r="T1215" t="str">
        <f>"УЛ ГЕРОЕВ ТАНКОГРАДА"</f>
        <v>УЛ ГЕРОЕВ ТАНКОГРАДА</v>
      </c>
      <c r="U1215" s="1" t="str">
        <f>"50"</f>
        <v>50</v>
      </c>
      <c r="V1215" s="1" t="str">
        <f>""</f>
        <v/>
      </c>
      <c r="W1215" s="1" t="str">
        <f>""</f>
        <v/>
      </c>
      <c r="X1215" s="1" t="str">
        <f>""</f>
        <v/>
      </c>
      <c r="Y1215" s="1" t="str">
        <f>"110"</f>
        <v>110</v>
      </c>
      <c r="Z1215" t="str">
        <f>""</f>
        <v/>
      </c>
      <c r="AA1215" t="str">
        <f>"9193309555"</f>
        <v>9193309555</v>
      </c>
      <c r="AB1215" t="str">
        <f>"9193309555"</f>
        <v>9193309555</v>
      </c>
      <c r="AC1215" t="str">
        <f>"9193309555"</f>
        <v>9193309555</v>
      </c>
      <c r="AD1215" t="str">
        <f>"9193309555"</f>
        <v>9193309555</v>
      </c>
      <c r="AE1215" t="str">
        <f>""</f>
        <v/>
      </c>
    </row>
    <row r="1216" spans="1:31" x14ac:dyDescent="0.45">
      <c r="A1216" t="str">
        <f>"КОВАЛЕНКО АЛЁНА ЕВГЕНЬЕВНА"</f>
        <v>КОВАЛЕНКО АЛЁНА ЕВГЕНЬЕВНА</v>
      </c>
      <c r="B1216" t="str">
        <f>"1987-09-23"</f>
        <v>1987-09-23</v>
      </c>
      <c r="C1216" t="str">
        <f>"67 10 037244"</f>
        <v>67 10 037244</v>
      </c>
      <c r="D1216" t="str">
        <f>"4279011680186437"</f>
        <v>4279011680186437</v>
      </c>
      <c r="E1216" t="str">
        <f t="shared" si="202"/>
        <v>2021-05-31</v>
      </c>
      <c r="F1216" t="str">
        <f t="shared" si="201"/>
        <v>+</v>
      </c>
      <c r="G1216" t="str">
        <f>"W"</f>
        <v>W</v>
      </c>
      <c r="H1216" t="str">
        <f>"40817810816991391441"</f>
        <v>40817810816991391441</v>
      </c>
      <c r="I1216" t="str">
        <f>"8597"</f>
        <v>8597</v>
      </c>
      <c r="J1216" t="str">
        <f>"0196"</f>
        <v>0196</v>
      </c>
      <c r="K1216" t="str">
        <f>"10000.00"</f>
        <v>10000.00</v>
      </c>
      <c r="L1216" t="str">
        <f>"454000 ОБЛ ЧЕЛЯБИНСКАЯ   Г ЧЕЛЯБИНСК   УЛ ГАГАРИНА д. 12"</f>
        <v>454000 ОБЛ ЧЕЛЯБИНСКАЯ   Г ЧЕЛЯБИНСК   УЛ ГАГАРИНА д. 12</v>
      </c>
      <c r="M1216" t="str">
        <f t="shared" si="191"/>
        <v>2019-08-24</v>
      </c>
      <c r="N1216" t="str">
        <f>"ИП БАХТИЯРОВ А.М"</f>
        <v>ИП БАХТИЯРОВ А.М</v>
      </c>
      <c r="O1216" t="str">
        <f>"454000"</f>
        <v>454000</v>
      </c>
      <c r="P1216" t="str">
        <f>"ОБЛ ЧЕЛЯБИНСКАЯ"</f>
        <v>ОБЛ ЧЕЛЯБИНСКАЯ</v>
      </c>
      <c r="Q1216" t="str">
        <f>""</f>
        <v/>
      </c>
      <c r="R1216" t="str">
        <f>"Г ЧЕЛЯБИНСК"</f>
        <v>Г ЧЕЛЯБИНСК</v>
      </c>
      <c r="S1216" t="str">
        <f>""</f>
        <v/>
      </c>
      <c r="T1216" t="str">
        <f>"УЛ НОВОРОССИЙСКАЯ"</f>
        <v>УЛ НОВОРОССИЙСКАЯ</v>
      </c>
      <c r="U1216" s="1" t="str">
        <f>"132"</f>
        <v>132</v>
      </c>
      <c r="V1216" s="1" t="str">
        <f>""</f>
        <v/>
      </c>
      <c r="W1216" s="1" t="str">
        <f>""</f>
        <v/>
      </c>
      <c r="X1216" s="1" t="str">
        <f>""</f>
        <v/>
      </c>
      <c r="Y1216" s="1" t="str">
        <f>"64"</f>
        <v>64</v>
      </c>
      <c r="Z1216" t="str">
        <f>"9822856682"</f>
        <v>9822856682</v>
      </c>
      <c r="AA1216" t="str">
        <f>"9123149991"</f>
        <v>9123149991</v>
      </c>
      <c r="AB1216" t="str">
        <f>"9123149991"</f>
        <v>9123149991</v>
      </c>
      <c r="AC1216" t="str">
        <f>"9123149991"</f>
        <v>9123149991</v>
      </c>
      <c r="AD1216" t="str">
        <f>"9123149991"</f>
        <v>9123149991</v>
      </c>
      <c r="AE1216" t="str">
        <f>"9822856682"</f>
        <v>9822856682</v>
      </c>
    </row>
    <row r="1217" spans="1:31" x14ac:dyDescent="0.45">
      <c r="A1217" t="str">
        <f>"НАФИКОВ НУРГИЗ ГРАНИТОВИЧ"</f>
        <v>НАФИКОВ НУРГИЗ ГРАНИТОВИЧ</v>
      </c>
      <c r="B1217" t="str">
        <f>"1985-01-12"</f>
        <v>1985-01-12</v>
      </c>
      <c r="C1217" t="str">
        <f>"80 05 763430"</f>
        <v>80 05 763430</v>
      </c>
      <c r="D1217" t="str">
        <f>"4279011667408820"</f>
        <v>4279011667408820</v>
      </c>
      <c r="E1217" t="str">
        <f t="shared" si="202"/>
        <v>2021-05-31</v>
      </c>
      <c r="F1217" t="str">
        <f t="shared" si="201"/>
        <v>+</v>
      </c>
      <c r="G1217" t="str">
        <f t="shared" si="201"/>
        <v>+</v>
      </c>
      <c r="H1217" t="str">
        <f>"40817810716991391444"</f>
        <v>40817810716991391444</v>
      </c>
      <c r="I1217" t="str">
        <f>"8598"</f>
        <v>8598</v>
      </c>
      <c r="J1217" t="str">
        <f>"0214"</f>
        <v>0214</v>
      </c>
      <c r="K1217" t="str">
        <f>"75000.00"</f>
        <v>75000.00</v>
      </c>
      <c r="L1217" t="str">
        <f>"450000 ОБЛ САМАРСКАЯ   Г СЫЗРАНЬ   УЛ КОРБЫШЕВА д. 2 офис 1"</f>
        <v>450000 ОБЛ САМАРСКАЯ   Г СЫЗРАНЬ   УЛ КОРБЫШЕВА д. 2 офис 1</v>
      </c>
      <c r="M1217" t="str">
        <f t="shared" si="191"/>
        <v>2019-08-24</v>
      </c>
      <c r="N1217" t="str">
        <f>"ООО 78 ЦИП"</f>
        <v>ООО 78 ЦИП</v>
      </c>
      <c r="O1217" t="str">
        <f>"450105"</f>
        <v>450105</v>
      </c>
      <c r="P1217" t="str">
        <f>"РЕСП БАШКОРТОСТАН"</f>
        <v>РЕСП БАШКОРТОСТАН</v>
      </c>
      <c r="Q1217" t="str">
        <f>""</f>
        <v/>
      </c>
      <c r="R1217" t="str">
        <f>"С/А АРСЛАНОВСКАЯ"</f>
        <v>С/А АРСЛАНОВСКАЯ</v>
      </c>
      <c r="S1217" t="str">
        <f>"Д НОВАЯ"</f>
        <v>Д НОВАЯ</v>
      </c>
      <c r="T1217" t="str">
        <f>"УЛ ЦЕНТРАЛЬНАЯ"</f>
        <v>УЛ ЦЕНТРАЛЬНАЯ</v>
      </c>
      <c r="U1217" s="1" t="str">
        <f>"12"</f>
        <v>12</v>
      </c>
      <c r="V1217" s="1" t="str">
        <f>""</f>
        <v/>
      </c>
      <c r="W1217" s="1" t="str">
        <f>""</f>
        <v/>
      </c>
      <c r="X1217" s="1" t="str">
        <f>""</f>
        <v/>
      </c>
      <c r="Y1217" s="1" t="str">
        <f>""</f>
        <v/>
      </c>
      <c r="Z1217" t="str">
        <f>"9276373684"</f>
        <v>9276373684</v>
      </c>
      <c r="AA1217" t="str">
        <f>"9276373684"</f>
        <v>9276373684</v>
      </c>
      <c r="AB1217" t="str">
        <f>"9276373684"</f>
        <v>9276373684</v>
      </c>
      <c r="AC1217" t="str">
        <f>"9276373684"</f>
        <v>9276373684</v>
      </c>
      <c r="AD1217" t="str">
        <f>"9276373684"</f>
        <v>9276373684</v>
      </c>
      <c r="AE1217" t="str">
        <f>"9276373684"</f>
        <v>9276373684</v>
      </c>
    </row>
    <row r="1218" spans="1:31" x14ac:dyDescent="0.45">
      <c r="A1218" t="str">
        <f>"ОБЕРЮХТИНА ЕКАТЕРИНА ВАДИМОВНА"</f>
        <v>ОБЕРЮХТИНА ЕКАТЕРИНА ВАДИМОВНА</v>
      </c>
      <c r="B1218" t="str">
        <f>"1993-04-27"</f>
        <v>1993-04-27</v>
      </c>
      <c r="C1218" t="str">
        <f>"65 13 614552"</f>
        <v>65 13 614552</v>
      </c>
      <c r="D1218" t="str">
        <f>"4279011611020028"</f>
        <v>4279011611020028</v>
      </c>
      <c r="E1218" t="str">
        <f t="shared" si="202"/>
        <v>2021-05-31</v>
      </c>
      <c r="F1218" t="str">
        <f t="shared" si="201"/>
        <v>+</v>
      </c>
      <c r="G1218" t="str">
        <f t="shared" si="201"/>
        <v>+</v>
      </c>
      <c r="H1218" t="str">
        <f>"40817810416991391443"</f>
        <v>40817810416991391443</v>
      </c>
      <c r="I1218" t="str">
        <f>"7003"</f>
        <v>7003</v>
      </c>
      <c r="J1218" t="str">
        <f>"0760"</f>
        <v>0760</v>
      </c>
      <c r="K1218" t="str">
        <f>"100000.00"</f>
        <v>100000.00</v>
      </c>
      <c r="L1218" t="str">
        <f>"620000 ОБЛ СВЕРДЛОВСКАЯ Р-Н ИРБИТСКИЙ   С КИЛАЧЕВСКОЕ УЛ ЛЕНИНА д. 56"</f>
        <v>620000 ОБЛ СВЕРДЛОВСКАЯ Р-Н ИРБИТСКИЙ   С КИЛАЧЕВСКОЕ УЛ ЛЕНИНА д. 56</v>
      </c>
      <c r="M1218" t="str">
        <f t="shared" ref="M1218:M1281" si="203">"2019-08-24"</f>
        <v>2019-08-24</v>
      </c>
      <c r="N1218" t="str">
        <f>"СПК КИЛОЧЕВСКОЕ"</f>
        <v>СПК КИЛОЧЕВСКОЕ</v>
      </c>
      <c r="O1218" t="str">
        <f>"620000"</f>
        <v>620000</v>
      </c>
      <c r="P1218" t="str">
        <f>"ОБЛ СВЕРДЛОВСКАЯ"</f>
        <v>ОБЛ СВЕРДЛОВСКАЯ</v>
      </c>
      <c r="Q1218" t="str">
        <f>"Р-Н ИРБИТСКИЙ"</f>
        <v>Р-Н ИРБИТСКИЙ</v>
      </c>
      <c r="R1218" t="str">
        <f>""</f>
        <v/>
      </c>
      <c r="S1218" t="str">
        <f>"Д ДЕВЯШИНА"</f>
        <v>Д ДЕВЯШИНА</v>
      </c>
      <c r="T1218" t="str">
        <f>"УЛ СОВЕТСКАЯ"</f>
        <v>УЛ СОВЕТСКАЯ</v>
      </c>
      <c r="U1218" s="1" t="str">
        <f>"25"</f>
        <v>25</v>
      </c>
      <c r="V1218" s="1" t="str">
        <f>""</f>
        <v/>
      </c>
      <c r="W1218" s="1" t="str">
        <f>""</f>
        <v/>
      </c>
      <c r="X1218" s="1" t="str">
        <f>""</f>
        <v/>
      </c>
      <c r="Y1218" s="1" t="str">
        <f>""</f>
        <v/>
      </c>
      <c r="Z1218" t="str">
        <f>"9530464693"</f>
        <v>9530464693</v>
      </c>
      <c r="AA1218" t="str">
        <f>"9530464693"</f>
        <v>9530464693</v>
      </c>
      <c r="AB1218" t="str">
        <f>"9530464693"</f>
        <v>9530464693</v>
      </c>
      <c r="AC1218" t="str">
        <f>"9530464693"</f>
        <v>9530464693</v>
      </c>
      <c r="AD1218" t="str">
        <f>"9530464693"</f>
        <v>9530464693</v>
      </c>
      <c r="AE1218" t="str">
        <f>"9530464693"</f>
        <v>9530464693</v>
      </c>
    </row>
    <row r="1219" spans="1:31" x14ac:dyDescent="0.45">
      <c r="A1219" t="str">
        <f>"ШВЕЧИКОВА ЮЛИЯ ВЯЧЕСЛАВОВНА"</f>
        <v>ШВЕЧИКОВА ЮЛИЯ ВЯЧЕСЛАВОВНА</v>
      </c>
      <c r="B1219" t="str">
        <f>"1989-07-05"</f>
        <v>1989-07-05</v>
      </c>
      <c r="C1219" t="str">
        <f>"65 11 195254"</f>
        <v>65 11 195254</v>
      </c>
      <c r="D1219" t="str">
        <f>"4279011670048027"</f>
        <v>4279011670048027</v>
      </c>
      <c r="E1219" t="str">
        <f t="shared" si="202"/>
        <v>2021-05-31</v>
      </c>
      <c r="F1219" t="str">
        <f t="shared" si="201"/>
        <v>+</v>
      </c>
      <c r="G1219" t="str">
        <f t="shared" si="201"/>
        <v>+</v>
      </c>
      <c r="H1219" t="str">
        <f>"40817810016991391445"</f>
        <v>40817810016991391445</v>
      </c>
      <c r="I1219" t="str">
        <f>"7003"</f>
        <v>7003</v>
      </c>
      <c r="J1219" t="str">
        <f>"0809"</f>
        <v>0809</v>
      </c>
      <c r="K1219" t="str">
        <f>"20000.00"</f>
        <v>20000.00</v>
      </c>
      <c r="L1219" t="str">
        <f>"620000 ОБЛ СВЕРДЛОВСКАЯ   Г В САЛДА   УЛ ЭНГЕЛЬСА д. 99 корп. 4 кв. 89"</f>
        <v>620000 ОБЛ СВЕРДЛОВСКАЯ   Г В САЛДА   УЛ ЭНГЕЛЬСА д. 99 корп. 4 кв. 89</v>
      </c>
      <c r="M1219" t="str">
        <f t="shared" si="203"/>
        <v>2019-08-24</v>
      </c>
      <c r="N1219" t="str">
        <f>"ВСМПО АВИСМА"</f>
        <v>ВСМПО АВИСМА</v>
      </c>
      <c r="O1219" t="str">
        <f>"620000"</f>
        <v>620000</v>
      </c>
      <c r="P1219" t="str">
        <f>"ОБЛ СВЕРДЛОВСКАЯ"</f>
        <v>ОБЛ СВЕРДЛОВСКАЯ</v>
      </c>
      <c r="Q1219" t="str">
        <f>""</f>
        <v/>
      </c>
      <c r="R1219" t="str">
        <f>"Г В САЛДА"</f>
        <v>Г В САЛДА</v>
      </c>
      <c r="S1219" t="str">
        <f>""</f>
        <v/>
      </c>
      <c r="T1219" t="str">
        <f>"УЛ ЭНГЕЛЬСА"</f>
        <v>УЛ ЭНГЕЛЬСА</v>
      </c>
      <c r="U1219" s="1" t="str">
        <f>"99"</f>
        <v>99</v>
      </c>
      <c r="V1219" s="1" t="str">
        <f>""</f>
        <v/>
      </c>
      <c r="W1219" s="1" t="str">
        <f>"4"</f>
        <v>4</v>
      </c>
      <c r="X1219" s="1" t="str">
        <f>""</f>
        <v/>
      </c>
      <c r="Y1219" s="1" t="str">
        <f>"89"</f>
        <v>89</v>
      </c>
      <c r="Z1219" t="str">
        <f>"9068070842"</f>
        <v>9068070842</v>
      </c>
      <c r="AA1219" t="str">
        <f>"9068070842"</f>
        <v>9068070842</v>
      </c>
      <c r="AB1219" t="str">
        <f>"9502071126"</f>
        <v>9502071126</v>
      </c>
      <c r="AC1219" t="str">
        <f>"9068070842"</f>
        <v>9068070842</v>
      </c>
      <c r="AD1219" t="str">
        <f>"9502071126"</f>
        <v>9502071126</v>
      </c>
      <c r="AE1219" t="str">
        <f>"9068070842"</f>
        <v>9068070842</v>
      </c>
    </row>
    <row r="1220" spans="1:31" x14ac:dyDescent="0.45">
      <c r="A1220" t="str">
        <f>"АФАНАСЬЕВ МАКСИМ НИКОЛАЕВИЧ"</f>
        <v>АФАНАСЬЕВ МАКСИМ НИКОЛАЕВИЧ</v>
      </c>
      <c r="B1220" t="str">
        <f>"1980-01-15"</f>
        <v>1980-01-15</v>
      </c>
      <c r="C1220" t="str">
        <f>"75 02 849250"</f>
        <v>75 02 849250</v>
      </c>
      <c r="D1220" t="str">
        <f>"4279011632353424"</f>
        <v>4279011632353424</v>
      </c>
      <c r="E1220" t="str">
        <f t="shared" si="202"/>
        <v>2021-05-31</v>
      </c>
      <c r="F1220" t="str">
        <f t="shared" si="201"/>
        <v>+</v>
      </c>
      <c r="G1220" t="str">
        <f t="shared" si="201"/>
        <v>+</v>
      </c>
      <c r="H1220" t="str">
        <f>"40817810116991391442"</f>
        <v>40817810116991391442</v>
      </c>
      <c r="I1220" t="str">
        <f>"8597"</f>
        <v>8597</v>
      </c>
      <c r="J1220" t="str">
        <f>"0279"</f>
        <v>0279</v>
      </c>
      <c r="K1220" t="str">
        <f>"310000.00"</f>
        <v>310000.00</v>
      </c>
      <c r="L1220" t="str">
        <f>"454000 ОБЛ ЧЕЛЯБИНСКАЯ   Г ЧЕЛЯБИНСК   УЛ МАРЧЕНКО д. 22 офис 518"</f>
        <v>454000 ОБЛ ЧЕЛЯБИНСКАЯ   Г ЧЕЛЯБИНСК   УЛ МАРЧЕНКО д. 22 офис 518</v>
      </c>
      <c r="M1220" t="str">
        <f t="shared" si="203"/>
        <v>2019-08-24</v>
      </c>
      <c r="N1220" t="str">
        <f>"ООО СТАТУС"</f>
        <v>ООО СТАТУС</v>
      </c>
      <c r="O1220" t="str">
        <f>"454000"</f>
        <v>454000</v>
      </c>
      <c r="P1220" t="str">
        <f>"ОБЛ ЧЕЛЯБИНСКАЯ"</f>
        <v>ОБЛ ЧЕЛЯБИНСКАЯ</v>
      </c>
      <c r="Q1220" t="str">
        <f>""</f>
        <v/>
      </c>
      <c r="R1220" t="str">
        <f>"Г ЧЕЛЯБИНСК"</f>
        <v>Г ЧЕЛЯБИНСК</v>
      </c>
      <c r="S1220" t="str">
        <f>""</f>
        <v/>
      </c>
      <c r="T1220" t="str">
        <f>"УЛ БАТУМСКАЯ"</f>
        <v>УЛ БАТУМСКАЯ</v>
      </c>
      <c r="U1220" s="1" t="str">
        <f>"16"</f>
        <v>16</v>
      </c>
      <c r="V1220" s="1" t="str">
        <f>""</f>
        <v/>
      </c>
      <c r="W1220" s="1" t="str">
        <f>""</f>
        <v/>
      </c>
      <c r="X1220" s="1" t="str">
        <f>""</f>
        <v/>
      </c>
      <c r="Y1220" s="1" t="str">
        <f>"61"</f>
        <v>61</v>
      </c>
      <c r="Z1220" t="str">
        <f>""</f>
        <v/>
      </c>
      <c r="AA1220" t="str">
        <f>"3512101828"</f>
        <v>3512101828</v>
      </c>
      <c r="AB1220" t="str">
        <f>"9043067654"</f>
        <v>9043067654</v>
      </c>
      <c r="AC1220" t="str">
        <f>"3512101828"</f>
        <v>3512101828</v>
      </c>
      <c r="AD1220" t="str">
        <f>"9043067654"</f>
        <v>9043067654</v>
      </c>
      <c r="AE1220" t="str">
        <f>""</f>
        <v/>
      </c>
    </row>
    <row r="1221" spans="1:31" x14ac:dyDescent="0.45">
      <c r="A1221" t="str">
        <f>"СУРКОВА ЕЛЕНА ВЛАДИМИРОВНА"</f>
        <v>СУРКОВА ЕЛЕНА ВЛАДИМИРОВНА</v>
      </c>
      <c r="B1221" t="str">
        <f>"1980-09-29"</f>
        <v>1980-09-29</v>
      </c>
      <c r="C1221" t="str">
        <f>"65 02 020338"</f>
        <v>65 02 020338</v>
      </c>
      <c r="D1221" t="str">
        <f>"4279011672687228"</f>
        <v>4279011672687228</v>
      </c>
      <c r="E1221" t="str">
        <f t="shared" si="202"/>
        <v>2021-05-31</v>
      </c>
      <c r="F1221" t="str">
        <f t="shared" si="201"/>
        <v>+</v>
      </c>
      <c r="G1221" t="str">
        <f t="shared" si="201"/>
        <v>+</v>
      </c>
      <c r="H1221" t="str">
        <f>"40817810316991391446"</f>
        <v>40817810316991391446</v>
      </c>
      <c r="I1221" t="str">
        <f>"7003"</f>
        <v>7003</v>
      </c>
      <c r="J1221" t="str">
        <f>"0565"</f>
        <v>0565</v>
      </c>
      <c r="K1221" t="str">
        <f>"200000.00"</f>
        <v>200000.00</v>
      </c>
      <c r="L1221" t="str">
        <f>"620000 ОБЛ СВЕРДЛОВСКАЯ   Г КРАСНОУРАЛЬСК   УЛ И.ЯНКИНА д. 16"</f>
        <v>620000 ОБЛ СВЕРДЛОВСКАЯ   Г КРАСНОУРАЛЬСК   УЛ И.ЯНКИНА д. 16</v>
      </c>
      <c r="M1221" t="str">
        <f t="shared" si="203"/>
        <v>2019-08-24</v>
      </c>
      <c r="N1221" t="str">
        <f>"ГАУ КЦСОН НАДЕЖДА"</f>
        <v>ГАУ КЦСОН НАДЕЖДА</v>
      </c>
      <c r="O1221" t="str">
        <f>"620000"</f>
        <v>620000</v>
      </c>
      <c r="P1221" t="str">
        <f>"ОБЛ СВЕРДЛОВСКАЯ"</f>
        <v>ОБЛ СВЕРДЛОВСКАЯ</v>
      </c>
      <c r="Q1221" t="str">
        <f>""</f>
        <v/>
      </c>
      <c r="R1221" t="str">
        <f>"Г КРАСНОУРАЛЬСК"</f>
        <v>Г КРАСНОУРАЛЬСК</v>
      </c>
      <c r="S1221" t="str">
        <f>""</f>
        <v/>
      </c>
      <c r="T1221" t="str">
        <f>"УЛ К-ЛИБКНЕХТА"</f>
        <v>УЛ К-ЛИБКНЕХТА</v>
      </c>
      <c r="U1221" s="1" t="str">
        <f>"17"</f>
        <v>17</v>
      </c>
      <c r="V1221" s="1" t="str">
        <f>""</f>
        <v/>
      </c>
      <c r="W1221" s="1" t="str">
        <f>""</f>
        <v/>
      </c>
      <c r="X1221" s="1" t="str">
        <f>""</f>
        <v/>
      </c>
      <c r="Y1221" s="1" t="str">
        <f>"3"</f>
        <v>3</v>
      </c>
      <c r="Z1221" t="str">
        <f>""</f>
        <v/>
      </c>
      <c r="AA1221" t="str">
        <f>"9022662293"</f>
        <v>9022662293</v>
      </c>
      <c r="AB1221" t="str">
        <f>"9126825460"</f>
        <v>9126825460</v>
      </c>
      <c r="AC1221" t="str">
        <f>"9022662293"</f>
        <v>9022662293</v>
      </c>
      <c r="AD1221" t="str">
        <f>"9126825460"</f>
        <v>9126825460</v>
      </c>
      <c r="AE1221" t="str">
        <f>""</f>
        <v/>
      </c>
    </row>
    <row r="1222" spans="1:31" x14ac:dyDescent="0.45">
      <c r="A1222" t="str">
        <f>"ГРЕБЕНЬКОВА ЕЛЕНА СЕРГЕЕВНА"</f>
        <v>ГРЕБЕНЬКОВА ЕЛЕНА СЕРГЕЕВНА</v>
      </c>
      <c r="B1222" t="str">
        <f>"1980-02-29"</f>
        <v>1980-02-29</v>
      </c>
      <c r="C1222" t="str">
        <f>"65 18 738969"</f>
        <v>65 18 738969</v>
      </c>
      <c r="D1222" t="str">
        <f>"4279011631863530"</f>
        <v>4279011631863530</v>
      </c>
      <c r="E1222" t="str">
        <f t="shared" si="202"/>
        <v>2021-05-31</v>
      </c>
      <c r="F1222" t="str">
        <f t="shared" si="201"/>
        <v>+</v>
      </c>
      <c r="G1222" t="str">
        <f t="shared" si="201"/>
        <v>+</v>
      </c>
      <c r="H1222" t="str">
        <f>"40817810916991391448"</f>
        <v>40817810916991391448</v>
      </c>
      <c r="I1222" t="str">
        <f>"7003"</f>
        <v>7003</v>
      </c>
      <c r="J1222" t="str">
        <f>"0740"</f>
        <v>0740</v>
      </c>
      <c r="K1222" t="str">
        <f>"120000.00"</f>
        <v>120000.00</v>
      </c>
      <c r="L1222" t="str">
        <f>"620000 ОБЛ СВЕРДЛОВСКАЯ   Г НИЖНИЙ ТАГИЛ   УЛ ВАГОНОСТРОИТЕЛЕЙ д. 55"</f>
        <v>620000 ОБЛ СВЕРДЛОВСКАЯ   Г НИЖНИЙ ТАГИЛ   УЛ ВАГОНОСТРОИТЕЛЕЙ д. 55</v>
      </c>
      <c r="M1222" t="str">
        <f t="shared" si="203"/>
        <v>2019-08-24</v>
      </c>
      <c r="N1222" t="str">
        <f>"МАГАЗИН ВЕРНЫЙ"</f>
        <v>МАГАЗИН ВЕРНЫЙ</v>
      </c>
      <c r="O1222" t="str">
        <f>"620000"</f>
        <v>620000</v>
      </c>
      <c r="P1222" t="str">
        <f>"ОБЛ СВЕРДЛОВСКАЯ"</f>
        <v>ОБЛ СВЕРДЛОВСКАЯ</v>
      </c>
      <c r="Q1222" t="str">
        <f>""</f>
        <v/>
      </c>
      <c r="R1222" t="str">
        <f>"Г НИЖНИЙ ТАГИЛ"</f>
        <v>Г НИЖНИЙ ТАГИЛ</v>
      </c>
      <c r="S1222" t="str">
        <f>""</f>
        <v/>
      </c>
      <c r="T1222" t="str">
        <f>"УЛ ТЕЛЬМАНА"</f>
        <v>УЛ ТЕЛЬМАНА</v>
      </c>
      <c r="U1222" s="1" t="str">
        <f>"54"</f>
        <v>54</v>
      </c>
      <c r="V1222" s="1" t="str">
        <f>""</f>
        <v/>
      </c>
      <c r="W1222" s="1" t="str">
        <f>""</f>
        <v/>
      </c>
      <c r="X1222" s="1" t="str">
        <f>""</f>
        <v/>
      </c>
      <c r="Y1222" s="1" t="str">
        <f>"64"</f>
        <v>64</v>
      </c>
      <c r="Z1222" t="str">
        <f>""</f>
        <v/>
      </c>
      <c r="AA1222" t="str">
        <f>"9025853145"</f>
        <v>9025853145</v>
      </c>
      <c r="AB1222" t="str">
        <f>"9122709558"</f>
        <v>9122709558</v>
      </c>
      <c r="AC1222" t="str">
        <f>"9025853145"</f>
        <v>9025853145</v>
      </c>
      <c r="AD1222" t="str">
        <f>"9923411885"</f>
        <v>9923411885</v>
      </c>
      <c r="AE1222" t="str">
        <f>""</f>
        <v/>
      </c>
    </row>
    <row r="1223" spans="1:31" x14ac:dyDescent="0.45">
      <c r="A1223" t="str">
        <f>"БИКУЛОВА АЛИНА АЛЬБЕРТОВНА"</f>
        <v>БИКУЛОВА АЛИНА АЛЬБЕРТОВНА</v>
      </c>
      <c r="B1223" t="str">
        <f>"1988-01-25"</f>
        <v>1988-01-25</v>
      </c>
      <c r="C1223" t="str">
        <f>"80 10 257339"</f>
        <v>80 10 257339</v>
      </c>
      <c r="D1223" t="str">
        <f>"4279011645460273"</f>
        <v>4279011645460273</v>
      </c>
      <c r="E1223" t="str">
        <f t="shared" si="202"/>
        <v>2021-05-31</v>
      </c>
      <c r="F1223" t="str">
        <f t="shared" si="201"/>
        <v>+</v>
      </c>
      <c r="G1223" t="str">
        <f t="shared" si="201"/>
        <v>+</v>
      </c>
      <c r="H1223" t="str">
        <f>"40817810416991391582"</f>
        <v>40817810416991391582</v>
      </c>
      <c r="I1223" t="str">
        <f>"8598"</f>
        <v>8598</v>
      </c>
      <c r="J1223" t="str">
        <f>"0172"</f>
        <v>0172</v>
      </c>
      <c r="K1223" t="str">
        <f>"110000.00"</f>
        <v>110000.00</v>
      </c>
      <c r="L1223" t="str">
        <f>"450580 РЕСП БАШКОРТОСТАН Р-Н УФИМСКИЙ   С АВДОН УЛ ПОБЕДЫ д. 3"</f>
        <v>450580 РЕСП БАШКОРТОСТАН Р-Н УФИМСКИЙ   С АВДОН УЛ ПОБЕДЫ д. 3</v>
      </c>
      <c r="M1223" t="str">
        <f t="shared" si="203"/>
        <v>2019-08-24</v>
      </c>
      <c r="N1223" t="str">
        <f>"ПТИЦЕФАБРИКА"</f>
        <v>ПТИЦЕФАБРИКА</v>
      </c>
      <c r="O1223" t="str">
        <f>"450580"</f>
        <v>450580</v>
      </c>
      <c r="P1223" t="str">
        <f>"РЕСП БАШКОРТОСТАН"</f>
        <v>РЕСП БАШКОРТОСТАН</v>
      </c>
      <c r="Q1223" t="str">
        <f>"Р-Н УФИМСКИЙ"</f>
        <v>Р-Н УФИМСКИЙ</v>
      </c>
      <c r="R1223" t="str">
        <f>""</f>
        <v/>
      </c>
      <c r="S1223" t="str">
        <f>"С АВДОН"</f>
        <v>С АВДОН</v>
      </c>
      <c r="T1223" t="str">
        <f>"УЛ 60 ЛЕТ СССР"</f>
        <v>УЛ 60 ЛЕТ СССР</v>
      </c>
      <c r="U1223" s="1" t="str">
        <f>"22"</f>
        <v>22</v>
      </c>
      <c r="V1223" s="1" t="str">
        <f>""</f>
        <v/>
      </c>
      <c r="W1223" s="1" t="str">
        <f>""</f>
        <v/>
      </c>
      <c r="X1223" s="1" t="str">
        <f>""</f>
        <v/>
      </c>
      <c r="Y1223" s="1" t="str">
        <f>"15"</f>
        <v>15</v>
      </c>
      <c r="Z1223" t="str">
        <f>""</f>
        <v/>
      </c>
      <c r="AA1223" t="str">
        <f>"9373188087"</f>
        <v>9373188087</v>
      </c>
      <c r="AB1223" t="str">
        <f>"9373188087"</f>
        <v>9373188087</v>
      </c>
      <c r="AC1223" t="str">
        <f>"9373188087"</f>
        <v>9373188087</v>
      </c>
      <c r="AD1223" t="str">
        <f>"9373188087"</f>
        <v>9373188087</v>
      </c>
      <c r="AE1223" t="str">
        <f>""</f>
        <v/>
      </c>
    </row>
    <row r="1224" spans="1:31" x14ac:dyDescent="0.45">
      <c r="A1224" t="str">
        <f>"ЧЕПИЛЬ ДАРЬЯ СЕРГЕЕВНА"</f>
        <v>ЧЕПИЛЬ ДАРЬЯ СЕРГЕЕВНА</v>
      </c>
      <c r="B1224" t="str">
        <f>"1989-03-17"</f>
        <v>1989-03-17</v>
      </c>
      <c r="C1224" t="str">
        <f>"65 16 319963"</f>
        <v>65 16 319963</v>
      </c>
      <c r="D1224" t="str">
        <f>"4279011648099466"</f>
        <v>4279011648099466</v>
      </c>
      <c r="E1224" t="str">
        <f t="shared" si="202"/>
        <v>2021-05-31</v>
      </c>
      <c r="F1224" t="str">
        <f t="shared" si="201"/>
        <v>+</v>
      </c>
      <c r="G1224" t="str">
        <f t="shared" si="201"/>
        <v>+</v>
      </c>
      <c r="H1224" t="str">
        <f>"40817810816991391577"</f>
        <v>40817810816991391577</v>
      </c>
      <c r="I1224" t="str">
        <f>"7003"</f>
        <v>7003</v>
      </c>
      <c r="J1224" t="str">
        <f>"0537"</f>
        <v>0537</v>
      </c>
      <c r="K1224" t="str">
        <f>"95000.00"</f>
        <v>95000.00</v>
      </c>
      <c r="L1224" t="str">
        <f>"620000 ОБЛ СВЕРДЛОВСКАЯ   Г СЕРОВ   УЛ ЛЬВА ТОЛСТОГО д. 32"</f>
        <v>620000 ОБЛ СВЕРДЛОВСКАЯ   Г СЕРОВ   УЛ ЛЬВА ТОЛСТОГО д. 32</v>
      </c>
      <c r="M1224" t="str">
        <f t="shared" si="203"/>
        <v>2019-08-24</v>
      </c>
      <c r="N1224" t="str">
        <f>"ПАО ВТБ"</f>
        <v>ПАО ВТБ</v>
      </c>
      <c r="O1224" t="str">
        <f>"620000"</f>
        <v>620000</v>
      </c>
      <c r="P1224" t="str">
        <f>"ОБЛ СВЕРДЛОВСКАЯ"</f>
        <v>ОБЛ СВЕРДЛОВСКАЯ</v>
      </c>
      <c r="Q1224" t="str">
        <f>""</f>
        <v/>
      </c>
      <c r="R1224" t="str">
        <f>"Г СЕРОВ"</f>
        <v>Г СЕРОВ</v>
      </c>
      <c r="S1224" t="str">
        <f>""</f>
        <v/>
      </c>
      <c r="T1224" t="str">
        <f>"УЛ РАБОЧЕЙ МОЛОДЕЖИ"</f>
        <v>УЛ РАБОЧЕЙ МОЛОДЕЖИ</v>
      </c>
      <c r="U1224" s="1" t="str">
        <f>"4"</f>
        <v>4</v>
      </c>
      <c r="V1224" s="1" t="str">
        <f>""</f>
        <v/>
      </c>
      <c r="W1224" s="1" t="str">
        <f>""</f>
        <v/>
      </c>
      <c r="X1224" s="1" t="str">
        <f>""</f>
        <v/>
      </c>
      <c r="Y1224" s="1" t="str">
        <f>"111"</f>
        <v>111</v>
      </c>
      <c r="Z1224" t="str">
        <f>"9827230817"</f>
        <v>9827230817</v>
      </c>
      <c r="AA1224" t="str">
        <f>"9827230817"</f>
        <v>9827230817</v>
      </c>
      <c r="AB1224" t="str">
        <f>"9827230817"</f>
        <v>9827230817</v>
      </c>
      <c r="AC1224" t="str">
        <f>"9827230817"</f>
        <v>9827230817</v>
      </c>
      <c r="AD1224" t="str">
        <f>"9827230817"</f>
        <v>9827230817</v>
      </c>
      <c r="AE1224" t="str">
        <f>"9827230817"</f>
        <v>9827230817</v>
      </c>
    </row>
    <row r="1225" spans="1:31" x14ac:dyDescent="0.45">
      <c r="A1225" t="str">
        <f>"ХАКИМОВ ТИМУР БУЛАТОВИЧ"</f>
        <v>ХАКИМОВ ТИМУР БУЛАТОВИЧ</v>
      </c>
      <c r="B1225" t="str">
        <f>"1976-08-29"</f>
        <v>1976-08-29</v>
      </c>
      <c r="C1225" t="str">
        <f>"65 04 915973"</f>
        <v>65 04 915973</v>
      </c>
      <c r="D1225" t="str">
        <f>"4279011691710662"</f>
        <v>4279011691710662</v>
      </c>
      <c r="E1225" t="str">
        <f t="shared" si="202"/>
        <v>2021-05-31</v>
      </c>
      <c r="F1225" t="str">
        <f t="shared" si="201"/>
        <v>+</v>
      </c>
      <c r="G1225" t="str">
        <f t="shared" si="201"/>
        <v>+</v>
      </c>
      <c r="H1225" t="str">
        <f>"40817810116991391578"</f>
        <v>40817810116991391578</v>
      </c>
      <c r="I1225" t="str">
        <f>"7003"</f>
        <v>7003</v>
      </c>
      <c r="J1225" t="str">
        <f>"0681"</f>
        <v>0681</v>
      </c>
      <c r="K1225" t="str">
        <f>"165000.00"</f>
        <v>165000.00</v>
      </c>
      <c r="L1225" t="str">
        <f>"620000 ОБЛ СВЕРДЛОВСКАЯ   Г ПЕРВОУРАЛЬСК   УЛ КОЛЬЦЕВАЯ"</f>
        <v>620000 ОБЛ СВЕРДЛОВСКАЯ   Г ПЕРВОУРАЛЬСК   УЛ КОЛЬЦЕВАЯ</v>
      </c>
      <c r="M1225" t="str">
        <f t="shared" si="203"/>
        <v>2019-08-24</v>
      </c>
      <c r="N1225" t="str">
        <f>"ЗАО ПЗКТ"</f>
        <v>ЗАО ПЗКТ</v>
      </c>
      <c r="O1225" t="str">
        <f>"620000"</f>
        <v>620000</v>
      </c>
      <c r="P1225" t="str">
        <f>"ОБЛ СВЕРДЛОВСКАЯ"</f>
        <v>ОБЛ СВЕРДЛОВСКАЯ</v>
      </c>
      <c r="Q1225" t="str">
        <f>""</f>
        <v/>
      </c>
      <c r="R1225" t="str">
        <f>"Г ПЕРВОУРАЛЬСК"</f>
        <v>Г ПЕРВОУРАЛЬСК</v>
      </c>
      <c r="S1225" t="str">
        <f>""</f>
        <v/>
      </c>
      <c r="T1225" t="str">
        <f>"УЛ ЮБИЛЕЙНАЯ"</f>
        <v>УЛ ЮБИЛЕЙНАЯ</v>
      </c>
      <c r="U1225" s="1" t="str">
        <f>"3"</f>
        <v>3</v>
      </c>
      <c r="V1225" s="1" t="str">
        <f>""</f>
        <v/>
      </c>
      <c r="W1225" s="1" t="str">
        <f>""</f>
        <v/>
      </c>
      <c r="X1225" s="1" t="str">
        <f>""</f>
        <v/>
      </c>
      <c r="Y1225" s="1" t="str">
        <f>"2"</f>
        <v>2</v>
      </c>
      <c r="Z1225" t="str">
        <f>""</f>
        <v/>
      </c>
      <c r="AA1225" t="str">
        <f>"9122263926"</f>
        <v>9122263926</v>
      </c>
      <c r="AB1225" t="str">
        <f>"9122263926"</f>
        <v>9122263926</v>
      </c>
      <c r="AC1225" t="str">
        <f>"9122263926"</f>
        <v>9122263926</v>
      </c>
      <c r="AD1225" t="str">
        <f>"9122263926"</f>
        <v>9122263926</v>
      </c>
      <c r="AE1225" t="str">
        <f>""</f>
        <v/>
      </c>
    </row>
    <row r="1226" spans="1:31" x14ac:dyDescent="0.45">
      <c r="A1226" t="str">
        <f>"КОКШАРОВА ЮЛИЯ ВИКТОРОВНА"</f>
        <v>КОКШАРОВА ЮЛИЯ ВИКТОРОВНА</v>
      </c>
      <c r="B1226" t="str">
        <f>"1977-11-04"</f>
        <v>1977-11-04</v>
      </c>
      <c r="C1226" t="str">
        <f>"75 05 925862"</f>
        <v>75 05 925862</v>
      </c>
      <c r="D1226" t="str">
        <f>"4279011668794657"</f>
        <v>4279011668794657</v>
      </c>
      <c r="E1226" t="str">
        <f t="shared" si="202"/>
        <v>2021-05-31</v>
      </c>
      <c r="F1226" t="str">
        <f t="shared" si="201"/>
        <v>+</v>
      </c>
      <c r="G1226" t="str">
        <f t="shared" si="201"/>
        <v>+</v>
      </c>
      <c r="H1226" t="str">
        <f>"40817810916991391574"</f>
        <v>40817810916991391574</v>
      </c>
      <c r="I1226" t="str">
        <f>"8597"</f>
        <v>8597</v>
      </c>
      <c r="J1226" t="str">
        <f>"0158"</f>
        <v>0158</v>
      </c>
      <c r="K1226" t="str">
        <f>"73000.00"</f>
        <v>73000.00</v>
      </c>
      <c r="L1226" t="str">
        <f>"454077 ОБЛ ЧЕЛЯБИНСКАЯ   Г ЧЕЛЯБИНСК   УЛ БОЛЕЙКО д. 160 стр. Б"</f>
        <v>454077 ОБЛ ЧЕЛЯБИНСКАЯ   Г ЧЕЛЯБИНСК   УЛ БОЛЕЙКО д. 160 стр. Б</v>
      </c>
      <c r="M1226" t="str">
        <f t="shared" si="203"/>
        <v>2019-08-24</v>
      </c>
      <c r="N1226" t="str">
        <f>"ОО ПФ МАСТЕР"</f>
        <v>ОО ПФ МАСТЕР</v>
      </c>
      <c r="O1226" t="str">
        <f>"454077"</f>
        <v>454077</v>
      </c>
      <c r="P1226" t="str">
        <f>"ОБЛ ЧЕЛЯБИНСКАЯ"</f>
        <v>ОБЛ ЧЕЛЯБИНСКАЯ</v>
      </c>
      <c r="Q1226" t="str">
        <f>""</f>
        <v/>
      </c>
      <c r="R1226" t="str">
        <f>"Г ЧЕЛЯБИНСК"</f>
        <v>Г ЧЕЛЯБИНСК</v>
      </c>
      <c r="S1226" t="str">
        <f>""</f>
        <v/>
      </c>
      <c r="T1226" t="str">
        <f>"УЛ МАМИНА"</f>
        <v>УЛ МАМИНА</v>
      </c>
      <c r="U1226" s="1" t="str">
        <f>"3"</f>
        <v>3</v>
      </c>
      <c r="V1226" s="1" t="str">
        <f>""</f>
        <v/>
      </c>
      <c r="W1226" s="1" t="str">
        <f>""</f>
        <v/>
      </c>
      <c r="X1226" s="1" t="str">
        <f>""</f>
        <v/>
      </c>
      <c r="Y1226" s="1" t="str">
        <f>"166"</f>
        <v>166</v>
      </c>
      <c r="Z1226" t="str">
        <f>""</f>
        <v/>
      </c>
      <c r="AA1226" t="str">
        <f>"3517295821"</f>
        <v>3517295821</v>
      </c>
      <c r="AB1226" t="str">
        <f>"9822901471"</f>
        <v>9822901471</v>
      </c>
      <c r="AC1226" t="str">
        <f>"9617872777"</f>
        <v>9617872777</v>
      </c>
      <c r="AD1226" t="str">
        <f>"9822901471"</f>
        <v>9822901471</v>
      </c>
      <c r="AE1226" t="str">
        <f>""</f>
        <v/>
      </c>
    </row>
    <row r="1227" spans="1:31" x14ac:dyDescent="0.45">
      <c r="A1227" t="str">
        <f>"ПОЛОЗКОВ АЛЕКСАНДР ГЕОРГИЕВИЧ"</f>
        <v>ПОЛОЗКОВ АЛЕКСАНДР ГЕОРГИЕВИЧ</v>
      </c>
      <c r="B1227" t="str">
        <f>"1995-01-11"</f>
        <v>1995-01-11</v>
      </c>
      <c r="C1227" t="str">
        <f>"65 18 683993"</f>
        <v>65 18 683993</v>
      </c>
      <c r="D1227" t="str">
        <f>"4279011684211454"</f>
        <v>4279011684211454</v>
      </c>
      <c r="E1227" t="str">
        <f t="shared" si="202"/>
        <v>2021-05-31</v>
      </c>
      <c r="F1227" t="str">
        <f t="shared" si="201"/>
        <v>+</v>
      </c>
      <c r="G1227" t="str">
        <f t="shared" si="201"/>
        <v>+</v>
      </c>
      <c r="H1227" t="str">
        <f>"40817810816991391580"</f>
        <v>40817810816991391580</v>
      </c>
      <c r="I1227" t="str">
        <f>"7003"</f>
        <v>7003</v>
      </c>
      <c r="J1227" t="str">
        <f>"0377"</f>
        <v>0377</v>
      </c>
      <c r="K1227" t="str">
        <f>"50000.00"</f>
        <v>50000.00</v>
      </c>
      <c r="L1227" t="str">
        <f>"620000 ОБЛ СВЕРДЛОВСКАЯ   Г ЕКАТЕРИНБУРГ   УЛ ПУШКИНА д. 5"</f>
        <v>620000 ОБЛ СВЕРДЛОВСКАЯ   Г ЕКАТЕРИНБУРГ   УЛ ПУШКИНА д. 5</v>
      </c>
      <c r="M1227" t="str">
        <f t="shared" si="203"/>
        <v>2019-08-24</v>
      </c>
      <c r="N1227" t="str">
        <f>"ООО УИТК"</f>
        <v>ООО УИТК</v>
      </c>
      <c r="O1227" t="str">
        <f>"454000"</f>
        <v>454000</v>
      </c>
      <c r="P1227" t="str">
        <f>"ОБЛ ЧЕЛЯБИНСКАЯ"</f>
        <v>ОБЛ ЧЕЛЯБИНСКАЯ</v>
      </c>
      <c r="Q1227" t="str">
        <f>""</f>
        <v/>
      </c>
      <c r="R1227" t="str">
        <f>"Г ЧЕЛЯБИНСК"</f>
        <v>Г ЧЕЛЯБИНСК</v>
      </c>
      <c r="S1227" t="str">
        <f>""</f>
        <v/>
      </c>
      <c r="T1227" t="str">
        <f>"УЛ МОЛОДОГВАРДЕЙЦЕВ"</f>
        <v>УЛ МОЛОДОГВАРДЕЙЦЕВ</v>
      </c>
      <c r="U1227" s="1" t="str">
        <f>"70Г"</f>
        <v>70Г</v>
      </c>
      <c r="V1227" s="1" t="str">
        <f>""</f>
        <v/>
      </c>
      <c r="W1227" s="1" t="str">
        <f>""</f>
        <v/>
      </c>
      <c r="X1227" s="1" t="str">
        <f>""</f>
        <v/>
      </c>
      <c r="Y1227" s="1" t="str">
        <f>"24"</f>
        <v>24</v>
      </c>
      <c r="Z1227" t="str">
        <f>""</f>
        <v/>
      </c>
      <c r="AA1227" t="str">
        <f>"9193104170"</f>
        <v>9193104170</v>
      </c>
      <c r="AB1227" t="str">
        <f>"9920114268"</f>
        <v>9920114268</v>
      </c>
      <c r="AC1227" t="str">
        <f>"9920114268"</f>
        <v>9920114268</v>
      </c>
      <c r="AD1227" t="str">
        <f>"9920114268"</f>
        <v>9920114268</v>
      </c>
      <c r="AE1227" t="str">
        <f>""</f>
        <v/>
      </c>
    </row>
    <row r="1228" spans="1:31" x14ac:dyDescent="0.45">
      <c r="A1228" t="str">
        <f>"МЕШЕЧКИНА ОКСАНА ОЛЕГОВНА"</f>
        <v>МЕШЕЧКИНА ОКСАНА ОЛЕГОВНА</v>
      </c>
      <c r="B1228" t="str">
        <f>"1988-05-18"</f>
        <v>1988-05-18</v>
      </c>
      <c r="C1228" t="str">
        <f>"75 16 928052"</f>
        <v>75 16 928052</v>
      </c>
      <c r="D1228" t="str">
        <f>"4279011633519429"</f>
        <v>4279011633519429</v>
      </c>
      <c r="E1228" t="str">
        <f t="shared" si="202"/>
        <v>2021-05-31</v>
      </c>
      <c r="F1228" t="str">
        <f t="shared" si="201"/>
        <v>+</v>
      </c>
      <c r="G1228" t="str">
        <f t="shared" si="201"/>
        <v>+</v>
      </c>
      <c r="H1228" t="str">
        <f>"40817810216991391575"</f>
        <v>40817810216991391575</v>
      </c>
      <c r="I1228" t="str">
        <f>"8597"</f>
        <v>8597</v>
      </c>
      <c r="J1228" t="str">
        <f>"0158"</f>
        <v>0158</v>
      </c>
      <c r="K1228" t="str">
        <f>"70000.00"</f>
        <v>70000.00</v>
      </c>
      <c r="L1228" t="str">
        <f>"454000 ОБЛ ЧЕЛЯБИНСКАЯ   Г ЧЕЛЯБИНСК   УЛ САЛЮТНАЯ д. 11"</f>
        <v>454000 ОБЛ ЧЕЛЯБИНСКАЯ   Г ЧЕЛЯБИНСК   УЛ САЛЮТНАЯ д. 11</v>
      </c>
      <c r="M1228" t="str">
        <f t="shared" si="203"/>
        <v>2019-08-24</v>
      </c>
      <c r="N1228" t="s">
        <v>83</v>
      </c>
      <c r="O1228" t="str">
        <f>"454000"</f>
        <v>454000</v>
      </c>
      <c r="P1228" t="str">
        <f>"ОБЛ ЧЕЛЯБИНСКАЯ"</f>
        <v>ОБЛ ЧЕЛЯБИНСКАЯ</v>
      </c>
      <c r="Q1228" t="str">
        <f>""</f>
        <v/>
      </c>
      <c r="R1228" t="str">
        <f>"Г ЧЕЛЯБИНСК"</f>
        <v>Г ЧЕЛЯБИНСК</v>
      </c>
      <c r="S1228" t="str">
        <f>""</f>
        <v/>
      </c>
      <c r="T1228" t="str">
        <f>"УЛ АГАЛАКОВА"</f>
        <v>УЛ АГАЛАКОВА</v>
      </c>
      <c r="U1228" s="1" t="str">
        <f>"34"</f>
        <v>34</v>
      </c>
      <c r="V1228" s="1" t="str">
        <f>""</f>
        <v/>
      </c>
      <c r="W1228" s="1" t="str">
        <f>""</f>
        <v/>
      </c>
      <c r="X1228" s="1" t="str">
        <f>""</f>
        <v/>
      </c>
      <c r="Y1228" s="1" t="str">
        <f>"38"</f>
        <v>38</v>
      </c>
      <c r="Z1228" t="str">
        <f>"3512115511"</f>
        <v>3512115511</v>
      </c>
      <c r="AA1228" t="str">
        <f>"9514478080"</f>
        <v>9514478080</v>
      </c>
      <c r="AB1228" t="str">
        <f>"9511176888"</f>
        <v>9511176888</v>
      </c>
      <c r="AC1228" t="str">
        <f>"9514478080"</f>
        <v>9514478080</v>
      </c>
      <c r="AD1228" t="str">
        <f>"9511176888"</f>
        <v>9511176888</v>
      </c>
      <c r="AE1228" t="str">
        <f>""</f>
        <v/>
      </c>
    </row>
    <row r="1229" spans="1:31" x14ac:dyDescent="0.45">
      <c r="A1229" t="str">
        <f>"ПОНОМАРЕВА ЕЛЕНА ПЕТРОВНА"</f>
        <v>ПОНОМАРЕВА ЕЛЕНА ПЕТРОВНА</v>
      </c>
      <c r="B1229" t="str">
        <f>"1965-12-25"</f>
        <v>1965-12-25</v>
      </c>
      <c r="C1229" t="str">
        <f>"37 12 485824"</f>
        <v>37 12 485824</v>
      </c>
      <c r="D1229" t="str">
        <f>"4279011628659412"</f>
        <v>4279011628659412</v>
      </c>
      <c r="E1229" t="str">
        <f t="shared" si="202"/>
        <v>2021-05-31</v>
      </c>
      <c r="F1229" t="str">
        <f t="shared" si="201"/>
        <v>+</v>
      </c>
      <c r="G1229" t="str">
        <f t="shared" si="201"/>
        <v>+</v>
      </c>
      <c r="H1229" t="str">
        <f>"40817810716991391596"</f>
        <v>40817810716991391596</v>
      </c>
      <c r="I1229" t="str">
        <f>"8599"</f>
        <v>8599</v>
      </c>
      <c r="J1229" t="str">
        <f>"0111"</f>
        <v>0111</v>
      </c>
      <c r="K1229" t="str">
        <f>"600000.00"</f>
        <v>600000.00</v>
      </c>
      <c r="L1229" t="str">
        <f>"641000 ОБЛ КУРГАНСКАЯ Р-Н КЕТОВСКИЙ   С КЕТОВО УЛ РОССИЙСКАЯ д. 1В"</f>
        <v>641000 ОБЛ КУРГАНСКАЯ Р-Н КЕТОВСКИЙ   С КЕТОВО УЛ РОССИЙСКАЯ д. 1В</v>
      </c>
      <c r="M1229" t="str">
        <f t="shared" si="203"/>
        <v>2019-08-24</v>
      </c>
      <c r="N1229" t="str">
        <f>"ИП ПОНОМАРЕВА Е.П."</f>
        <v>ИП ПОНОМАРЕВА Е.П.</v>
      </c>
      <c r="O1229" t="str">
        <f>"641000"</f>
        <v>641000</v>
      </c>
      <c r="P1229" t="str">
        <f>"ОБЛ КУРГАНСКАЯ"</f>
        <v>ОБЛ КУРГАНСКАЯ</v>
      </c>
      <c r="Q1229" t="str">
        <f>"Р-Н КЕТОВСКИЙ"</f>
        <v>Р-Н КЕТОВСКИЙ</v>
      </c>
      <c r="R1229" t="str">
        <f>""</f>
        <v/>
      </c>
      <c r="S1229" t="str">
        <f>"С КЕТОВО"</f>
        <v>С КЕТОВО</v>
      </c>
      <c r="T1229" t="str">
        <f>"УЛ РОССИЙСКАЯ"</f>
        <v>УЛ РОССИЙСКАЯ</v>
      </c>
      <c r="U1229" s="1" t="str">
        <f>"1В"</f>
        <v>1В</v>
      </c>
      <c r="V1229" s="1" t="str">
        <f>""</f>
        <v/>
      </c>
      <c r="W1229" s="1" t="str">
        <f>""</f>
        <v/>
      </c>
      <c r="X1229" s="1" t="str">
        <f>""</f>
        <v/>
      </c>
      <c r="Y1229" s="1" t="str">
        <f>""</f>
        <v/>
      </c>
      <c r="Z1229" t="str">
        <f>"9195655002"</f>
        <v>9195655002</v>
      </c>
      <c r="AA1229" t="str">
        <f>"9128332610"</f>
        <v>9128332610</v>
      </c>
      <c r="AB1229" t="str">
        <f>"9128332610"</f>
        <v>9128332610</v>
      </c>
      <c r="AC1229" t="str">
        <f>"9128332610"</f>
        <v>9128332610</v>
      </c>
      <c r="AD1229" t="str">
        <f>"9128332610"</f>
        <v>9128332610</v>
      </c>
      <c r="AE1229" t="str">
        <f>"9195655002"</f>
        <v>9195655002</v>
      </c>
    </row>
    <row r="1230" spans="1:31" x14ac:dyDescent="0.45">
      <c r="A1230" t="str">
        <f>"ЭНГЛЕР ЕКАТЕРИНА ОСКАРОВНА"</f>
        <v>ЭНГЛЕР ЕКАТЕРИНА ОСКАРОВНА</v>
      </c>
      <c r="B1230" t="str">
        <f>"1984-03-13"</f>
        <v>1984-03-13</v>
      </c>
      <c r="C1230" t="str">
        <f>"65 11 216107"</f>
        <v>65 11 216107</v>
      </c>
      <c r="D1230" t="str">
        <f>"4279011672270611"</f>
        <v>4279011672270611</v>
      </c>
      <c r="E1230" t="str">
        <f t="shared" si="202"/>
        <v>2021-05-31</v>
      </c>
      <c r="F1230" t="str">
        <f t="shared" si="201"/>
        <v>+</v>
      </c>
      <c r="G1230" t="str">
        <f t="shared" si="201"/>
        <v>+</v>
      </c>
      <c r="H1230" t="str">
        <f>"40817810016991391584"</f>
        <v>40817810016991391584</v>
      </c>
      <c r="I1230" t="str">
        <f>"7003"</f>
        <v>7003</v>
      </c>
      <c r="J1230" t="str">
        <f>"0853"</f>
        <v>0853</v>
      </c>
      <c r="K1230" t="str">
        <f>"95000.00"</f>
        <v>95000.00</v>
      </c>
      <c r="L1230" t="str">
        <f>"620000 ОБЛ СВЕРДЛОВСКАЯ   Г КРАСНОТУРЬИНСК   УЛ ФРУНЗЕ д. 28"</f>
        <v>620000 ОБЛ СВЕРДЛОВСКАЯ   Г КРАСНОТУРЬИНСК   УЛ ФРУНЗЕ д. 28</v>
      </c>
      <c r="M1230" t="str">
        <f t="shared" si="203"/>
        <v>2019-08-24</v>
      </c>
      <c r="N1230" t="str">
        <f>"ООО ГЛОРИЯ"</f>
        <v>ООО ГЛОРИЯ</v>
      </c>
      <c r="O1230" t="str">
        <f>"620000"</f>
        <v>620000</v>
      </c>
      <c r="P1230" t="str">
        <f>"ОБЛ СВЕРДЛОВСКАЯ"</f>
        <v>ОБЛ СВЕРДЛОВСКАЯ</v>
      </c>
      <c r="Q1230" t="str">
        <f>""</f>
        <v/>
      </c>
      <c r="R1230" t="str">
        <f>"Г КРАСНОТУРЬИНСК"</f>
        <v>Г КРАСНОТУРЬИНСК</v>
      </c>
      <c r="S1230" t="str">
        <f>""</f>
        <v/>
      </c>
      <c r="T1230" t="str">
        <f>"УЛ РЮМИНА"</f>
        <v>УЛ РЮМИНА</v>
      </c>
      <c r="U1230" s="1" t="str">
        <f>"21"</f>
        <v>21</v>
      </c>
      <c r="V1230" s="1" t="str">
        <f>""</f>
        <v/>
      </c>
      <c r="W1230" s="1" t="str">
        <f>""</f>
        <v/>
      </c>
      <c r="X1230" s="1" t="str">
        <f>""</f>
        <v/>
      </c>
      <c r="Y1230" s="1" t="str">
        <f>"70"</f>
        <v>70</v>
      </c>
      <c r="Z1230" t="str">
        <f>"9089091659"</f>
        <v>9089091659</v>
      </c>
      <c r="AA1230" t="str">
        <f>"9089091659"</f>
        <v>9089091659</v>
      </c>
      <c r="AB1230" t="str">
        <f>"9089091659"</f>
        <v>9089091659</v>
      </c>
      <c r="AC1230" t="str">
        <f>"9089091659"</f>
        <v>9089091659</v>
      </c>
      <c r="AD1230" t="str">
        <f>"9089091659"</f>
        <v>9089091659</v>
      </c>
      <c r="AE1230" t="str">
        <f>"9089091659"</f>
        <v>9089091659</v>
      </c>
    </row>
    <row r="1231" spans="1:31" x14ac:dyDescent="0.45">
      <c r="A1231" t="str">
        <f>"ФОРМАКИДОВА ЮЛИЯ ФЕДОРОВНА"</f>
        <v>ФОРМАКИДОВА ЮЛИЯ ФЕДОРОВНА</v>
      </c>
      <c r="B1231" t="str">
        <f>"1994-07-31"</f>
        <v>1994-07-31</v>
      </c>
      <c r="C1231" t="str">
        <f>"65 14 841024"</f>
        <v>65 14 841024</v>
      </c>
      <c r="D1231" t="str">
        <f>"4279011615881813"</f>
        <v>4279011615881813</v>
      </c>
      <c r="E1231" t="str">
        <f t="shared" si="202"/>
        <v>2021-05-31</v>
      </c>
      <c r="F1231" t="str">
        <f t="shared" si="201"/>
        <v>+</v>
      </c>
      <c r="G1231" t="str">
        <f t="shared" si="201"/>
        <v>+</v>
      </c>
      <c r="H1231" t="str">
        <f>"40817810816991391593"</f>
        <v>40817810816991391593</v>
      </c>
      <c r="I1231" t="str">
        <f>"7003"</f>
        <v>7003</v>
      </c>
      <c r="J1231" t="str">
        <f>"0727"</f>
        <v>0727</v>
      </c>
      <c r="K1231" t="str">
        <f>"50000.00"</f>
        <v>50000.00</v>
      </c>
      <c r="L1231" t="str">
        <f>"620000 ОБЛ СВЕРДЛОВСКАЯ   Г НИЖНИЙ ТАГИЛ   УЛ КРАСНОАРМЕЙСКАЯ д. 9"</f>
        <v>620000 ОБЛ СВЕРДЛОВСКАЯ   Г НИЖНИЙ ТАГИЛ   УЛ КРАСНОАРМЕЙСКАЯ д. 9</v>
      </c>
      <c r="M1231" t="str">
        <f t="shared" si="203"/>
        <v>2019-08-24</v>
      </c>
      <c r="N1231" t="str">
        <f>"ИП ПОЛОВИНКО"</f>
        <v>ИП ПОЛОВИНКО</v>
      </c>
      <c r="O1231" t="str">
        <f>"620000"</f>
        <v>620000</v>
      </c>
      <c r="P1231" t="str">
        <f>"ОБЛ СВЕРДЛОВСКАЯ"</f>
        <v>ОБЛ СВЕРДЛОВСКАЯ</v>
      </c>
      <c r="Q1231" t="str">
        <f>""</f>
        <v/>
      </c>
      <c r="R1231" t="str">
        <f>"Г НИЖНИЙ ТАГИЛ"</f>
        <v>Г НИЖНИЙ ТАГИЛ</v>
      </c>
      <c r="S1231" t="str">
        <f>""</f>
        <v/>
      </c>
      <c r="T1231" t="str">
        <f>"УЛ КАЛИНИНА"</f>
        <v>УЛ КАЛИНИНА</v>
      </c>
      <c r="U1231" s="1" t="str">
        <f>"113"</f>
        <v>113</v>
      </c>
      <c r="V1231" s="1" t="str">
        <f>""</f>
        <v/>
      </c>
      <c r="W1231" s="1" t="str">
        <f>""</f>
        <v/>
      </c>
      <c r="X1231" s="1" t="str">
        <f>""</f>
        <v/>
      </c>
      <c r="Y1231" s="1" t="str">
        <f>"115"</f>
        <v>115</v>
      </c>
      <c r="Z1231" t="str">
        <f>"9193832510"</f>
        <v>9193832510</v>
      </c>
      <c r="AA1231" t="str">
        <f>"3435337831"</f>
        <v>3435337831</v>
      </c>
      <c r="AB1231" t="str">
        <f>"9193985512"</f>
        <v>9193985512</v>
      </c>
      <c r="AC1231" t="str">
        <f>"9193985512"</f>
        <v>9193985512</v>
      </c>
      <c r="AD1231" t="str">
        <f>"9193985512"</f>
        <v>9193985512</v>
      </c>
      <c r="AE1231" t="str">
        <f>"9193832510"</f>
        <v>9193832510</v>
      </c>
    </row>
    <row r="1232" spans="1:31" x14ac:dyDescent="0.45">
      <c r="A1232" t="str">
        <f>"КРЕМНЕВА ЮЛИЯ АЛЕКСАНДРОВНА"</f>
        <v>КРЕМНЕВА ЮЛИЯ АЛЕКСАНДРОВНА</v>
      </c>
      <c r="B1232" t="str">
        <f>"1997-03-31"</f>
        <v>1997-03-31</v>
      </c>
      <c r="C1232" t="str">
        <f>"80 17 529054"</f>
        <v>80 17 529054</v>
      </c>
      <c r="D1232" t="str">
        <f>"4279011690474922"</f>
        <v>4279011690474922</v>
      </c>
      <c r="E1232" t="str">
        <f t="shared" si="202"/>
        <v>2021-05-31</v>
      </c>
      <c r="F1232" t="str">
        <f t="shared" si="201"/>
        <v>+</v>
      </c>
      <c r="G1232" t="str">
        <f t="shared" si="201"/>
        <v>+</v>
      </c>
      <c r="H1232" t="str">
        <f>"40817810416991391618"</f>
        <v>40817810416991391618</v>
      </c>
      <c r="I1232" t="str">
        <f>"8598"</f>
        <v>8598</v>
      </c>
      <c r="J1232" t="str">
        <f>"0211"</f>
        <v>0211</v>
      </c>
      <c r="K1232" t="str">
        <f>"31000.00"</f>
        <v>31000.00</v>
      </c>
      <c r="L1232" t="str">
        <f>"450000 РЕСП БАШКОРТОСТАН   Г УФА   УЛ АХМЕТОВА д. 326"</f>
        <v>450000 РЕСП БАШКОРТОСТАН   Г УФА   УЛ АХМЕТОВА д. 326</v>
      </c>
      <c r="M1232" t="str">
        <f t="shared" si="203"/>
        <v>2019-08-24</v>
      </c>
      <c r="N1232" t="str">
        <f>"АО СВЯЗНОЙ ЛОГИСТИКА"</f>
        <v>АО СВЯЗНОЙ ЛОГИСТИКА</v>
      </c>
      <c r="O1232" t="str">
        <f>"450000"</f>
        <v>450000</v>
      </c>
      <c r="P1232" t="str">
        <f>"РЕСП БАШКОРТОСТАН"</f>
        <v>РЕСП БАШКОРТОСТАН</v>
      </c>
      <c r="Q1232" t="str">
        <f>""</f>
        <v/>
      </c>
      <c r="R1232" t="str">
        <f>"Г УФА"</f>
        <v>Г УФА</v>
      </c>
      <c r="S1232" t="str">
        <f>""</f>
        <v/>
      </c>
      <c r="T1232" t="str">
        <f>"УЛ АХМЕТОВА"</f>
        <v>УЛ АХМЕТОВА</v>
      </c>
      <c r="U1232" s="1" t="str">
        <f>"275"</f>
        <v>275</v>
      </c>
      <c r="V1232" s="1" t="str">
        <f>""</f>
        <v/>
      </c>
      <c r="W1232" s="1" t="str">
        <f>""</f>
        <v/>
      </c>
      <c r="X1232" s="1" t="str">
        <f>""</f>
        <v/>
      </c>
      <c r="Y1232" s="1" t="str">
        <f>"122"</f>
        <v>122</v>
      </c>
      <c r="Z1232" t="str">
        <f>"3472288030"</f>
        <v>3472288030</v>
      </c>
      <c r="AA1232" t="str">
        <f>"9378415272"</f>
        <v>9378415272</v>
      </c>
      <c r="AB1232" t="str">
        <f>"9964006275"</f>
        <v>9964006275</v>
      </c>
      <c r="AC1232" t="str">
        <f>"9378415272"</f>
        <v>9378415272</v>
      </c>
      <c r="AD1232" t="str">
        <f>"9964006275"</f>
        <v>9964006275</v>
      </c>
      <c r="AE1232" t="str">
        <f>""</f>
        <v/>
      </c>
    </row>
    <row r="1233" spans="1:31" x14ac:dyDescent="0.45">
      <c r="A1233" t="str">
        <f>"ГУТАРОВА ЮЛИЯ АНАТОЛЬЕВНА"</f>
        <v>ГУТАРОВА ЮЛИЯ АНАТОЛЬЕВНА</v>
      </c>
      <c r="B1233" t="str">
        <f>"1974-02-05"</f>
        <v>1974-02-05</v>
      </c>
      <c r="C1233" t="str">
        <f>"75 18 240882"</f>
        <v>75 18 240882</v>
      </c>
      <c r="D1233" t="str">
        <f>"4279011638539943"</f>
        <v>4279011638539943</v>
      </c>
      <c r="E1233" t="str">
        <f>"2021-06-30"</f>
        <v>2021-06-30</v>
      </c>
      <c r="F1233" t="str">
        <f t="shared" si="201"/>
        <v>+</v>
      </c>
      <c r="G1233" t="str">
        <f t="shared" si="201"/>
        <v>+</v>
      </c>
      <c r="H1233" t="str">
        <f>"40817810216991463160"</f>
        <v>40817810216991463160</v>
      </c>
      <c r="I1233" t="str">
        <f>"8597"</f>
        <v>8597</v>
      </c>
      <c r="J1233" t="str">
        <f>"0533"</f>
        <v>0533</v>
      </c>
      <c r="K1233" t="str">
        <f>"60000.00"</f>
        <v>60000.00</v>
      </c>
      <c r="L1233" t="str">
        <f>"456300 ОБЛ ЧЕЛЯБИНСКАЯ   Г МИАСС   УЛ ХМЕЛЬНИЦКОГО д. 48 кв. 2"</f>
        <v>456300 ОБЛ ЧЕЛЯБИНСКАЯ   Г МИАСС   УЛ ХМЕЛЬНИЦКОГО д. 48 кв. 2</v>
      </c>
      <c r="M1233" t="str">
        <f t="shared" si="203"/>
        <v>2019-08-24</v>
      </c>
      <c r="N1233" t="str">
        <f>"ИП ГУТАРОВА Ю.А."</f>
        <v>ИП ГУТАРОВА Ю.А.</v>
      </c>
      <c r="O1233" t="str">
        <f>"456320"</f>
        <v>456320</v>
      </c>
      <c r="P1233" t="str">
        <f>"ОБЛ ЧЕЛЯБИНСКАЯ"</f>
        <v>ОБЛ ЧЕЛЯБИНСКАЯ</v>
      </c>
      <c r="Q1233" t="str">
        <f>""</f>
        <v/>
      </c>
      <c r="R1233" t="str">
        <f>"Г МИАСС"</f>
        <v>Г МИАСС</v>
      </c>
      <c r="S1233" t="str">
        <f>""</f>
        <v/>
      </c>
      <c r="T1233" t="str">
        <f>"УЛ Б.ХМЕЛЬНИЦКОГО"</f>
        <v>УЛ Б.ХМЕЛЬНИЦКОГО</v>
      </c>
      <c r="U1233" s="1" t="str">
        <f>"48"</f>
        <v>48</v>
      </c>
      <c r="V1233" s="1" t="str">
        <f>""</f>
        <v/>
      </c>
      <c r="W1233" s="1" t="str">
        <f>""</f>
        <v/>
      </c>
      <c r="X1233" s="1" t="str">
        <f>""</f>
        <v/>
      </c>
      <c r="Y1233" s="1" t="str">
        <f>"2"</f>
        <v>2</v>
      </c>
      <c r="Z1233" t="str">
        <f>"9026151797"</f>
        <v>9026151797</v>
      </c>
      <c r="AA1233" t="str">
        <f>"(3513)545967"</f>
        <v>(3513)545967</v>
      </c>
      <c r="AB1233" t="str">
        <f>"9026151797"</f>
        <v>9026151797</v>
      </c>
      <c r="AC1233" t="str">
        <f>"9588706280"</f>
        <v>9588706280</v>
      </c>
      <c r="AD1233" t="str">
        <f>"9026151797"</f>
        <v>9026151797</v>
      </c>
      <c r="AE1233" t="str">
        <f>"9026151797"</f>
        <v>9026151797</v>
      </c>
    </row>
    <row r="1234" spans="1:31" x14ac:dyDescent="0.45">
      <c r="A1234" t="str">
        <f>"ОБУХОВА ОКСАНА ВЛАДИМИРОВНА"</f>
        <v>ОБУХОВА ОКСАНА ВЛАДИМИРОВНА</v>
      </c>
      <c r="B1234" t="str">
        <f>"1979-05-23"</f>
        <v>1979-05-23</v>
      </c>
      <c r="C1234" t="str">
        <f>"75 02 309204"</f>
        <v>75 02 309204</v>
      </c>
      <c r="D1234" t="str">
        <f>"4279011639106635"</f>
        <v>4279011639106635</v>
      </c>
      <c r="E1234" t="str">
        <f>"2021-06-30"</f>
        <v>2021-06-30</v>
      </c>
      <c r="F1234" t="str">
        <f t="shared" si="201"/>
        <v>+</v>
      </c>
      <c r="G1234" t="str">
        <f t="shared" si="201"/>
        <v>+</v>
      </c>
      <c r="H1234" t="str">
        <f>"40817810816991463162"</f>
        <v>40817810816991463162</v>
      </c>
      <c r="I1234" t="str">
        <f>"8597"</f>
        <v>8597</v>
      </c>
      <c r="J1234" t="str">
        <f>"0241"</f>
        <v>0241</v>
      </c>
      <c r="K1234" t="str">
        <f>"20000.00"</f>
        <v>20000.00</v>
      </c>
      <c r="L1234" t="str">
        <f>"454000 ОБЛ ЧЕЛЯБИНСКАЯ   Г ЧЕЛЯБИНСК   УЛ ТРОИЦКИЙ ТРАКТ д. 72В"</f>
        <v>454000 ОБЛ ЧЕЛЯБИНСКАЯ   Г ЧЕЛЯБИНСК   УЛ ТРОИЦКИЙ ТРАКТ д. 72В</v>
      </c>
      <c r="M1234" t="str">
        <f t="shared" si="203"/>
        <v>2019-08-24</v>
      </c>
      <c r="N1234" t="str">
        <f>"ИП ПАГЛОВ Д.В"</f>
        <v>ИП ПАГЛОВ Д.В</v>
      </c>
      <c r="O1234" t="str">
        <f>"454000"</f>
        <v>454000</v>
      </c>
      <c r="P1234" t="str">
        <f>"ОБЛ ЧЕЛЯБИНСКАЯ"</f>
        <v>ОБЛ ЧЕЛЯБИНСКАЯ</v>
      </c>
      <c r="Q1234" t="str">
        <f>""</f>
        <v/>
      </c>
      <c r="R1234" t="str">
        <f>"Г ЧЕЛЯБИНСК"</f>
        <v>Г ЧЕЛЯБИНСК</v>
      </c>
      <c r="S1234" t="str">
        <f>""</f>
        <v/>
      </c>
      <c r="T1234" t="str">
        <f>"УЛ ГЕРОЕВ ТАНКОГРАДА"</f>
        <v>УЛ ГЕРОЕВ ТАНКОГРАДА</v>
      </c>
      <c r="U1234" s="1" t="str">
        <f>"100"</f>
        <v>100</v>
      </c>
      <c r="V1234" s="1" t="str">
        <f>""</f>
        <v/>
      </c>
      <c r="W1234" s="1" t="str">
        <f>""</f>
        <v/>
      </c>
      <c r="X1234" s="1" t="str">
        <f>""</f>
        <v/>
      </c>
      <c r="Y1234" s="1" t="str">
        <f>"10"</f>
        <v>10</v>
      </c>
      <c r="Z1234" t="str">
        <f>"3517406925"</f>
        <v>3517406925</v>
      </c>
      <c r="AA1234" t="str">
        <f>"9058363936"</f>
        <v>9058363936</v>
      </c>
      <c r="AB1234" t="str">
        <f>"9058363936"</f>
        <v>9058363936</v>
      </c>
      <c r="AC1234" t="str">
        <f>"9058363936"</f>
        <v>9058363936</v>
      </c>
      <c r="AD1234" t="str">
        <f>"9058363936"</f>
        <v>9058363936</v>
      </c>
      <c r="AE1234" t="str">
        <f>"3517406925"</f>
        <v>3517406925</v>
      </c>
    </row>
    <row r="1235" spans="1:31" x14ac:dyDescent="0.45">
      <c r="A1235" t="str">
        <f>"ЗАХАРОВА ТАНЗИЛЯ ГИЛЬМЕТДИНОВНА"</f>
        <v>ЗАХАРОВА ТАНЗИЛЯ ГИЛЬМЕТДИНОВНА</v>
      </c>
      <c r="B1235" t="str">
        <f>"1957-12-05"</f>
        <v>1957-12-05</v>
      </c>
      <c r="C1235" t="str">
        <f>"75 03 131774"</f>
        <v>75 03 131774</v>
      </c>
      <c r="D1235" t="str">
        <f>"4279011688981292"</f>
        <v>4279011688981292</v>
      </c>
      <c r="E1235" t="str">
        <f>"2021-06-30"</f>
        <v>2021-06-30</v>
      </c>
      <c r="F1235" t="str">
        <f t="shared" si="201"/>
        <v>+</v>
      </c>
      <c r="G1235" t="str">
        <f t="shared" si="201"/>
        <v>+</v>
      </c>
      <c r="H1235" t="str">
        <f>"40817810716991463165"</f>
        <v>40817810716991463165</v>
      </c>
      <c r="I1235" t="str">
        <f>"8597"</f>
        <v>8597</v>
      </c>
      <c r="J1235" t="str">
        <f>"0233"</f>
        <v>0233</v>
      </c>
      <c r="K1235" t="str">
        <f>"47000.00"</f>
        <v>47000.00</v>
      </c>
      <c r="L1235" t="str">
        <f>"454000 ОБЛ ЧЕЛЯБИНСКАЯ   Г ЧЕЛЯБИНСК   УЛ ПАВЕЛЕЦКАЯ д. 4 кв. 0"</f>
        <v>454000 ОБЛ ЧЕЛЯБИНСКАЯ   Г ЧЕЛЯБИНСК   УЛ ПАВЕЛЕЦКАЯ д. 4 кв. 0</v>
      </c>
      <c r="M1235" t="str">
        <f t="shared" si="203"/>
        <v>2019-08-24</v>
      </c>
      <c r="N1235" t="str">
        <f>"ЧМК"</f>
        <v>ЧМК</v>
      </c>
      <c r="O1235" t="str">
        <f>"454047"</f>
        <v>454047</v>
      </c>
      <c r="P1235" t="str">
        <f>"ОБЛ ЧЕЛЯБИНСКАЯ"</f>
        <v>ОБЛ ЧЕЛЯБИНСКАЯ</v>
      </c>
      <c r="Q1235" t="str">
        <f>""</f>
        <v/>
      </c>
      <c r="R1235" t="str">
        <f>"Г ЧЕЛЯБИНСК"</f>
        <v>Г ЧЕЛЯБИНСК</v>
      </c>
      <c r="S1235" t="str">
        <f>""</f>
        <v/>
      </c>
      <c r="T1235" t="str">
        <f>"УЛ ТРУДОВАЯ"</f>
        <v>УЛ ТРУДОВАЯ</v>
      </c>
      <c r="U1235" s="1" t="str">
        <f>"7"</f>
        <v>7</v>
      </c>
      <c r="V1235" s="1" t="str">
        <f>""</f>
        <v/>
      </c>
      <c r="W1235" s="1" t="str">
        <f>""</f>
        <v/>
      </c>
      <c r="X1235" s="1" t="str">
        <f>""</f>
        <v/>
      </c>
      <c r="Y1235" s="1" t="str">
        <f>"69"</f>
        <v>69</v>
      </c>
      <c r="Z1235" t="str">
        <f>"+7 (351) 7253370"</f>
        <v>+7 (351) 7253370</v>
      </c>
      <c r="AA1235" t="str">
        <f>"+7 (351) 7360117"</f>
        <v>+7 (351) 7360117</v>
      </c>
      <c r="AB1235" t="str">
        <f>"+7 (905) 0562908"</f>
        <v>+7 (905) 0562908</v>
      </c>
      <c r="AC1235" t="str">
        <f>"9517745838"</f>
        <v>9517745838</v>
      </c>
      <c r="AD1235" t="str">
        <f>"9517745838"</f>
        <v>9517745838</v>
      </c>
      <c r="AE1235" t="str">
        <f>""</f>
        <v/>
      </c>
    </row>
    <row r="1236" spans="1:31" x14ac:dyDescent="0.45">
      <c r="A1236" t="str">
        <f>"АПАЛЬКОВ КИРИЛЛ БОРИСОВИЧ"</f>
        <v>АПАЛЬКОВ КИРИЛЛ БОРИСОВИЧ</v>
      </c>
      <c r="B1236" t="str">
        <f>"1975-10-28"</f>
        <v>1975-10-28</v>
      </c>
      <c r="C1236" t="str">
        <f>"65 05 090389"</f>
        <v>65 05 090389</v>
      </c>
      <c r="D1236" t="str">
        <f>"4279011689399676"</f>
        <v>4279011689399676</v>
      </c>
      <c r="E1236" t="str">
        <f>"2021-06-30"</f>
        <v>2021-06-30</v>
      </c>
      <c r="F1236" t="str">
        <f t="shared" si="201"/>
        <v>+</v>
      </c>
      <c r="G1236" t="str">
        <f t="shared" si="201"/>
        <v>+</v>
      </c>
      <c r="H1236" t="str">
        <f>"40817810016991463166"</f>
        <v>40817810016991463166</v>
      </c>
      <c r="I1236" t="str">
        <f>"7003"</f>
        <v>7003</v>
      </c>
      <c r="J1236" t="str">
        <f>"6201"</f>
        <v>6201</v>
      </c>
      <c r="K1236" t="str">
        <f>"200000.00"</f>
        <v>200000.00</v>
      </c>
      <c r="L1236" t="str">
        <f>"620000 ОБЛ СВЕРДЛОВСКАЯ   Г ЕКАТЕРИНБУРГ   УЛ МИЧУРИНА д. 99"</f>
        <v>620000 ОБЛ СВЕРДЛОВСКАЯ   Г ЕКАТЕРИНБУРГ   УЛ МИЧУРИНА д. 99</v>
      </c>
      <c r="M1236" t="str">
        <f t="shared" si="203"/>
        <v>2019-08-24</v>
      </c>
      <c r="N1236" t="str">
        <f>"КОЛЛЕГИЯ АДВОКАТОВ"</f>
        <v>КОЛЛЕГИЯ АДВОКАТОВ</v>
      </c>
      <c r="O1236" t="str">
        <f>"620000"</f>
        <v>620000</v>
      </c>
      <c r="P1236" t="str">
        <f>"ОБЛ СВЕРДЛОВСКАЯ"</f>
        <v>ОБЛ СВЕРДЛОВСКАЯ</v>
      </c>
      <c r="Q1236" t="str">
        <f>""</f>
        <v/>
      </c>
      <c r="R1236" t="str">
        <f>"Г ЕКАТЕРИНБУРГ"</f>
        <v>Г ЕКАТЕРИНБУРГ</v>
      </c>
      <c r="S1236" t="str">
        <f>""</f>
        <v/>
      </c>
      <c r="T1236" t="str">
        <f>"УЛ УРАЛЬСКАЯ"</f>
        <v>УЛ УРАЛЬСКАЯ</v>
      </c>
      <c r="U1236" s="1" t="str">
        <f>"3"</f>
        <v>3</v>
      </c>
      <c r="V1236" s="1" t="str">
        <f>""</f>
        <v/>
      </c>
      <c r="W1236" s="1" t="str">
        <f>""</f>
        <v/>
      </c>
      <c r="X1236" s="1" t="str">
        <f>""</f>
        <v/>
      </c>
      <c r="Y1236" s="1" t="str">
        <f>"188"</f>
        <v>188</v>
      </c>
      <c r="Z1236" t="str">
        <f>""</f>
        <v/>
      </c>
      <c r="AA1236" t="str">
        <f>"9126622335"</f>
        <v>9126622335</v>
      </c>
      <c r="AB1236" t="str">
        <f>"9126622335"</f>
        <v>9126622335</v>
      </c>
      <c r="AC1236" t="str">
        <f>"9126622335"</f>
        <v>9126622335</v>
      </c>
      <c r="AD1236" t="str">
        <f>"9126622335"</f>
        <v>9126622335</v>
      </c>
      <c r="AE1236" t="str">
        <f>""</f>
        <v/>
      </c>
    </row>
    <row r="1237" spans="1:31" x14ac:dyDescent="0.45">
      <c r="A1237" t="str">
        <f>"КАШАПОВ ЗУФАР ЗИЕВИЧ"</f>
        <v>КАШАПОВ ЗУФАР ЗИЕВИЧ</v>
      </c>
      <c r="B1237" t="str">
        <f>"1957-08-14"</f>
        <v>1957-08-14</v>
      </c>
      <c r="C1237" t="str">
        <f>"80 10 180667"</f>
        <v>80 10 180667</v>
      </c>
      <c r="D1237" t="str">
        <f>"4817810014819251"</f>
        <v>4817810014819251</v>
      </c>
      <c r="E1237" t="str">
        <f>"2021-06-30"</f>
        <v>2021-06-30</v>
      </c>
      <c r="F1237" t="str">
        <f>"Q"</f>
        <v>Q</v>
      </c>
      <c r="G1237" t="str">
        <f>"Q"</f>
        <v>Q</v>
      </c>
      <c r="H1237" t="str">
        <f>"40817810116991463244"</f>
        <v>40817810116991463244</v>
      </c>
      <c r="I1237" t="str">
        <f>"8598"</f>
        <v>8598</v>
      </c>
      <c r="J1237" t="str">
        <f>"0396"</f>
        <v>0396</v>
      </c>
      <c r="K1237" t="str">
        <f>"0.00"</f>
        <v>0.00</v>
      </c>
      <c r="L1237" t="str">
        <f>"450000 РЕСП БАШКОРТОСТАН Р-Н ЧЕКМАГУШЕВСКИЙ   С ЧЕКМАГУШ УЛ Г. ЛАТЫПОВА д. 86"</f>
        <v>450000 РЕСП БАШКОРТОСТАН Р-Н ЧЕКМАГУШЕВСКИЙ   С ЧЕКМАГУШ УЛ Г. ЛАТЫПОВА д. 86</v>
      </c>
      <c r="M1237" t="str">
        <f t="shared" si="203"/>
        <v>2019-08-24</v>
      </c>
      <c r="N1237" t="str">
        <f>"ПЕНСИОНЕР"</f>
        <v>ПЕНСИОНЕР</v>
      </c>
      <c r="O1237" t="str">
        <f>"450000"</f>
        <v>450000</v>
      </c>
      <c r="P1237" t="str">
        <f>"РЕСП БАШКОРТОСТАН"</f>
        <v>РЕСП БАШКОРТОСТАН</v>
      </c>
      <c r="Q1237" t="str">
        <f>"Р-Н ЧЕКМАГУШЕВСКИЙ"</f>
        <v>Р-Н ЧЕКМАГУШЕВСКИЙ</v>
      </c>
      <c r="R1237" t="str">
        <f>""</f>
        <v/>
      </c>
      <c r="S1237" t="str">
        <f>"С ЧЕКМАГУШ"</f>
        <v>С ЧЕКМАГУШ</v>
      </c>
      <c r="T1237" t="str">
        <f>"УЛ Г. ЛАТЫПОВА"</f>
        <v>УЛ Г. ЛАТЫПОВА</v>
      </c>
      <c r="U1237" s="1" t="str">
        <f>"86"</f>
        <v>86</v>
      </c>
      <c r="V1237" s="1" t="str">
        <f>""</f>
        <v/>
      </c>
      <c r="W1237" s="1" t="str">
        <f>""</f>
        <v/>
      </c>
      <c r="X1237" s="1" t="str">
        <f>""</f>
        <v/>
      </c>
      <c r="Y1237" s="1" t="str">
        <f>""</f>
        <v/>
      </c>
      <c r="Z1237" t="str">
        <f>""</f>
        <v/>
      </c>
      <c r="AA1237" t="str">
        <f>"3479634101"</f>
        <v>3479634101</v>
      </c>
      <c r="AB1237" t="str">
        <f>"9174407551"</f>
        <v>9174407551</v>
      </c>
      <c r="AC1237" t="str">
        <f>"3479634101"</f>
        <v>3479634101</v>
      </c>
      <c r="AD1237" t="str">
        <f>"9174407551"</f>
        <v>9174407551</v>
      </c>
      <c r="AE1237" t="str">
        <f>""</f>
        <v/>
      </c>
    </row>
    <row r="1238" spans="1:31" x14ac:dyDescent="0.45">
      <c r="A1238" t="str">
        <f>"МУРТАЗИНА ГУЛЬНАРА РАЛИФОВНА"</f>
        <v>МУРТАЗИНА ГУЛЬНАРА РАЛИФОВНА</v>
      </c>
      <c r="B1238" t="str">
        <f>"1975-10-31"</f>
        <v>1975-10-31</v>
      </c>
      <c r="C1238" t="str">
        <f>"80 05 673585"</f>
        <v>80 05 673585</v>
      </c>
      <c r="D1238" t="str">
        <f>"4854630302818714"</f>
        <v>4854630302818714</v>
      </c>
      <c r="E1238" t="str">
        <f>"2019-06-30"</f>
        <v>2019-06-30</v>
      </c>
      <c r="F1238" t="str">
        <f>"Q"</f>
        <v>Q</v>
      </c>
      <c r="G1238" t="str">
        <f>"Q"</f>
        <v>Q</v>
      </c>
      <c r="H1238" t="str">
        <f>"40817810316991429622"</f>
        <v>40817810316991429622</v>
      </c>
      <c r="I1238" t="str">
        <f>"8598"</f>
        <v>8598</v>
      </c>
      <c r="J1238" t="str">
        <f>"0128"</f>
        <v>0128</v>
      </c>
      <c r="K1238" t="str">
        <f>"0.00"</f>
        <v>0.00</v>
      </c>
      <c r="L1238" t="str">
        <f>"450000 РЕСП БАШКОРТОСТАН   Г УФА   УЛ ИНДУСТРИАЛЬНОЕ ШОССЕ д. 128"</f>
        <v>450000 РЕСП БАШКОРТОСТАН   Г УФА   УЛ ИНДУСТРИАЛЬНОЕ ШОССЕ д. 128</v>
      </c>
      <c r="M1238" t="str">
        <f t="shared" si="203"/>
        <v>2019-08-24</v>
      </c>
      <c r="N1238" t="str">
        <f>"ХЛЕБ ЗАВОД 7"</f>
        <v>ХЛЕБ ЗАВОД 7</v>
      </c>
      <c r="O1238" t="str">
        <f>"450000"</f>
        <v>450000</v>
      </c>
      <c r="P1238" t="str">
        <f>"РЕСП БАШКОРТОСТАН"</f>
        <v>РЕСП БАШКОРТОСТАН</v>
      </c>
      <c r="Q1238" t="str">
        <f>""</f>
        <v/>
      </c>
      <c r="R1238" t="str">
        <f>"Г УФА"</f>
        <v>Г УФА</v>
      </c>
      <c r="S1238" t="str">
        <f>""</f>
        <v/>
      </c>
      <c r="T1238" t="str">
        <f>"УЛ БОРИСОГЛЕБСАЯ"</f>
        <v>УЛ БОРИСОГЛЕБСАЯ</v>
      </c>
      <c r="U1238" s="1" t="str">
        <f>"5"</f>
        <v>5</v>
      </c>
      <c r="V1238" s="1" t="str">
        <f>""</f>
        <v/>
      </c>
      <c r="W1238" s="1" t="str">
        <f>""</f>
        <v/>
      </c>
      <c r="X1238" s="1" t="str">
        <f>""</f>
        <v/>
      </c>
      <c r="Y1238" s="1" t="str">
        <f>"316"</f>
        <v>316</v>
      </c>
      <c r="Z1238" t="str">
        <f>""</f>
        <v/>
      </c>
      <c r="AA1238" t="str">
        <f>"3472643240"</f>
        <v>3472643240</v>
      </c>
      <c r="AB1238" t="str">
        <f>"9874719255"</f>
        <v>9874719255</v>
      </c>
      <c r="AC1238" t="str">
        <f>"3472643240"</f>
        <v>3472643240</v>
      </c>
      <c r="AD1238" t="str">
        <f>"9874719255"</f>
        <v>9874719255</v>
      </c>
      <c r="AE1238" t="str">
        <f>""</f>
        <v/>
      </c>
    </row>
    <row r="1239" spans="1:31" x14ac:dyDescent="0.45">
      <c r="A1239" t="str">
        <f>"СНИГИРЕВА ОКСАНА АНАТОЛЬЕВНА"</f>
        <v>СНИГИРЕВА ОКСАНА АНАТОЛЬЕВНА</v>
      </c>
      <c r="B1239" t="str">
        <f>"1981-09-10"</f>
        <v>1981-09-10</v>
      </c>
      <c r="C1239" t="str">
        <f>"37 10 383622"</f>
        <v>37 10 383622</v>
      </c>
      <c r="D1239" t="str">
        <f>"4279011640792639"</f>
        <v>4279011640792639</v>
      </c>
      <c r="E1239" t="str">
        <f>"2021-06-30"</f>
        <v>2021-06-30</v>
      </c>
      <c r="F1239" t="str">
        <f t="shared" ref="F1239:G1244" si="204">"+"</f>
        <v>+</v>
      </c>
      <c r="G1239" t="str">
        <f t="shared" si="204"/>
        <v>+</v>
      </c>
      <c r="H1239" t="str">
        <f>"40817810416991463245"</f>
        <v>40817810416991463245</v>
      </c>
      <c r="I1239" t="str">
        <f>"8599"</f>
        <v>8599</v>
      </c>
      <c r="J1239" t="str">
        <f>"0045"</f>
        <v>0045</v>
      </c>
      <c r="K1239" t="str">
        <f>"195000.00"</f>
        <v>195000.00</v>
      </c>
      <c r="L1239" t="str">
        <f>"641000 ОБЛ КУРГАНСКАЯ   Г КУРГАН   УЛ ГОГОЛЯ д. 105"</f>
        <v>641000 ОБЛ КУРГАНСКАЯ   Г КУРГАН   УЛ ГОГОЛЯ д. 105</v>
      </c>
      <c r="M1239" t="str">
        <f t="shared" si="203"/>
        <v>2019-08-24</v>
      </c>
      <c r="N1239" t="s">
        <v>84</v>
      </c>
      <c r="O1239" t="str">
        <f>"641000"</f>
        <v>641000</v>
      </c>
      <c r="P1239" t="str">
        <f>"ОБЛ КУРГАНСКАЯ"</f>
        <v>ОБЛ КУРГАНСКАЯ</v>
      </c>
      <c r="Q1239" t="str">
        <f>""</f>
        <v/>
      </c>
      <c r="R1239" t="str">
        <f>"Г КУРГАН"</f>
        <v>Г КУРГАН</v>
      </c>
      <c r="S1239" t="str">
        <f>""</f>
        <v/>
      </c>
      <c r="T1239" t="str">
        <f>"УЛ КАРЕЛЬЦЕВА"</f>
        <v>УЛ КАРЕЛЬЦЕВА</v>
      </c>
      <c r="U1239" s="1" t="str">
        <f>"115"</f>
        <v>115</v>
      </c>
      <c r="V1239" s="1" t="str">
        <f>"32"</f>
        <v>32</v>
      </c>
      <c r="W1239" s="1" t="str">
        <f>""</f>
        <v/>
      </c>
      <c r="X1239" s="1" t="str">
        <f>""</f>
        <v/>
      </c>
      <c r="Y1239" s="1" t="str">
        <f>""</f>
        <v/>
      </c>
      <c r="Z1239" t="str">
        <f>"+7 (3522) 222357"</f>
        <v>+7 (3522) 222357</v>
      </c>
      <c r="AA1239" t="str">
        <f>"+7 (919) 5796595"</f>
        <v>+7 (919) 5796595</v>
      </c>
      <c r="AB1239" t="str">
        <f>"+7 (919) 5796595"</f>
        <v>+7 (919) 5796595</v>
      </c>
      <c r="AC1239" t="str">
        <f>"9195957050"</f>
        <v>9195957050</v>
      </c>
      <c r="AD1239" t="str">
        <f>"9195796595"</f>
        <v>9195796595</v>
      </c>
      <c r="AE1239" t="str">
        <f>""</f>
        <v/>
      </c>
    </row>
    <row r="1240" spans="1:31" x14ac:dyDescent="0.45">
      <c r="A1240" t="str">
        <f>"БАШИРОВ ИЛЬНАР ИЛЬШАТОВИЧ"</f>
        <v>БАШИРОВ ИЛЬНАР ИЛЬШАТОВИЧ</v>
      </c>
      <c r="B1240" t="str">
        <f>"1992-08-24"</f>
        <v>1992-08-24</v>
      </c>
      <c r="C1240" t="str">
        <f>"80 12 560544"</f>
        <v>80 12 560544</v>
      </c>
      <c r="D1240" t="str">
        <f>"4854630376331891"</f>
        <v>4854630376331891</v>
      </c>
      <c r="E1240" t="str">
        <f>"2021-04-30"</f>
        <v>2021-04-30</v>
      </c>
      <c r="F1240" t="str">
        <f t="shared" si="204"/>
        <v>+</v>
      </c>
      <c r="G1240" t="str">
        <f t="shared" si="204"/>
        <v>+</v>
      </c>
      <c r="H1240" t="str">
        <f>"40817810716991463123"</f>
        <v>40817810716991463123</v>
      </c>
      <c r="I1240" t="str">
        <f>"8598"</f>
        <v>8598</v>
      </c>
      <c r="J1240" t="str">
        <f>"0610"</f>
        <v>0610</v>
      </c>
      <c r="K1240" t="str">
        <f>"50000.00"</f>
        <v>50000.00</v>
      </c>
      <c r="L1240" t="str">
        <f>"450000 РЕСП БАШКОРТОСТАН   Г УФА   УЛ ЦЕНТРАЛЬНАЯ д. 59"</f>
        <v>450000 РЕСП БАШКОРТОСТАН   Г УФА   УЛ ЦЕНТРАЛЬНАЯ д. 59</v>
      </c>
      <c r="M1240" t="str">
        <f t="shared" si="203"/>
        <v>2019-08-24</v>
      </c>
      <c r="N1240" t="str">
        <f>"ООО РН-СЕРВИС ФИЛИАЛ В Г УФА"</f>
        <v>ООО РН-СЕРВИС ФИЛИАЛ В Г УФА</v>
      </c>
      <c r="O1240" t="str">
        <f>"450000"</f>
        <v>450000</v>
      </c>
      <c r="P1240" t="str">
        <f>"РЕСП БАШКОРТОСТАН"</f>
        <v>РЕСП БАШКОРТОСТАН</v>
      </c>
      <c r="Q1240" t="str">
        <f>"Р-Н ИЛИШЕВСКИЙ"</f>
        <v>Р-Н ИЛИШЕВСКИЙ</v>
      </c>
      <c r="R1240" t="str">
        <f>""</f>
        <v/>
      </c>
      <c r="S1240" t="str">
        <f>"С ВЕРХНЕЯРКЕЕВО"</f>
        <v>С ВЕРХНЕЯРКЕЕВО</v>
      </c>
      <c r="T1240" t="str">
        <f>"УЛ МОЛОДЕЖНАЯ"</f>
        <v>УЛ МОЛОДЕЖНАЯ</v>
      </c>
      <c r="U1240" s="1" t="str">
        <f>"28"</f>
        <v>28</v>
      </c>
      <c r="V1240" s="1" t="str">
        <f>""</f>
        <v/>
      </c>
      <c r="W1240" s="1" t="str">
        <f>""</f>
        <v/>
      </c>
      <c r="X1240" s="1" t="str">
        <f>""</f>
        <v/>
      </c>
      <c r="Y1240" s="1" t="str">
        <f>""</f>
        <v/>
      </c>
      <c r="Z1240" t="str">
        <f>""</f>
        <v/>
      </c>
      <c r="AA1240" t="str">
        <f>"9191551482"</f>
        <v>9191551482</v>
      </c>
      <c r="AB1240" t="str">
        <f>"9191551482"</f>
        <v>9191551482</v>
      </c>
      <c r="AC1240" t="str">
        <f>"9191551482"</f>
        <v>9191551482</v>
      </c>
      <c r="AD1240" t="str">
        <f>"9191551482"</f>
        <v>9191551482</v>
      </c>
      <c r="AE1240" t="str">
        <f>""</f>
        <v/>
      </c>
    </row>
    <row r="1241" spans="1:31" x14ac:dyDescent="0.45">
      <c r="A1241" t="str">
        <f>"САМАНОВ АРТУР ШАМИЛЕВИЧ"</f>
        <v>САМАНОВ АРТУР ШАМИЛЕВИЧ</v>
      </c>
      <c r="B1241" t="str">
        <f>"1994-11-05"</f>
        <v>1994-11-05</v>
      </c>
      <c r="C1241" t="str">
        <f>"80 15 133945"</f>
        <v>80 15 133945</v>
      </c>
      <c r="D1241" t="str">
        <f>"4854630166796733"</f>
        <v>4854630166796733</v>
      </c>
      <c r="E1241" t="str">
        <f>"2021-05-31"</f>
        <v>2021-05-31</v>
      </c>
      <c r="F1241" t="str">
        <f t="shared" si="204"/>
        <v>+</v>
      </c>
      <c r="G1241" t="str">
        <f t="shared" si="204"/>
        <v>+</v>
      </c>
      <c r="H1241" t="str">
        <f>"40817810016991463124"</f>
        <v>40817810016991463124</v>
      </c>
      <c r="I1241" t="str">
        <f>"8598"</f>
        <v>8598</v>
      </c>
      <c r="J1241" t="str">
        <f>"0195"</f>
        <v>0195</v>
      </c>
      <c r="K1241" t="str">
        <f>"40000.00"</f>
        <v>40000.00</v>
      </c>
      <c r="L1241" t="str">
        <f>"450000 РЕСП БАШКОРТОСТАН   Г УФА   УЛ ПРОМЗОНА"</f>
        <v>450000 РЕСП БАШКОРТОСТАН   Г УФА   УЛ ПРОМЗОНА</v>
      </c>
      <c r="M1241" t="str">
        <f t="shared" si="203"/>
        <v>2019-08-24</v>
      </c>
      <c r="N1241" t="str">
        <f>"ЛЕРУА"</f>
        <v>ЛЕРУА</v>
      </c>
      <c r="O1241" t="str">
        <f>"450000"</f>
        <v>450000</v>
      </c>
      <c r="P1241" t="str">
        <f>"РЕСП БАШКОРТОСТАН"</f>
        <v>РЕСП БАШКОРТОСТАН</v>
      </c>
      <c r="Q1241" t="str">
        <f>""</f>
        <v/>
      </c>
      <c r="R1241" t="str">
        <f>"Г УФА"</f>
        <v>Г УФА</v>
      </c>
      <c r="S1241" t="str">
        <f>""</f>
        <v/>
      </c>
      <c r="T1241" t="str">
        <f>"УЛ ХАДИИ ДАВЛЕТШИНОЙ"</f>
        <v>УЛ ХАДИИ ДАВЛЕТШИНОЙ</v>
      </c>
      <c r="U1241" s="1" t="str">
        <f>"11"</f>
        <v>11</v>
      </c>
      <c r="V1241" s="1" t="str">
        <f>""</f>
        <v/>
      </c>
      <c r="W1241" s="1" t="str">
        <f>""</f>
        <v/>
      </c>
      <c r="X1241" s="1" t="str">
        <f>""</f>
        <v/>
      </c>
      <c r="Y1241" s="1" t="str">
        <f>""</f>
        <v/>
      </c>
      <c r="Z1241" t="str">
        <f>"9876241423"</f>
        <v>9876241423</v>
      </c>
      <c r="AA1241" t="str">
        <f>"9876241423"</f>
        <v>9876241423</v>
      </c>
      <c r="AB1241" t="str">
        <f>"9876241423"</f>
        <v>9876241423</v>
      </c>
      <c r="AC1241" t="str">
        <f>"9876241423"</f>
        <v>9876241423</v>
      </c>
      <c r="AD1241" t="str">
        <f>"9876241423"</f>
        <v>9876241423</v>
      </c>
      <c r="AE1241" t="str">
        <f>"9876241423"</f>
        <v>9876241423</v>
      </c>
    </row>
    <row r="1242" spans="1:31" x14ac:dyDescent="0.45">
      <c r="A1242" t="str">
        <f>"МАЛАХОВА ЛАРИСА ВЛАДИМИРОВНА"</f>
        <v>МАЛАХОВА ЛАРИСА ВЛАДИМИРОВНА</v>
      </c>
      <c r="B1242" t="str">
        <f>"1976-09-14"</f>
        <v>1976-09-14</v>
      </c>
      <c r="C1242" t="str">
        <f>"52 03 722827"</f>
        <v>52 03 722827</v>
      </c>
      <c r="D1242" t="str">
        <f>"4854630427769248"</f>
        <v>4854630427769248</v>
      </c>
      <c r="E1242" t="str">
        <f>"2021-04-30"</f>
        <v>2021-04-30</v>
      </c>
      <c r="F1242" t="str">
        <f t="shared" si="204"/>
        <v>+</v>
      </c>
      <c r="G1242" t="str">
        <f t="shared" si="204"/>
        <v>+</v>
      </c>
      <c r="H1242" t="str">
        <f>"40817810516992277796"</f>
        <v>40817810516992277796</v>
      </c>
      <c r="I1242" t="str">
        <f>"1791"</f>
        <v>1791</v>
      </c>
      <c r="J1242" t="str">
        <f>"0052"</f>
        <v>0052</v>
      </c>
      <c r="K1242" t="str">
        <f>"200000.00"</f>
        <v>200000.00</v>
      </c>
      <c r="L1242" t="str">
        <f>"628000 АО ХАНТЫ-МАНСИЙСКИЙ АВТОНОМНЫЙ ОКРУГ-ЮГРА   Г ХАНТЫ-МАНСИЙСК   УЛ КАЛИНИНА д. 40"</f>
        <v>628000 АО ХАНТЫ-МАНСИЙСКИЙ АВТОНОМНЫЙ ОКРУГ-ЮГРА   Г ХАНТЫ-МАНСИЙСК   УЛ КАЛИНИНА д. 40</v>
      </c>
      <c r="M1242" t="str">
        <f t="shared" si="203"/>
        <v>2019-08-24</v>
      </c>
      <c r="N1242" t="str">
        <f>"ОКБ"</f>
        <v>ОКБ</v>
      </c>
      <c r="O1242" t="str">
        <f>"628000"</f>
        <v>628000</v>
      </c>
      <c r="P1242" t="str">
        <f>"АО ХАНТЫ-МАНСИЙСКИЙ АВТОНОМНЫЙ ОКРУГ-ЮГРА"</f>
        <v>АО ХАНТЫ-МАНСИЙСКИЙ АВТОНОМНЫЙ ОКРУГ-ЮГРА</v>
      </c>
      <c r="Q1242" t="str">
        <f>""</f>
        <v/>
      </c>
      <c r="R1242" t="str">
        <f>"Г ХАНТЫ-МАНСИЙСК"</f>
        <v>Г ХАНТЫ-МАНСИЙСК</v>
      </c>
      <c r="S1242" t="str">
        <f>""</f>
        <v/>
      </c>
      <c r="T1242" t="str">
        <f>"УЛ КАЛИНИНА"</f>
        <v>УЛ КАЛИНИНА</v>
      </c>
      <c r="U1242" s="1" t="str">
        <f>"25"</f>
        <v>25</v>
      </c>
      <c r="V1242" s="1" t="str">
        <f>""</f>
        <v/>
      </c>
      <c r="W1242" s="1" t="str">
        <f>""</f>
        <v/>
      </c>
      <c r="X1242" s="1" t="str">
        <f>""</f>
        <v/>
      </c>
      <c r="Y1242" s="1" t="str">
        <f>"95"</f>
        <v>95</v>
      </c>
      <c r="Z1242" t="str">
        <f>"9136027159"</f>
        <v>9136027159</v>
      </c>
      <c r="AA1242" t="str">
        <f>"3467390081"</f>
        <v>3467390081</v>
      </c>
      <c r="AB1242" t="str">
        <f>"9825655998"</f>
        <v>9825655998</v>
      </c>
      <c r="AC1242" t="str">
        <f>"3467390081"</f>
        <v>3467390081</v>
      </c>
      <c r="AD1242" t="str">
        <f>"9825655998"</f>
        <v>9825655998</v>
      </c>
      <c r="AE1242" t="str">
        <f>""</f>
        <v/>
      </c>
    </row>
    <row r="1243" spans="1:31" x14ac:dyDescent="0.45">
      <c r="A1243" t="str">
        <f>"ТОРОПЫГИНА НАДЕЖДА АНАТОЛЬЕВНА"</f>
        <v>ТОРОПЫГИНА НАДЕЖДА АНАТОЛЬЕВНА</v>
      </c>
      <c r="B1243" t="str">
        <f>"1958-10-07"</f>
        <v>1958-10-07</v>
      </c>
      <c r="C1243" t="str">
        <f>"71 04 226750"</f>
        <v>71 04 226750</v>
      </c>
      <c r="D1243" t="str">
        <f>"5484016706022910"</f>
        <v>5484016706022910</v>
      </c>
      <c r="E1243" t="str">
        <f t="shared" ref="E1243:E1248" si="205">"2021-05-31"</f>
        <v>2021-05-31</v>
      </c>
      <c r="F1243" t="str">
        <f t="shared" si="204"/>
        <v>+</v>
      </c>
      <c r="G1243" t="str">
        <f t="shared" si="204"/>
        <v>+</v>
      </c>
      <c r="H1243" t="str">
        <f>"40817810216992098194"</f>
        <v>40817810216992098194</v>
      </c>
      <c r="I1243" t="str">
        <f>"8647"</f>
        <v>8647</v>
      </c>
      <c r="J1243" t="str">
        <f>"7770"</f>
        <v>7770</v>
      </c>
      <c r="K1243" t="str">
        <f>"295000.00"</f>
        <v>295000.00</v>
      </c>
      <c r="L1243" t="str">
        <f>"625000 ОБЛ ТЮМЕНСКАЯ     Г ТЮМЕНЬ УЛ Ю СЕМОВСКИХ д. 10"</f>
        <v>625000 ОБЛ ТЮМЕНСКАЯ     Г ТЮМЕНЬ УЛ Ю СЕМОВСКИХ д. 10</v>
      </c>
      <c r="M1243" t="str">
        <f t="shared" si="203"/>
        <v>2019-08-24</v>
      </c>
      <c r="N1243" t="str">
        <f>"ОКБ 1"</f>
        <v>ОКБ 1</v>
      </c>
      <c r="O1243" t="str">
        <f>"625000"</f>
        <v>625000</v>
      </c>
      <c r="P1243" t="str">
        <f t="shared" ref="P1243:P1249" si="206">"ОБЛ ТЮМЕНСКАЯ"</f>
        <v>ОБЛ ТЮМЕНСКАЯ</v>
      </c>
      <c r="Q1243" t="str">
        <f>""</f>
        <v/>
      </c>
      <c r="R1243" t="str">
        <f>"Г ТЮМЕНЬ"</f>
        <v>Г ТЮМЕНЬ</v>
      </c>
      <c r="S1243" t="str">
        <f>""</f>
        <v/>
      </c>
      <c r="T1243" t="str">
        <f>"УЛ МЕЛЬНИКАЙТЕ"</f>
        <v>УЛ МЕЛЬНИКАЙТЕ</v>
      </c>
      <c r="U1243" s="1" t="str">
        <f>"120"</f>
        <v>120</v>
      </c>
      <c r="V1243" s="1" t="str">
        <f>""</f>
        <v/>
      </c>
      <c r="W1243" s="1" t="str">
        <f>""</f>
        <v/>
      </c>
      <c r="X1243" s="1" t="str">
        <f>""</f>
        <v/>
      </c>
      <c r="Y1243" s="1" t="str">
        <f>"46"</f>
        <v>46</v>
      </c>
      <c r="Z1243" t="str">
        <f>"3452294018"</f>
        <v>3452294018</v>
      </c>
      <c r="AA1243" t="str">
        <f>"3452252567"</f>
        <v>3452252567</v>
      </c>
      <c r="AB1243" t="str">
        <f>"9891282494"</f>
        <v>9891282494</v>
      </c>
      <c r="AC1243" t="str">
        <f>"9523428598"</f>
        <v>9523428598</v>
      </c>
      <c r="AD1243" t="str">
        <f>"9523428598"</f>
        <v>9523428598</v>
      </c>
      <c r="AE1243" t="str">
        <f>"3452287625"</f>
        <v>3452287625</v>
      </c>
    </row>
    <row r="1244" spans="1:31" x14ac:dyDescent="0.45">
      <c r="A1244" t="str">
        <f>"ИСЛАМОВА ЭЛЬВИРА ТАГИРОВНА"</f>
        <v>ИСЛАМОВА ЭЛЬВИРА ТАГИРОВНА</v>
      </c>
      <c r="B1244" t="str">
        <f>"1982-12-11"</f>
        <v>1982-12-11</v>
      </c>
      <c r="C1244" t="str">
        <f>"80 02 153499"</f>
        <v>80 02 153499</v>
      </c>
      <c r="D1244" t="str">
        <f>"5484016705171403"</f>
        <v>5484016705171403</v>
      </c>
      <c r="E1244" t="str">
        <f t="shared" si="205"/>
        <v>2021-05-31</v>
      </c>
      <c r="F1244" t="str">
        <f t="shared" si="204"/>
        <v>+</v>
      </c>
      <c r="G1244" t="str">
        <f t="shared" si="204"/>
        <v>+</v>
      </c>
      <c r="H1244" t="str">
        <f>"40817810816992350766"</f>
        <v>40817810816992350766</v>
      </c>
      <c r="I1244" t="str">
        <f>"8369"</f>
        <v>8369</v>
      </c>
      <c r="J1244" t="str">
        <f>"7770"</f>
        <v>7770</v>
      </c>
      <c r="K1244" t="str">
        <f>"200000.00"</f>
        <v>200000.00</v>
      </c>
      <c r="L1244" t="str">
        <f>"629300 ОБЛ ТЮМЕНСКАЯ АО ЯМАЛО НЕНЕЦКИЙ Г НОВЫЙ УРЕНГОЙ   МКР ВОСТОЧНЫЙ д. 2 корп. 7"</f>
        <v>629300 ОБЛ ТЮМЕНСКАЯ АО ЯМАЛО НЕНЕЦКИЙ Г НОВЫЙ УРЕНГОЙ   МКР ВОСТОЧНЫЙ д. 2 корп. 7</v>
      </c>
      <c r="M1244" t="str">
        <f t="shared" si="203"/>
        <v>2019-08-24</v>
      </c>
      <c r="N1244" t="str">
        <f>"67051462"</f>
        <v>67051462</v>
      </c>
      <c r="O1244" t="str">
        <f>"629300"</f>
        <v>629300</v>
      </c>
      <c r="P1244" t="str">
        <f t="shared" si="206"/>
        <v>ОБЛ ТЮМЕНСКАЯ</v>
      </c>
      <c r="Q1244" t="str">
        <f>"АО ЯМАЛО НЕНЕЦКИЙ"</f>
        <v>АО ЯМАЛО НЕНЕЦКИЙ</v>
      </c>
      <c r="R1244" t="str">
        <f>"Г НОВЫЙ УРЕНГОЙ"</f>
        <v>Г НОВЫЙ УРЕНГОЙ</v>
      </c>
      <c r="S1244" t="str">
        <f>""</f>
        <v/>
      </c>
      <c r="T1244" t="str">
        <f>"МКР СТУДЕНЧЕСКИЙ"</f>
        <v>МКР СТУДЕНЧЕСКИЙ</v>
      </c>
      <c r="U1244" s="1" t="str">
        <f>"6"</f>
        <v>6</v>
      </c>
      <c r="V1244" s="1" t="str">
        <f>""</f>
        <v/>
      </c>
      <c r="W1244" s="1" t="str">
        <f>""</f>
        <v/>
      </c>
      <c r="X1244" s="1" t="str">
        <f>""</f>
        <v/>
      </c>
      <c r="Y1244" s="1" t="str">
        <f>"203"</f>
        <v>203</v>
      </c>
      <c r="Z1244" t="str">
        <f>""</f>
        <v/>
      </c>
      <c r="AA1244" t="str">
        <f>"3494223503"</f>
        <v>3494223503</v>
      </c>
      <c r="AB1244" t="str">
        <f>"9124282461"</f>
        <v>9124282461</v>
      </c>
      <c r="AC1244" t="str">
        <f>"3494223503"</f>
        <v>3494223503</v>
      </c>
      <c r="AD1244" t="str">
        <f>"9124282461"</f>
        <v>9124282461</v>
      </c>
      <c r="AE1244" t="str">
        <f>""</f>
        <v/>
      </c>
    </row>
    <row r="1245" spans="1:31" x14ac:dyDescent="0.45">
      <c r="A1245" t="str">
        <f>"САЛИХОВА ГУЛЬСИМА ФАНАВИЕВНА"</f>
        <v>САЛИХОВА ГУЛЬСИМА ФАНАВИЕВНА</v>
      </c>
      <c r="B1245" t="str">
        <f>"1963-05-05"</f>
        <v>1963-05-05</v>
      </c>
      <c r="C1245" t="str">
        <f>"67 07 780172"</f>
        <v>67 07 780172</v>
      </c>
      <c r="D1245" t="str">
        <f>"5484016706616703"</f>
        <v>5484016706616703</v>
      </c>
      <c r="E1245" t="str">
        <f t="shared" si="205"/>
        <v>2021-05-31</v>
      </c>
      <c r="F1245" t="str">
        <f>"Q"</f>
        <v>Q</v>
      </c>
      <c r="G1245" t="str">
        <f>"Q"</f>
        <v>Q</v>
      </c>
      <c r="H1245" t="str">
        <f>"40817810816992402478"</f>
        <v>40817810816992402478</v>
      </c>
      <c r="I1245" t="str">
        <f>"5940"</f>
        <v>5940</v>
      </c>
      <c r="J1245" t="str">
        <f>"7770"</f>
        <v>7770</v>
      </c>
      <c r="K1245" t="str">
        <f>"0.00"</f>
        <v>0.00</v>
      </c>
      <c r="L1245" t="str">
        <f>"628400 ОБЛ ТЮМЕНСКАЯ   Г ЛЯНТОР   МКР 7 д. 68"</f>
        <v>628400 ОБЛ ТЮМЕНСКАЯ   Г ЛЯНТОР   МКР 7 д. 68</v>
      </c>
      <c r="M1245" t="str">
        <f t="shared" si="203"/>
        <v>2019-08-24</v>
      </c>
      <c r="N1245" t="str">
        <f>"МБДОУ РОДНИЧОК"</f>
        <v>МБДОУ РОДНИЧОК</v>
      </c>
      <c r="O1245" t="str">
        <f>"628400"</f>
        <v>628400</v>
      </c>
      <c r="P1245" t="str">
        <f t="shared" si="206"/>
        <v>ОБЛ ТЮМЕНСКАЯ</v>
      </c>
      <c r="Q1245" t="str">
        <f>"Р-Н СУРГУТСКИЙ"</f>
        <v>Р-Н СУРГУТСКИЙ</v>
      </c>
      <c r="R1245" t="str">
        <f>"Г ЛЯНТОР"</f>
        <v>Г ЛЯНТОР</v>
      </c>
      <c r="S1245" t="str">
        <f>""</f>
        <v/>
      </c>
      <c r="T1245" t="str">
        <f>"МКР 6А"</f>
        <v>МКР 6А</v>
      </c>
      <c r="U1245" s="1" t="str">
        <f>"96"</f>
        <v>96</v>
      </c>
      <c r="V1245" s="1" t="str">
        <f>""</f>
        <v/>
      </c>
      <c r="W1245" s="1" t="str">
        <f>""</f>
        <v/>
      </c>
      <c r="X1245" s="1" t="str">
        <f>""</f>
        <v/>
      </c>
      <c r="Y1245" s="1" t="str">
        <f>"20"</f>
        <v>20</v>
      </c>
      <c r="Z1245" t="str">
        <f>"3463824721"</f>
        <v>3463824721</v>
      </c>
      <c r="AA1245" t="str">
        <f>"9222525093"</f>
        <v>9222525093</v>
      </c>
      <c r="AB1245" t="str">
        <f>"9222525093"</f>
        <v>9222525093</v>
      </c>
      <c r="AC1245" t="str">
        <f>"9222525093"</f>
        <v>9222525093</v>
      </c>
      <c r="AD1245" t="str">
        <f>"9222525093"</f>
        <v>9222525093</v>
      </c>
      <c r="AE1245" t="str">
        <f>"3463824721"</f>
        <v>3463824721</v>
      </c>
    </row>
    <row r="1246" spans="1:31" x14ac:dyDescent="0.45">
      <c r="A1246" t="str">
        <f>"ШАТОВА ЕЛЕНА НИКОЛАЕВНА"</f>
        <v>ШАТОВА ЕЛЕНА НИКОЛАЕВНА</v>
      </c>
      <c r="B1246" t="str">
        <f>"1974-06-20"</f>
        <v>1974-06-20</v>
      </c>
      <c r="C1246" t="str">
        <f>"71 19 442527"</f>
        <v>71 19 442527</v>
      </c>
      <c r="D1246" t="str">
        <f>"5484016705459436"</f>
        <v>5484016705459436</v>
      </c>
      <c r="E1246" t="str">
        <f t="shared" si="205"/>
        <v>2021-05-31</v>
      </c>
      <c r="F1246" t="str">
        <f>"Q"</f>
        <v>Q</v>
      </c>
      <c r="G1246" t="str">
        <f>"Q"</f>
        <v>Q</v>
      </c>
      <c r="H1246" t="str">
        <f>"40817810667720693256"</f>
        <v>40817810667720693256</v>
      </c>
      <c r="I1246" t="str">
        <f>"0029"</f>
        <v>0029</v>
      </c>
      <c r="J1246" t="str">
        <f>"7770"</f>
        <v>7770</v>
      </c>
      <c r="K1246" t="str">
        <f>"0.00"</f>
        <v>0.00</v>
      </c>
      <c r="L1246" t="str">
        <f>"625000 ОБЛ ТЮМЕНСКАЯ   Г ТЮМЕНЬ   УЛ ЮРИЯ СЕМОВСКИХ д. 10"</f>
        <v>625000 ОБЛ ТЮМЕНСКАЯ   Г ТЮМЕНЬ   УЛ ЮРИЯ СЕМОВСКИХ д. 10</v>
      </c>
      <c r="M1246" t="str">
        <f t="shared" si="203"/>
        <v>2019-08-24</v>
      </c>
      <c r="N1246" t="str">
        <f>"ОКБ № 1"</f>
        <v>ОКБ № 1</v>
      </c>
      <c r="O1246" t="str">
        <f>"625000"</f>
        <v>625000</v>
      </c>
      <c r="P1246" t="str">
        <f t="shared" si="206"/>
        <v>ОБЛ ТЮМЕНСКАЯ</v>
      </c>
      <c r="Q1246" t="str">
        <f>""</f>
        <v/>
      </c>
      <c r="R1246" t="str">
        <f>"Г ТЮМЕНЬ"</f>
        <v>Г ТЮМЕНЬ</v>
      </c>
      <c r="S1246" t="str">
        <f>""</f>
        <v/>
      </c>
      <c r="T1246" t="str">
        <f>"УЛ ШИРОТНАЯ"</f>
        <v>УЛ ШИРОТНАЯ</v>
      </c>
      <c r="U1246" s="1" t="str">
        <f>"104"</f>
        <v>104</v>
      </c>
      <c r="V1246" s="1" t="str">
        <f>""</f>
        <v/>
      </c>
      <c r="W1246" s="1" t="str">
        <f>"2"</f>
        <v>2</v>
      </c>
      <c r="X1246" s="1" t="str">
        <f>""</f>
        <v/>
      </c>
      <c r="Y1246" s="1" t="str">
        <f>"54"</f>
        <v>54</v>
      </c>
      <c r="Z1246" t="str">
        <f>"+7 (3452) 294455"</f>
        <v>+7 (3452) 294455</v>
      </c>
      <c r="AA1246" t="str">
        <f>"+7 (912) 9297848"</f>
        <v>+7 (912) 9297848</v>
      </c>
      <c r="AB1246" t="str">
        <f>"+7 (912) 9297848"</f>
        <v>+7 (912) 9297848</v>
      </c>
      <c r="AC1246" t="str">
        <f>"9129297848"</f>
        <v>9129297848</v>
      </c>
      <c r="AD1246" t="str">
        <f>"9129297848"</f>
        <v>9129297848</v>
      </c>
      <c r="AE1246" t="str">
        <f>"3452294455"</f>
        <v>3452294455</v>
      </c>
    </row>
    <row r="1247" spans="1:31" x14ac:dyDescent="0.45">
      <c r="A1247" t="str">
        <f>"ЧЕРНОВА ЕЛЕНА АЛЕКСЕЕВНА"</f>
        <v>ЧЕРНОВА ЕЛЕНА АЛЕКСЕЕВНА</v>
      </c>
      <c r="B1247" t="str">
        <f>"1973-04-12"</f>
        <v>1973-04-12</v>
      </c>
      <c r="C1247" t="str">
        <f>"71 18 358131"</f>
        <v>71 18 358131</v>
      </c>
      <c r="D1247" t="str">
        <f>"5484016708520812"</f>
        <v>5484016708520812</v>
      </c>
      <c r="E1247" t="str">
        <f t="shared" si="205"/>
        <v>2021-05-31</v>
      </c>
      <c r="F1247" t="str">
        <f>"+"</f>
        <v>+</v>
      </c>
      <c r="G1247" t="str">
        <f>"+"</f>
        <v>+</v>
      </c>
      <c r="H1247" t="str">
        <f>"40817810116992402602"</f>
        <v>40817810116992402602</v>
      </c>
      <c r="I1247" t="str">
        <f>"8647"</f>
        <v>8647</v>
      </c>
      <c r="J1247" t="str">
        <f>"7770"</f>
        <v>7770</v>
      </c>
      <c r="K1247" t="str">
        <f>"310000.00"</f>
        <v>310000.00</v>
      </c>
      <c r="L1247" t="str">
        <f>"625000 ОБЛ ТЮМЕНСКАЯ   Г ТЮМЕНЬ   УЛ 4 КМ ЧЕРВИШЕВСКОГО ТР-ТА д. 7"</f>
        <v>625000 ОБЛ ТЮМЕНСКАЯ   Г ТЮМЕНЬ   УЛ 4 КМ ЧЕРВИШЕВСКОГО ТР-ТА д. 7</v>
      </c>
      <c r="M1247" t="str">
        <f t="shared" si="203"/>
        <v>2019-08-24</v>
      </c>
      <c r="N1247" t="str">
        <f>"ОКБ 1"</f>
        <v>ОКБ 1</v>
      </c>
      <c r="O1247" t="str">
        <f>"625000"</f>
        <v>625000</v>
      </c>
      <c r="P1247" t="str">
        <f t="shared" si="206"/>
        <v>ОБЛ ТЮМЕНСКАЯ</v>
      </c>
      <c r="Q1247" t="str">
        <f>""</f>
        <v/>
      </c>
      <c r="R1247" t="str">
        <f>"Г ТЮМЕНЬ"</f>
        <v>Г ТЮМЕНЬ</v>
      </c>
      <c r="S1247" t="str">
        <f>""</f>
        <v/>
      </c>
      <c r="T1247" t="str">
        <f>"УЛ ШИРОТНАЯ"</f>
        <v>УЛ ШИРОТНАЯ</v>
      </c>
      <c r="U1247" s="1" t="str">
        <f>"192"</f>
        <v>192</v>
      </c>
      <c r="V1247" s="1" t="str">
        <f>""</f>
        <v/>
      </c>
      <c r="W1247" s="1" t="str">
        <f>""</f>
        <v/>
      </c>
      <c r="X1247" s="1" t="str">
        <f>""</f>
        <v/>
      </c>
      <c r="Y1247" s="1" t="str">
        <f>"99"</f>
        <v>99</v>
      </c>
      <c r="Z1247" t="str">
        <f>"3452287783"</f>
        <v>3452287783</v>
      </c>
      <c r="AA1247" t="str">
        <f>"3452330377"</f>
        <v>3452330377</v>
      </c>
      <c r="AB1247" t="str">
        <f>"9612097031"</f>
        <v>9612097031</v>
      </c>
      <c r="AC1247" t="str">
        <f>"9612097031"</f>
        <v>9612097031</v>
      </c>
      <c r="AD1247" t="str">
        <f>"9612097031"</f>
        <v>9612097031</v>
      </c>
      <c r="AE1247" t="str">
        <f>"3452287783"</f>
        <v>3452287783</v>
      </c>
    </row>
    <row r="1248" spans="1:31" x14ac:dyDescent="0.45">
      <c r="A1248" t="str">
        <f>"РОГАЧЁВ ДМИТРИЙ БОРИСОВИЧ"</f>
        <v>РОГАЧЁВ ДМИТРИЙ БОРИСОВИЧ</v>
      </c>
      <c r="B1248" t="str">
        <f>"1961-05-28"</f>
        <v>1961-05-28</v>
      </c>
      <c r="C1248" t="str">
        <f>"65 05 853429"</f>
        <v>65 05 853429</v>
      </c>
      <c r="D1248" t="str">
        <f>"4279016701297543"</f>
        <v>4279016701297543</v>
      </c>
      <c r="E1248" t="str">
        <f t="shared" si="205"/>
        <v>2021-05-31</v>
      </c>
      <c r="F1248" t="str">
        <f>"+"</f>
        <v>+</v>
      </c>
      <c r="G1248" t="str">
        <f>"+"</f>
        <v>+</v>
      </c>
      <c r="H1248" t="str">
        <f>"40817810216992402926"</f>
        <v>40817810216992402926</v>
      </c>
      <c r="I1248" t="str">
        <f>"5940"</f>
        <v>5940</v>
      </c>
      <c r="J1248" t="str">
        <f>"0099"</f>
        <v>0099</v>
      </c>
      <c r="K1248" t="str">
        <f>"600000.00"</f>
        <v>600000.00</v>
      </c>
      <c r="L1248" t="str">
        <f>"628386 ОБЛ ТЮМЕНСКАЯ АО ХМАО Г ПЫТЬ-ЯХ   ТРАКТ ТЕПЛОВСКИЙ д. 2"</f>
        <v>628386 ОБЛ ТЮМЕНСКАЯ АО ХМАО Г ПЫТЬ-ЯХ   ТРАКТ ТЕПЛОВСКИЙ д. 2</v>
      </c>
      <c r="M1248" t="str">
        <f t="shared" si="203"/>
        <v>2019-08-24</v>
      </c>
      <c r="N1248" t="str">
        <f>"ООО ЭКОТОН"</f>
        <v>ООО ЭКОТОН</v>
      </c>
      <c r="O1248" t="str">
        <f>"628383"</f>
        <v>628383</v>
      </c>
      <c r="P1248" t="str">
        <f t="shared" si="206"/>
        <v>ОБЛ ТЮМЕНСКАЯ</v>
      </c>
      <c r="Q1248" t="str">
        <f>"АО ХМАО"</f>
        <v>АО ХМАО</v>
      </c>
      <c r="R1248" t="str">
        <f>"Г ПЫТЬ-ЯХ"</f>
        <v>Г ПЫТЬ-ЯХ</v>
      </c>
      <c r="S1248" t="str">
        <f>"МКР 3-Й"</f>
        <v>МКР 3-Й</v>
      </c>
      <c r="T1248" t="str">
        <f>"УЛ СВ. ФЕДОРОВА"</f>
        <v>УЛ СВ. ФЕДОРОВА</v>
      </c>
      <c r="U1248" s="1" t="str">
        <f>"18"</f>
        <v>18</v>
      </c>
      <c r="V1248" s="1" t="str">
        <f>""</f>
        <v/>
      </c>
      <c r="W1248" s="1" t="str">
        <f>""</f>
        <v/>
      </c>
      <c r="X1248" s="1" t="str">
        <f>""</f>
        <v/>
      </c>
      <c r="Y1248" s="1" t="str">
        <f>"59"</f>
        <v>59</v>
      </c>
      <c r="Z1248" t="str">
        <f>""</f>
        <v/>
      </c>
      <c r="AA1248" t="str">
        <f>"3437335064"</f>
        <v>3437335064</v>
      </c>
      <c r="AB1248" t="str">
        <f>"9129094045"</f>
        <v>9129094045</v>
      </c>
      <c r="AC1248" t="str">
        <f>"9088833991"</f>
        <v>9088833991</v>
      </c>
      <c r="AD1248" t="str">
        <f>"9129094045"</f>
        <v>9129094045</v>
      </c>
      <c r="AE1248" t="str">
        <f>""</f>
        <v/>
      </c>
    </row>
    <row r="1249" spans="1:31" x14ac:dyDescent="0.45">
      <c r="A1249" t="str">
        <f>"ШМИДКЕ ЛИДИЯ ГЕНРИХОВНА"</f>
        <v>ШМИДКЕ ЛИДИЯ ГЕНРИХОВНА</v>
      </c>
      <c r="B1249" t="str">
        <f>"1957-06-19"</f>
        <v>1957-06-19</v>
      </c>
      <c r="C1249" t="str">
        <f>"71 04 078603"</f>
        <v>71 04 078603</v>
      </c>
      <c r="D1249" t="str">
        <f>"4854630275228149"</f>
        <v>4854630275228149</v>
      </c>
      <c r="E1249" t="str">
        <f>"2020-11-30"</f>
        <v>2020-11-30</v>
      </c>
      <c r="F1249" t="str">
        <f>"M"</f>
        <v>M</v>
      </c>
      <c r="G1249" t="str">
        <f>"+"</f>
        <v>+</v>
      </c>
      <c r="H1249" t="str">
        <f>"40817810016992450961"</f>
        <v>40817810016992450961</v>
      </c>
      <c r="I1249" t="str">
        <f>"8647"</f>
        <v>8647</v>
      </c>
      <c r="J1249" t="str">
        <f>"0286"</f>
        <v>0286</v>
      </c>
      <c r="K1249" t="str">
        <f>"15000.00"</f>
        <v>15000.00</v>
      </c>
      <c r="L1249" t="str">
        <f>"627450 ОБЛ ТЮМЕНСКАЯ Р-Н БЕРДЮЖСКИЙ   Д ОСТАНИНО УЛ МОЛОДЕЖНАЯ д. 2 корп. А"</f>
        <v>627450 ОБЛ ТЮМЕНСКАЯ Р-Н БЕРДЮЖСКИЙ   Д ОСТАНИНО УЛ МОЛОДЕЖНАЯ д. 2 корп. А</v>
      </c>
      <c r="M1249" t="str">
        <f t="shared" si="203"/>
        <v>2019-08-24</v>
      </c>
      <c r="N1249" t="str">
        <f>"ПЕНСИОНЕР"</f>
        <v>ПЕНСИОНЕР</v>
      </c>
      <c r="O1249" t="str">
        <f>"627450"</f>
        <v>627450</v>
      </c>
      <c r="P1249" t="str">
        <f t="shared" si="206"/>
        <v>ОБЛ ТЮМЕНСКАЯ</v>
      </c>
      <c r="Q1249" t="str">
        <f>"Р-Н БЕРДЮЖСКИЙ"</f>
        <v>Р-Н БЕРДЮЖСКИЙ</v>
      </c>
      <c r="R1249" t="str">
        <f>""</f>
        <v/>
      </c>
      <c r="S1249" t="str">
        <f>"Д ОСТАНИНО"</f>
        <v>Д ОСТАНИНО</v>
      </c>
      <c r="T1249" t="str">
        <f>"УЛ МОЛОДЕЖНАЯ"</f>
        <v>УЛ МОЛОДЕЖНАЯ</v>
      </c>
      <c r="U1249" s="1" t="str">
        <f>"2"</f>
        <v>2</v>
      </c>
      <c r="V1249" s="1" t="str">
        <f>""</f>
        <v/>
      </c>
      <c r="W1249" s="1" t="str">
        <f>""</f>
        <v/>
      </c>
      <c r="X1249" s="1" t="str">
        <f>""</f>
        <v/>
      </c>
      <c r="Y1249" s="1" t="str">
        <f>"А"</f>
        <v>А</v>
      </c>
      <c r="Z1249" t="str">
        <f>""</f>
        <v/>
      </c>
      <c r="AA1249" t="str">
        <f>"3455434303"</f>
        <v>3455434303</v>
      </c>
      <c r="AB1249" t="str">
        <f>"9199592118"</f>
        <v>9199592118</v>
      </c>
      <c r="AC1249" t="str">
        <f>"3455434303"</f>
        <v>3455434303</v>
      </c>
      <c r="AD1249" t="str">
        <f>"9199592118"</f>
        <v>9199592118</v>
      </c>
      <c r="AE1249" t="str">
        <f>""</f>
        <v/>
      </c>
    </row>
    <row r="1250" spans="1:31" x14ac:dyDescent="0.45">
      <c r="A1250" t="str">
        <f>"ШИРШОВА НАДЕЖДА ИВАНОВНА"</f>
        <v>ШИРШОВА НАДЕЖДА ИВАНОВНА</v>
      </c>
      <c r="B1250" t="str">
        <f>"1953-08-09"</f>
        <v>1953-08-09</v>
      </c>
      <c r="C1250" t="str">
        <f>"75 00 634295"</f>
        <v>75 00 634295</v>
      </c>
      <c r="D1250" t="str">
        <f>"4854630338215976"</f>
        <v>4854630338215976</v>
      </c>
      <c r="E1250" t="str">
        <f>"2019-05-31"</f>
        <v>2019-05-31</v>
      </c>
      <c r="F1250" t="str">
        <f>"Q"</f>
        <v>Q</v>
      </c>
      <c r="G1250" t="str">
        <f>"Q"</f>
        <v>Q</v>
      </c>
      <c r="H1250" t="str">
        <f>"40817810916991391325"</f>
        <v>40817810916991391325</v>
      </c>
      <c r="I1250" t="str">
        <f>"8597"</f>
        <v>8597</v>
      </c>
      <c r="J1250" t="str">
        <f>"0348"</f>
        <v>0348</v>
      </c>
      <c r="K1250" t="str">
        <f>"0.00"</f>
        <v>0.00</v>
      </c>
      <c r="L1250" t="str">
        <f>"454000 ОБЛ ЧЕЛЯБИНСКАЯ Р-Н КИЗИЛЬСКИЙ   С КИЗИЛЬСКОЕ УЛ КРАСНЛАРМЕЙСКАЯ д. 125 кв. 14"</f>
        <v>454000 ОБЛ ЧЕЛЯБИНСКАЯ Р-Н КИЗИЛЬСКИЙ   С КИЗИЛЬСКОЕ УЛ КРАСНЛАРМЕЙСКАЯ д. 125 кв. 14</v>
      </c>
      <c r="M1250" t="str">
        <f t="shared" si="203"/>
        <v>2019-08-24</v>
      </c>
      <c r="N1250" t="str">
        <f>"ПЕНСИОНЕР"</f>
        <v>ПЕНСИОНЕР</v>
      </c>
      <c r="O1250" t="str">
        <f>"454000"</f>
        <v>454000</v>
      </c>
      <c r="P1250" t="str">
        <f>"ОБЛ ЧЕЛЯБИНСКАЯ"</f>
        <v>ОБЛ ЧЕЛЯБИНСКАЯ</v>
      </c>
      <c r="Q1250" t="str">
        <f>"Р-Н КИЗИЛЬСКИЙ"</f>
        <v>Р-Н КИЗИЛЬСКИЙ</v>
      </c>
      <c r="R1250" t="str">
        <f>""</f>
        <v/>
      </c>
      <c r="S1250" t="str">
        <f>"С КИЗИЛЬСКОЕ"</f>
        <v>С КИЗИЛЬСКОЕ</v>
      </c>
      <c r="T1250" t="str">
        <f>"УЛ КРАСНОАРМЕЙСКАЯ"</f>
        <v>УЛ КРАСНОАРМЕЙСКАЯ</v>
      </c>
      <c r="U1250" s="1" t="str">
        <f>"125"</f>
        <v>125</v>
      </c>
      <c r="V1250" s="1" t="str">
        <f>""</f>
        <v/>
      </c>
      <c r="W1250" s="1" t="str">
        <f>""</f>
        <v/>
      </c>
      <c r="X1250" s="1" t="str">
        <f>""</f>
        <v/>
      </c>
      <c r="Y1250" s="1" t="str">
        <f>"14"</f>
        <v>14</v>
      </c>
      <c r="Z1250" t="str">
        <f>""</f>
        <v/>
      </c>
      <c r="AA1250" t="str">
        <f>"9514732957"</f>
        <v>9514732957</v>
      </c>
      <c r="AB1250" t="str">
        <f>"9514732957"</f>
        <v>9514732957</v>
      </c>
      <c r="AC1250" t="str">
        <f>"9514732957"</f>
        <v>9514732957</v>
      </c>
      <c r="AD1250" t="str">
        <f>"9514732957"</f>
        <v>9514732957</v>
      </c>
      <c r="AE1250" t="str">
        <f>""</f>
        <v/>
      </c>
    </row>
    <row r="1251" spans="1:31" x14ac:dyDescent="0.45">
      <c r="A1251" t="str">
        <f>"СНИЦКОЙ НИКОЛАЙ ВАСИЛЬЕВИЧ"</f>
        <v>СНИЦКОЙ НИКОЛАЙ ВАСИЛЬЕВИЧ</v>
      </c>
      <c r="B1251" t="str">
        <f>"1955-06-29"</f>
        <v>1955-06-29</v>
      </c>
      <c r="C1251" t="str">
        <f>"65 02 629637"</f>
        <v>65 02 629637</v>
      </c>
      <c r="D1251" t="str">
        <f>"5313100006248222"</f>
        <v>5313100006248222</v>
      </c>
      <c r="E1251" t="str">
        <f>"2021-03-31"</f>
        <v>2021-03-31</v>
      </c>
      <c r="F1251" t="str">
        <f t="shared" ref="F1251:G1254" si="207">"+"</f>
        <v>+</v>
      </c>
      <c r="G1251" t="str">
        <f t="shared" si="207"/>
        <v>+</v>
      </c>
      <c r="H1251" t="str">
        <f>"40817810216991391326"</f>
        <v>40817810216991391326</v>
      </c>
      <c r="I1251" t="str">
        <f>"7003"</f>
        <v>7003</v>
      </c>
      <c r="J1251" t="str">
        <f>"0732"</f>
        <v>0732</v>
      </c>
      <c r="K1251" t="str">
        <f>"45000.00"</f>
        <v>45000.00</v>
      </c>
      <c r="L1251" t="str">
        <f>"620000 ОБЛ СВЕРДЛОВСКАЯ   Г НИЖНИЙ ТАГИЛ   УЛ КОСМОНАВТОВ д. 28 кв. 6"</f>
        <v>620000 ОБЛ СВЕРДЛОВСКАЯ   Г НИЖНИЙ ТАГИЛ   УЛ КОСМОНАВТОВ д. 28 кв. 6</v>
      </c>
      <c r="M1251" t="str">
        <f t="shared" si="203"/>
        <v>2019-08-24</v>
      </c>
      <c r="N1251" t="str">
        <f>"ПЕНСИОНЕР"</f>
        <v>ПЕНСИОНЕР</v>
      </c>
      <c r="O1251" t="str">
        <f>"620000"</f>
        <v>620000</v>
      </c>
      <c r="P1251" t="str">
        <f>"ОБЛ СВЕРДЛОВСКАЯ"</f>
        <v>ОБЛ СВЕРДЛОВСКАЯ</v>
      </c>
      <c r="Q1251" t="str">
        <f>""</f>
        <v/>
      </c>
      <c r="R1251" t="str">
        <f>"Г НИЖНИЙ ТАГИЛ"</f>
        <v>Г НИЖНИЙ ТАГИЛ</v>
      </c>
      <c r="S1251" t="str">
        <f>""</f>
        <v/>
      </c>
      <c r="T1251" t="str">
        <f>"УЛ КОСМОНАВТОВ"</f>
        <v>УЛ КОСМОНАВТОВ</v>
      </c>
      <c r="U1251" s="1" t="str">
        <f>"28"</f>
        <v>28</v>
      </c>
      <c r="V1251" s="1" t="str">
        <f>""</f>
        <v/>
      </c>
      <c r="W1251" s="1" t="str">
        <f>""</f>
        <v/>
      </c>
      <c r="X1251" s="1" t="str">
        <f>""</f>
        <v/>
      </c>
      <c r="Y1251" s="1" t="str">
        <f>"6"</f>
        <v>6</v>
      </c>
      <c r="Z1251" t="str">
        <f>""</f>
        <v/>
      </c>
      <c r="AA1251" t="str">
        <f>"9089104733"</f>
        <v>9089104733</v>
      </c>
      <c r="AB1251" t="str">
        <f>"9089104733"</f>
        <v>9089104733</v>
      </c>
      <c r="AC1251" t="str">
        <f>"9089104733"</f>
        <v>9089104733</v>
      </c>
      <c r="AD1251" t="str">
        <f>"9089104733"</f>
        <v>9089104733</v>
      </c>
      <c r="AE1251" t="str">
        <f>""</f>
        <v/>
      </c>
    </row>
    <row r="1252" spans="1:31" x14ac:dyDescent="0.45">
      <c r="A1252" t="str">
        <f>"СЛУГИНА МАРИЯ ГЕННАДЬЕВНА"</f>
        <v>СЛУГИНА МАРИЯ ГЕННАДЬЕВНА</v>
      </c>
      <c r="B1252" t="str">
        <f>"1985-05-06"</f>
        <v>1985-05-06</v>
      </c>
      <c r="C1252" t="str">
        <f>"75 12 120111"</f>
        <v>75 12 120111</v>
      </c>
      <c r="D1252" t="str">
        <f>"5313100665905658"</f>
        <v>5313100665905658</v>
      </c>
      <c r="E1252" t="str">
        <f>"2020-10-31"</f>
        <v>2020-10-31</v>
      </c>
      <c r="F1252" t="str">
        <f t="shared" si="207"/>
        <v>+</v>
      </c>
      <c r="G1252" t="str">
        <f t="shared" si="207"/>
        <v>+</v>
      </c>
      <c r="H1252" t="str">
        <f>"40817810516991391327"</f>
        <v>40817810516991391327</v>
      </c>
      <c r="I1252" t="str">
        <f>"8597"</f>
        <v>8597</v>
      </c>
      <c r="J1252" t="str">
        <f>"0307"</f>
        <v>0307</v>
      </c>
      <c r="K1252" t="str">
        <f>"89000.00"</f>
        <v>89000.00</v>
      </c>
      <c r="L1252" t="str">
        <f>"454000 ОБЛ ЧЕЛЯБИНСКАЯ   Г ЧЕЛЯБИНСК   ПР-КТ КОМСОМОЛЬСКИЙ д. 78"</f>
        <v>454000 ОБЛ ЧЕЛЯБИНСКАЯ   Г ЧЕЛЯБИНСК   ПР-КТ КОМСОМОЛЬСКИЙ д. 78</v>
      </c>
      <c r="M1252" t="str">
        <f t="shared" si="203"/>
        <v>2019-08-24</v>
      </c>
      <c r="N1252" t="str">
        <f>"ООО ЦЕМ-БАРСЕЛОНА"</f>
        <v>ООО ЦЕМ-БАРСЕЛОНА</v>
      </c>
      <c r="O1252" t="str">
        <f>"454000"</f>
        <v>454000</v>
      </c>
      <c r="P1252" t="str">
        <f>"ОБЛ ЧЕЛЯБИНСКАЯ"</f>
        <v>ОБЛ ЧЕЛЯБИНСКАЯ</v>
      </c>
      <c r="Q1252" t="str">
        <f>""</f>
        <v/>
      </c>
      <c r="R1252" t="str">
        <f>"Г КОПЕЙСК"</f>
        <v>Г КОПЕЙСК</v>
      </c>
      <c r="S1252" t="str">
        <f>""</f>
        <v/>
      </c>
      <c r="T1252" t="str">
        <f>"ПР-КТ СЛАВЫ"</f>
        <v>ПР-КТ СЛАВЫ</v>
      </c>
      <c r="U1252" s="1" t="str">
        <f>"23"</f>
        <v>23</v>
      </c>
      <c r="V1252" s="1" t="str">
        <f>""</f>
        <v/>
      </c>
      <c r="W1252" s="1" t="str">
        <f>""</f>
        <v/>
      </c>
      <c r="X1252" s="1" t="str">
        <f>""</f>
        <v/>
      </c>
      <c r="Y1252" s="1" t="str">
        <f>"74"</f>
        <v>74</v>
      </c>
      <c r="Z1252" t="str">
        <f>""</f>
        <v/>
      </c>
      <c r="AA1252" t="str">
        <f>"9525103465"</f>
        <v>9525103465</v>
      </c>
      <c r="AB1252" t="str">
        <f>"9525059139"</f>
        <v>9525059139</v>
      </c>
      <c r="AC1252" t="str">
        <f>"9525103465"</f>
        <v>9525103465</v>
      </c>
      <c r="AD1252" t="str">
        <f>"9525059139"</f>
        <v>9525059139</v>
      </c>
      <c r="AE1252" t="str">
        <f>""</f>
        <v/>
      </c>
    </row>
    <row r="1253" spans="1:31" x14ac:dyDescent="0.45">
      <c r="A1253" t="str">
        <f>"ВИНОГРАДОВА ЛЮБОВЬ БОРИСОВНА"</f>
        <v>ВИНОГРАДОВА ЛЮБОВЬ БОРИСОВНА</v>
      </c>
      <c r="B1253" t="str">
        <f>"1959-11-06"</f>
        <v>1959-11-06</v>
      </c>
      <c r="C1253" t="str">
        <f>"65 05 306566"</f>
        <v>65 05 306566</v>
      </c>
      <c r="D1253" t="str">
        <f>"4854630382682808"</f>
        <v>4854630382682808</v>
      </c>
      <c r="E1253" t="str">
        <f>"2020-09-30"</f>
        <v>2020-09-30</v>
      </c>
      <c r="F1253" t="str">
        <f t="shared" si="207"/>
        <v>+</v>
      </c>
      <c r="G1253" t="str">
        <f t="shared" si="207"/>
        <v>+</v>
      </c>
      <c r="H1253" t="str">
        <f>"40817810116991391345"</f>
        <v>40817810116991391345</v>
      </c>
      <c r="I1253" t="str">
        <f>"7003"</f>
        <v>7003</v>
      </c>
      <c r="J1253" t="str">
        <f>"0691"</f>
        <v>0691</v>
      </c>
      <c r="K1253" t="str">
        <f>"25000.00"</f>
        <v>25000.00</v>
      </c>
      <c r="L1253" t="str">
        <f>"620000 ОБЛ СВЕРДЛОВСКАЯ   Г ПЕРВОУРАЛЬСК   УЛ СТРОИТЕЛЕЙ д. 16А"</f>
        <v>620000 ОБЛ СВЕРДЛОВСКАЯ   Г ПЕРВОУРАЛЬСК   УЛ СТРОИТЕЛЕЙ д. 16А</v>
      </c>
      <c r="M1253" t="str">
        <f t="shared" si="203"/>
        <v>2019-08-24</v>
      </c>
      <c r="N1253" t="str">
        <f>"ПФР ПЕРВОУРАЛЬСКА"</f>
        <v>ПФР ПЕРВОУРАЛЬСКА</v>
      </c>
      <c r="O1253" t="str">
        <f>"620000"</f>
        <v>620000</v>
      </c>
      <c r="P1253" t="str">
        <f>"ОБЛ СВЕРДЛОВСКАЯ"</f>
        <v>ОБЛ СВЕРДЛОВСКАЯ</v>
      </c>
      <c r="Q1253" t="str">
        <f>""</f>
        <v/>
      </c>
      <c r="R1253" t="str">
        <f>"Г ПЕРВОУРАЛЬСК"</f>
        <v>Г ПЕРВОУРАЛЬСК</v>
      </c>
      <c r="S1253" t="str">
        <f>""</f>
        <v/>
      </c>
      <c r="T1253" t="str">
        <f>"УЛ БЕРЕГОВАЯ"</f>
        <v>УЛ БЕРЕГОВАЯ</v>
      </c>
      <c r="U1253" s="1" t="str">
        <f>"76"</f>
        <v>76</v>
      </c>
      <c r="V1253" s="1" t="str">
        <f>""</f>
        <v/>
      </c>
      <c r="W1253" s="1" t="str">
        <f>""</f>
        <v/>
      </c>
      <c r="X1253" s="1" t="str">
        <f>""</f>
        <v/>
      </c>
      <c r="Y1253" s="1" t="str">
        <f>"26"</f>
        <v>26</v>
      </c>
      <c r="Z1253" t="str">
        <f>"9122320877"</f>
        <v>9122320877</v>
      </c>
      <c r="AA1253" t="str">
        <f>"9122320877"</f>
        <v>9122320877</v>
      </c>
      <c r="AB1253" t="str">
        <f>"9122320877"</f>
        <v>9122320877</v>
      </c>
      <c r="AC1253" t="str">
        <f>"9122320877"</f>
        <v>9122320877</v>
      </c>
      <c r="AD1253" t="str">
        <f>"9122320877"</f>
        <v>9122320877</v>
      </c>
      <c r="AE1253" t="str">
        <f>"9122320877"</f>
        <v>9122320877</v>
      </c>
    </row>
    <row r="1254" spans="1:31" x14ac:dyDescent="0.45">
      <c r="A1254" t="str">
        <f>"ЭСАУЛЕНКО АЛЕКСАНДР НИКОЛАЕВИЧ"</f>
        <v>ЭСАУЛЕНКО АЛЕКСАНДР НИКОЛАЕВИЧ</v>
      </c>
      <c r="B1254" t="str">
        <f>"1975-03-13"</f>
        <v>1975-03-13</v>
      </c>
      <c r="C1254" t="str">
        <f>"67 98 089331"</f>
        <v>67 98 089331</v>
      </c>
      <c r="D1254" t="str">
        <f>"4854630398092703"</f>
        <v>4854630398092703</v>
      </c>
      <c r="E1254" t="str">
        <f>"2020-11-30"</f>
        <v>2020-11-30</v>
      </c>
      <c r="F1254" t="str">
        <f t="shared" si="207"/>
        <v>+</v>
      </c>
      <c r="G1254" t="str">
        <f t="shared" si="207"/>
        <v>+</v>
      </c>
      <c r="H1254" t="str">
        <f>"40817810316992113872"</f>
        <v>40817810316992113872</v>
      </c>
      <c r="I1254" t="str">
        <f>"5940"</f>
        <v>5940</v>
      </c>
      <c r="J1254" t="str">
        <f>"0123"</f>
        <v>0123</v>
      </c>
      <c r="K1254" t="str">
        <f>"74000.00"</f>
        <v>74000.00</v>
      </c>
      <c r="L1254" t="str">
        <f>"628464 ОБЛ ТЮМЕНСКАЯ АО ХМАО   ПГТ НОВОАГАНСК УЛ НОВАЯ д. 15 кв. 9"</f>
        <v>628464 ОБЛ ТЮМЕНСКАЯ АО ХМАО   ПГТ НОВОАГАНСК УЛ НОВАЯ д. 15 кв. 9</v>
      </c>
      <c r="M1254" t="str">
        <f t="shared" si="203"/>
        <v>2019-08-24</v>
      </c>
      <c r="N1254" t="str">
        <f>"ИП ЭСАУЛЕНКО"</f>
        <v>ИП ЭСАУЛЕНКО</v>
      </c>
      <c r="O1254" t="str">
        <f>"628464"</f>
        <v>628464</v>
      </c>
      <c r="P1254" t="str">
        <f>"ОБЛ ТЮМЕНСКАЯ"</f>
        <v>ОБЛ ТЮМЕНСКАЯ</v>
      </c>
      <c r="Q1254" t="str">
        <f>"АО ХМАО"</f>
        <v>АО ХМАО</v>
      </c>
      <c r="R1254" t="str">
        <f>""</f>
        <v/>
      </c>
      <c r="S1254" t="str">
        <f>"ПГТ НОВОАГАНСК"</f>
        <v>ПГТ НОВОАГАНСК</v>
      </c>
      <c r="T1254" t="str">
        <f>"УЛ НОВАЯ"</f>
        <v>УЛ НОВАЯ</v>
      </c>
      <c r="U1254" s="1" t="str">
        <f>"15"</f>
        <v>15</v>
      </c>
      <c r="V1254" s="1" t="str">
        <f>""</f>
        <v/>
      </c>
      <c r="W1254" s="1" t="str">
        <f>""</f>
        <v/>
      </c>
      <c r="X1254" s="1" t="str">
        <f>""</f>
        <v/>
      </c>
      <c r="Y1254" s="1" t="str">
        <f>"9"</f>
        <v>9</v>
      </c>
      <c r="Z1254" t="str">
        <f>""</f>
        <v/>
      </c>
      <c r="AA1254" t="str">
        <f>"9519715070"</f>
        <v>9519715070</v>
      </c>
      <c r="AB1254" t="str">
        <f>"9191313262"</f>
        <v>9191313262</v>
      </c>
      <c r="AC1254" t="str">
        <f>"9519715070"</f>
        <v>9519715070</v>
      </c>
      <c r="AD1254" t="str">
        <f>"9191313262"</f>
        <v>9191313262</v>
      </c>
      <c r="AE1254" t="str">
        <f>""</f>
        <v/>
      </c>
    </row>
    <row r="1255" spans="1:31" x14ac:dyDescent="0.45">
      <c r="A1255" t="str">
        <f>"РАСХОДЧИКОВА ЭЛЬЗА АЛЬТАФОВНА"</f>
        <v>РАСХОДЧИКОВА ЭЛЬЗА АЛЬТАФОВНА</v>
      </c>
      <c r="B1255" t="str">
        <f>"1977-07-16"</f>
        <v>1977-07-16</v>
      </c>
      <c r="C1255" t="str">
        <f>"80 03 347304"</f>
        <v>80 03 347304</v>
      </c>
      <c r="D1255" t="str">
        <f>"4854630267907221"</f>
        <v>4854630267907221</v>
      </c>
      <c r="E1255" t="str">
        <f>"2019-06-30"</f>
        <v>2019-06-30</v>
      </c>
      <c r="F1255" t="str">
        <f>"Q"</f>
        <v>Q</v>
      </c>
      <c r="G1255" t="str">
        <f>"Q"</f>
        <v>Q</v>
      </c>
      <c r="H1255" t="str">
        <f>"40817810416991391346"</f>
        <v>40817810416991391346</v>
      </c>
      <c r="I1255" t="str">
        <f>"8598"</f>
        <v>8598</v>
      </c>
      <c r="J1255" t="str">
        <f>"0246"</f>
        <v>0246</v>
      </c>
      <c r="K1255" t="str">
        <f>"0.00"</f>
        <v>0.00</v>
      </c>
      <c r="L1255" t="str">
        <f>"450000 РЕСП БАШКОРТОСТАН     Г УФА УЛ ФЕРИНА д. 2"</f>
        <v>450000 РЕСП БАШКОРТОСТАН     Г УФА УЛ ФЕРИНА д. 2</v>
      </c>
      <c r="M1255" t="str">
        <f t="shared" si="203"/>
        <v>2019-08-24</v>
      </c>
      <c r="N1255" t="str">
        <f>"УМПО"</f>
        <v>УМПО</v>
      </c>
      <c r="O1255" t="str">
        <f>"450000"</f>
        <v>450000</v>
      </c>
      <c r="P1255" t="str">
        <f>"РЕСП БАШКОРТОСТАН"</f>
        <v>РЕСП БАШКОРТОСТАН</v>
      </c>
      <c r="Q1255" t="str">
        <f>""</f>
        <v/>
      </c>
      <c r="R1255" t="str">
        <f>""</f>
        <v/>
      </c>
      <c r="S1255" t="str">
        <f>"Г УФА"</f>
        <v>Г УФА</v>
      </c>
      <c r="T1255" t="str">
        <f>"УЛ КАЛИНИНА"</f>
        <v>УЛ КАЛИНИНА</v>
      </c>
      <c r="U1255" s="1" t="str">
        <f>"67"</f>
        <v>67</v>
      </c>
      <c r="V1255" s="1" t="str">
        <f>""</f>
        <v/>
      </c>
      <c r="W1255" s="1" t="str">
        <f>""</f>
        <v/>
      </c>
      <c r="X1255" s="1" t="str">
        <f>""</f>
        <v/>
      </c>
      <c r="Y1255" s="1" t="str">
        <f>"2"</f>
        <v>2</v>
      </c>
      <c r="Z1255" t="str">
        <f>"3472387555"</f>
        <v>3472387555</v>
      </c>
      <c r="AA1255" t="str">
        <f>"9871488584"</f>
        <v>9871488584</v>
      </c>
      <c r="AB1255" t="str">
        <f>"9899580015"</f>
        <v>9899580015</v>
      </c>
      <c r="AC1255" t="str">
        <f>"9871488584"</f>
        <v>9871488584</v>
      </c>
      <c r="AD1255" t="str">
        <f>"9899580015"</f>
        <v>9899580015</v>
      </c>
      <c r="AE1255" t="str">
        <f>"3472387555"</f>
        <v>3472387555</v>
      </c>
    </row>
    <row r="1256" spans="1:31" x14ac:dyDescent="0.45">
      <c r="A1256" t="str">
        <f>"КАМЫШЕВА НАДЕЖДА АЛЕКСАНДРОВНА"</f>
        <v>КАМЫШЕВА НАДЕЖДА АЛЕКСАНДРОВНА</v>
      </c>
      <c r="B1256" t="str">
        <f>"1961-07-21"</f>
        <v>1961-07-21</v>
      </c>
      <c r="C1256" t="str">
        <f>"75 05 829155"</f>
        <v>75 05 829155</v>
      </c>
      <c r="D1256" t="str">
        <f>"4279011680620641"</f>
        <v>4279011680620641</v>
      </c>
      <c r="E1256" t="str">
        <f t="shared" ref="E1256:E1274" si="208">"2021-05-31"</f>
        <v>2021-05-31</v>
      </c>
      <c r="F1256" t="str">
        <f t="shared" ref="F1256:G1278" si="209">"+"</f>
        <v>+</v>
      </c>
      <c r="G1256" t="str">
        <f t="shared" si="209"/>
        <v>+</v>
      </c>
      <c r="H1256" t="str">
        <f>"40817810016991391364"</f>
        <v>40817810016991391364</v>
      </c>
      <c r="I1256" t="str">
        <f>"8597"</f>
        <v>8597</v>
      </c>
      <c r="J1256" t="str">
        <f>"0304"</f>
        <v>0304</v>
      </c>
      <c r="K1256" t="str">
        <f>"50000.00"</f>
        <v>50000.00</v>
      </c>
      <c r="L1256" t="str">
        <f>"454000 ОБЛ ЧЕЛЯБИНСКАЯ   Г ЧЕЛЯБИНСК   УЛ АПТЕЧНАЯ д. 6А"</f>
        <v>454000 ОБЛ ЧЕЛЯБИНСКАЯ   Г ЧЕЛЯБИНСК   УЛ АПТЕЧНАЯ д. 6А</v>
      </c>
      <c r="M1256" t="str">
        <f t="shared" si="203"/>
        <v>2019-08-24</v>
      </c>
      <c r="N1256" t="str">
        <f>"ООО ОРТОМЕД"</f>
        <v>ООО ОРТОМЕД</v>
      </c>
      <c r="O1256" t="str">
        <f>"456600"</f>
        <v>456600</v>
      </c>
      <c r="P1256" t="str">
        <f>"ОБЛ ЧЕЛЯБИНСКАЯ"</f>
        <v>ОБЛ ЧЕЛЯБИНСКАЯ</v>
      </c>
      <c r="Q1256" t="str">
        <f>""</f>
        <v/>
      </c>
      <c r="R1256" t="str">
        <f>"Г КОПЕЙСК"</f>
        <v>Г КОПЕЙСК</v>
      </c>
      <c r="S1256" t="str">
        <f>""</f>
        <v/>
      </c>
      <c r="T1256" t="str">
        <f>"УЛ ГОЛЬЦА"</f>
        <v>УЛ ГОЛЬЦА</v>
      </c>
      <c r="U1256" s="1" t="str">
        <f>"7"</f>
        <v>7</v>
      </c>
      <c r="V1256" s="1" t="str">
        <f>""</f>
        <v/>
      </c>
      <c r="W1256" s="1" t="str">
        <f>""</f>
        <v/>
      </c>
      <c r="X1256" s="1" t="str">
        <f>""</f>
        <v/>
      </c>
      <c r="Y1256" s="1" t="str">
        <f>"1"</f>
        <v>1</v>
      </c>
      <c r="Z1256" t="str">
        <f>"+7 (963) 0860786"</f>
        <v>+7 (963) 0860786</v>
      </c>
      <c r="AA1256" t="str">
        <f>"+7 (351) 1253676"</f>
        <v>+7 (351) 1253676</v>
      </c>
      <c r="AB1256" t="str">
        <f>"+7 (900) 0968723"</f>
        <v>+7 (900) 0968723</v>
      </c>
      <c r="AC1256" t="str">
        <f>"3511253676"</f>
        <v>3511253676</v>
      </c>
      <c r="AD1256" t="str">
        <f>"9630860786"</f>
        <v>9630860786</v>
      </c>
      <c r="AE1256" t="str">
        <f>""</f>
        <v/>
      </c>
    </row>
    <row r="1257" spans="1:31" x14ac:dyDescent="0.45">
      <c r="A1257" t="str">
        <f>"ШЕПЕЛЕВА ТАТЬЯНА ЕВГЕНЬЕВНА"</f>
        <v>ШЕПЕЛЕВА ТАТЬЯНА ЕВГЕНЬЕВНА</v>
      </c>
      <c r="B1257" t="str">
        <f>"1977-06-18"</f>
        <v>1977-06-18</v>
      </c>
      <c r="C1257" t="str">
        <f>"75 00 448326"</f>
        <v>75 00 448326</v>
      </c>
      <c r="D1257" t="str">
        <f>"4279011694129142"</f>
        <v>4279011694129142</v>
      </c>
      <c r="E1257" t="str">
        <f t="shared" si="208"/>
        <v>2021-05-31</v>
      </c>
      <c r="F1257" t="str">
        <f t="shared" si="209"/>
        <v>+</v>
      </c>
      <c r="G1257" t="str">
        <f t="shared" si="209"/>
        <v>+</v>
      </c>
      <c r="H1257" t="str">
        <f>"40817810316991391365"</f>
        <v>40817810316991391365</v>
      </c>
      <c r="I1257" t="str">
        <f>"8597"</f>
        <v>8597</v>
      </c>
      <c r="J1257" t="str">
        <f>"0266"</f>
        <v>0266</v>
      </c>
      <c r="K1257" t="str">
        <f>"20000.00"</f>
        <v>20000.00</v>
      </c>
      <c r="L1257" t="str">
        <f>"454000 ОБЛ ЧЕЛЯБИНСКАЯ   Г ЧЕЛЯБИНСК   ПР-КТ ПОБЕДЫ д. 287"</f>
        <v>454000 ОБЛ ЧЕЛЯБИНСКАЯ   Г ЧЕЛЯБИНСК   ПР-КТ ПОБЕДЫ д. 287</v>
      </c>
      <c r="M1257" t="str">
        <f t="shared" si="203"/>
        <v>2019-08-24</v>
      </c>
      <c r="N1257" t="str">
        <f>"БОЛЬНИЦА СКОРОЙ ПОМОЩИ №3"</f>
        <v>БОЛЬНИЦА СКОРОЙ ПОМОЩИ №3</v>
      </c>
      <c r="O1257" t="str">
        <f>"454000"</f>
        <v>454000</v>
      </c>
      <c r="P1257" t="str">
        <f>"ОБЛ ЧЕЛЯБИНСКАЯ"</f>
        <v>ОБЛ ЧЕЛЯБИНСКАЯ</v>
      </c>
      <c r="Q1257" t="str">
        <f>""</f>
        <v/>
      </c>
      <c r="R1257" t="str">
        <f>"Г ЧЕЛЯБИНСК"</f>
        <v>Г ЧЕЛЯБИНСК</v>
      </c>
      <c r="S1257" t="str">
        <f>""</f>
        <v/>
      </c>
      <c r="T1257" t="str">
        <f>"УЛ КУДРЯВЦЕВА"</f>
        <v>УЛ КУДРЯВЦЕВА</v>
      </c>
      <c r="U1257" s="1" t="str">
        <f>"32"</f>
        <v>32</v>
      </c>
      <c r="V1257" s="1" t="str">
        <f>""</f>
        <v/>
      </c>
      <c r="W1257" s="1" t="str">
        <f>""</f>
        <v/>
      </c>
      <c r="X1257" s="1" t="str">
        <f>""</f>
        <v/>
      </c>
      <c r="Y1257" s="1" t="str">
        <f>"80"</f>
        <v>80</v>
      </c>
      <c r="Z1257" t="str">
        <f>""</f>
        <v/>
      </c>
      <c r="AA1257" t="str">
        <f>"9220164263"</f>
        <v>9220164263</v>
      </c>
      <c r="AB1257" t="str">
        <f>"9320132247"</f>
        <v>9320132247</v>
      </c>
      <c r="AC1257" t="str">
        <f>"9320132247"</f>
        <v>9320132247</v>
      </c>
      <c r="AD1257" t="str">
        <f>"9220164263"</f>
        <v>9220164263</v>
      </c>
      <c r="AE1257" t="str">
        <f>""</f>
        <v/>
      </c>
    </row>
    <row r="1258" spans="1:31" x14ac:dyDescent="0.45">
      <c r="A1258" t="str">
        <f>"РЕГИНЕВИЧ МАРИНА СЕРГЕЕВНА"</f>
        <v>РЕГИНЕВИЧ МАРИНА СЕРГЕЕВНА</v>
      </c>
      <c r="B1258" t="str">
        <f>"1988-09-24"</f>
        <v>1988-09-24</v>
      </c>
      <c r="C1258" t="str">
        <f>"75 18 051005"</f>
        <v>75 18 051005</v>
      </c>
      <c r="D1258" t="str">
        <f>"4279011626963733"</f>
        <v>4279011626963733</v>
      </c>
      <c r="E1258" t="str">
        <f t="shared" si="208"/>
        <v>2021-05-31</v>
      </c>
      <c r="F1258" t="str">
        <f t="shared" si="209"/>
        <v>+</v>
      </c>
      <c r="G1258" t="str">
        <f t="shared" si="209"/>
        <v>+</v>
      </c>
      <c r="H1258" t="str">
        <f>"40817810616991391366"</f>
        <v>40817810616991391366</v>
      </c>
      <c r="I1258" t="str">
        <f>"8597"</f>
        <v>8597</v>
      </c>
      <c r="J1258" t="str">
        <f>"0514"</f>
        <v>0514</v>
      </c>
      <c r="K1258" t="str">
        <f>"11000.00"</f>
        <v>11000.00</v>
      </c>
      <c r="L1258" t="str">
        <f>"454000 ОБЛ ЧЕЛЯБИНСКАЯ   Г САТКА   УЛ ПРОЛЕТАРСКАЯ д. 33"</f>
        <v>454000 ОБЛ ЧЕЛЯБИНСКАЯ   Г САТКА   УЛ ПРОЛЕТАРСКАЯ д. 33</v>
      </c>
      <c r="M1258" t="str">
        <f t="shared" si="203"/>
        <v>2019-08-24</v>
      </c>
      <c r="N1258" t="str">
        <f>"ИП ЧЕРЕШНЕВСКАЯ Ю.Р."</f>
        <v>ИП ЧЕРЕШНЕВСКАЯ Ю.Р.</v>
      </c>
      <c r="O1258" t="str">
        <f>"454000"</f>
        <v>454000</v>
      </c>
      <c r="P1258" t="str">
        <f>"ОБЛ ЧЕЛЯБИНСКАЯ"</f>
        <v>ОБЛ ЧЕЛЯБИНСКАЯ</v>
      </c>
      <c r="Q1258" t="str">
        <f>""</f>
        <v/>
      </c>
      <c r="R1258" t="str">
        <f>"Г САТКА"</f>
        <v>Г САТКА</v>
      </c>
      <c r="S1258" t="str">
        <f>""</f>
        <v/>
      </c>
      <c r="T1258" t="str">
        <f>"УЛ ИНДУСТРИАЛЬНАЯ"</f>
        <v>УЛ ИНДУСТРИАЛЬНАЯ</v>
      </c>
      <c r="U1258" s="1" t="str">
        <f>"18"</f>
        <v>18</v>
      </c>
      <c r="V1258" s="1" t="str">
        <f>""</f>
        <v/>
      </c>
      <c r="W1258" s="1" t="str">
        <f>""</f>
        <v/>
      </c>
      <c r="X1258" s="1" t="str">
        <f>""</f>
        <v/>
      </c>
      <c r="Y1258" s="1" t="str">
        <f>"71"</f>
        <v>71</v>
      </c>
      <c r="Z1258" t="str">
        <f>""</f>
        <v/>
      </c>
      <c r="AA1258" t="str">
        <f>"9028957622"</f>
        <v>9028957622</v>
      </c>
      <c r="AB1258" t="str">
        <f>"9028957622"</f>
        <v>9028957622</v>
      </c>
      <c r="AC1258" t="str">
        <f>"9028957622"</f>
        <v>9028957622</v>
      </c>
      <c r="AD1258" t="str">
        <f>"9028957622"</f>
        <v>9028957622</v>
      </c>
      <c r="AE1258" t="str">
        <f>""</f>
        <v/>
      </c>
    </row>
    <row r="1259" spans="1:31" x14ac:dyDescent="0.45">
      <c r="A1259" t="str">
        <f>"ЧИСКИС ЕВГЕНИЙ МИХАЙЛОВИЧ"</f>
        <v>ЧИСКИС ЕВГЕНИЙ МИХАЙЛОВИЧ</v>
      </c>
      <c r="B1259" t="str">
        <f>"1986-04-19"</f>
        <v>1986-04-19</v>
      </c>
      <c r="C1259" t="str">
        <f>"80 17 661362"</f>
        <v>80 17 661362</v>
      </c>
      <c r="D1259" t="str">
        <f>"4279011649771212"</f>
        <v>4279011649771212</v>
      </c>
      <c r="E1259" t="str">
        <f t="shared" si="208"/>
        <v>2021-05-31</v>
      </c>
      <c r="F1259" t="str">
        <f t="shared" si="209"/>
        <v>+</v>
      </c>
      <c r="G1259" t="str">
        <f t="shared" si="209"/>
        <v>+</v>
      </c>
      <c r="H1259" t="str">
        <f>"40817810616991391450"</f>
        <v>40817810616991391450</v>
      </c>
      <c r="I1259" t="str">
        <f>"8598"</f>
        <v>8598</v>
      </c>
      <c r="J1259" t="str">
        <f>"0193"</f>
        <v>0193</v>
      </c>
      <c r="K1259" t="str">
        <f>"24000.00"</f>
        <v>24000.00</v>
      </c>
      <c r="L1259" t="str">
        <f>"450000 РЕСП БАШКОРТОСТАН   Г УФА   УЛ МЕНДЕЛЕЕВА д. 170 офис 212"</f>
        <v>450000 РЕСП БАШКОРТОСТАН   Г УФА   УЛ МЕНДЕЛЕЕВА д. 170 офис 212</v>
      </c>
      <c r="M1259" t="str">
        <f t="shared" si="203"/>
        <v>2019-08-24</v>
      </c>
      <c r="N1259" t="str">
        <f>"ООО БАШЮРЗАЩИТА"</f>
        <v>ООО БАШЮРЗАЩИТА</v>
      </c>
      <c r="O1259" t="str">
        <f>"450000"</f>
        <v>450000</v>
      </c>
      <c r="P1259" t="str">
        <f>"РЕСП БАШКОРТОСТАН"</f>
        <v>РЕСП БАШКОРТОСТАН</v>
      </c>
      <c r="Q1259" t="str">
        <f>""</f>
        <v/>
      </c>
      <c r="R1259" t="str">
        <f>"Г УФА"</f>
        <v>Г УФА</v>
      </c>
      <c r="S1259" t="str">
        <f>""</f>
        <v/>
      </c>
      <c r="T1259" t="str">
        <f>"УЛ ЭПРОНОВСКАЯ"</f>
        <v>УЛ ЭПРОНОВСКАЯ</v>
      </c>
      <c r="U1259" s="1" t="str">
        <f>"52"</f>
        <v>52</v>
      </c>
      <c r="V1259" s="1" t="str">
        <f>""</f>
        <v/>
      </c>
      <c r="W1259" s="1" t="str">
        <f>""</f>
        <v/>
      </c>
      <c r="X1259" s="1" t="str">
        <f>""</f>
        <v/>
      </c>
      <c r="Y1259" s="1" t="str">
        <f>""</f>
        <v/>
      </c>
      <c r="Z1259" t="str">
        <f>""</f>
        <v/>
      </c>
      <c r="AA1259" t="str">
        <f>"9061051199"</f>
        <v>9061051199</v>
      </c>
      <c r="AB1259" t="str">
        <f>"9177477717"</f>
        <v>9177477717</v>
      </c>
      <c r="AC1259" t="str">
        <f>"9061051199"</f>
        <v>9061051199</v>
      </c>
      <c r="AD1259" t="str">
        <f>"9177477717"</f>
        <v>9177477717</v>
      </c>
      <c r="AE1259" t="str">
        <f>""</f>
        <v/>
      </c>
    </row>
    <row r="1260" spans="1:31" x14ac:dyDescent="0.45">
      <c r="A1260" t="str">
        <f>"ЗАВЬЯЛОВА АННА ЭДУАРДОВНА"</f>
        <v>ЗАВЬЯЛОВА АННА ЭДУАРДОВНА</v>
      </c>
      <c r="B1260" t="str">
        <f>"1976-10-21"</f>
        <v>1976-10-21</v>
      </c>
      <c r="C1260" t="str">
        <f>"65 11 107509"</f>
        <v>65 11 107509</v>
      </c>
      <c r="D1260" t="str">
        <f>"4279011674925709"</f>
        <v>4279011674925709</v>
      </c>
      <c r="E1260" t="str">
        <f t="shared" si="208"/>
        <v>2021-05-31</v>
      </c>
      <c r="F1260" t="str">
        <f t="shared" si="209"/>
        <v>+</v>
      </c>
      <c r="G1260" t="str">
        <f t="shared" si="209"/>
        <v>+</v>
      </c>
      <c r="H1260" t="str">
        <f>"40817810216991391449"</f>
        <v>40817810216991391449</v>
      </c>
      <c r="I1260" t="str">
        <f>"7003"</f>
        <v>7003</v>
      </c>
      <c r="J1260" t="str">
        <f>"0682"</f>
        <v>0682</v>
      </c>
      <c r="K1260" t="str">
        <f>"190000.00"</f>
        <v>190000.00</v>
      </c>
      <c r="L1260" t="str">
        <f>"620000 ОБЛ СВЕРДЛОВСКАЯ   Г ПЕРВОУРАЛЬСК   УЛ ТОКАРЕЙ д. 12"</f>
        <v>620000 ОБЛ СВЕРДЛОВСКАЯ   Г ПЕРВОУРАЛЬСК   УЛ ТОКАРЕЙ д. 12</v>
      </c>
      <c r="M1260" t="str">
        <f t="shared" si="203"/>
        <v>2019-08-24</v>
      </c>
      <c r="N1260" t="str">
        <f>"ИП ТРЮПИНА"</f>
        <v>ИП ТРЮПИНА</v>
      </c>
      <c r="O1260" t="str">
        <f>"620000"</f>
        <v>620000</v>
      </c>
      <c r="P1260" t="str">
        <f>"ОБЛ СВЕРДЛОВСКАЯ"</f>
        <v>ОБЛ СВЕРДЛОВСКАЯ</v>
      </c>
      <c r="Q1260" t="str">
        <f>""</f>
        <v/>
      </c>
      <c r="R1260" t="str">
        <f>"Г ПЕРВОУРАЛЬСК"</f>
        <v>Г ПЕРВОУРАЛЬСК</v>
      </c>
      <c r="S1260" t="str">
        <f>""</f>
        <v/>
      </c>
      <c r="T1260" t="str">
        <f>"УЛ ТОКАРЕЙ"</f>
        <v>УЛ ТОКАРЕЙ</v>
      </c>
      <c r="U1260" s="1" t="str">
        <f>"10"</f>
        <v>10</v>
      </c>
      <c r="V1260" s="1" t="str">
        <f>""</f>
        <v/>
      </c>
      <c r="W1260" s="1" t="str">
        <f>""</f>
        <v/>
      </c>
      <c r="X1260" s="1" t="str">
        <f>""</f>
        <v/>
      </c>
      <c r="Y1260" s="1" t="str">
        <f>""</f>
        <v/>
      </c>
      <c r="Z1260" t="str">
        <f>"9193689959"</f>
        <v>9193689959</v>
      </c>
      <c r="AA1260" t="str">
        <f>"9193689959"</f>
        <v>9193689959</v>
      </c>
      <c r="AB1260" t="str">
        <f>"9193689959"</f>
        <v>9193689959</v>
      </c>
      <c r="AC1260" t="str">
        <f>"9193689959"</f>
        <v>9193689959</v>
      </c>
      <c r="AD1260" t="str">
        <f>"9193689959"</f>
        <v>9193689959</v>
      </c>
      <c r="AE1260" t="str">
        <f>"9193689959"</f>
        <v>9193689959</v>
      </c>
    </row>
    <row r="1261" spans="1:31" x14ac:dyDescent="0.45">
      <c r="A1261" t="str">
        <f>"ШИЛИНА ЯНА СЕРГЕЕВНА"</f>
        <v>ШИЛИНА ЯНА СЕРГЕЕВНА</v>
      </c>
      <c r="B1261" t="str">
        <f>"1993-03-30"</f>
        <v>1993-03-30</v>
      </c>
      <c r="C1261" t="str">
        <f>"65 15 085809"</f>
        <v>65 15 085809</v>
      </c>
      <c r="D1261" t="str">
        <f>"4279011657688803"</f>
        <v>4279011657688803</v>
      </c>
      <c r="E1261" t="str">
        <f t="shared" si="208"/>
        <v>2021-05-31</v>
      </c>
      <c r="F1261" t="str">
        <f t="shared" si="209"/>
        <v>+</v>
      </c>
      <c r="G1261" t="str">
        <f t="shared" si="209"/>
        <v>+</v>
      </c>
      <c r="H1261" t="str">
        <f>"40817810216991391452"</f>
        <v>40817810216991391452</v>
      </c>
      <c r="I1261" t="str">
        <f>"7003"</f>
        <v>7003</v>
      </c>
      <c r="J1261" t="str">
        <f>"0522"</f>
        <v>0522</v>
      </c>
      <c r="K1261" t="str">
        <f>"45000.00"</f>
        <v>45000.00</v>
      </c>
      <c r="L1261" t="str">
        <f>"623750 ОБЛ СВЕРДЛОВСКАЯ Р-Н РЕЖЕВСКОЙ Г РЕЖ   УЛ ЛЕНИНА д. 19"</f>
        <v>623750 ОБЛ СВЕРДЛОВСКАЯ Р-Н РЕЖЕВСКОЙ Г РЕЖ   УЛ ЛЕНИНА д. 19</v>
      </c>
      <c r="M1261" t="str">
        <f t="shared" si="203"/>
        <v>2019-08-24</v>
      </c>
      <c r="N1261" t="str">
        <f>"ИП ИВАНОВ П. Б."</f>
        <v>ИП ИВАНОВ П. Б.</v>
      </c>
      <c r="O1261" t="str">
        <f>"623753"</f>
        <v>623753</v>
      </c>
      <c r="P1261" t="str">
        <f>"ОБЛ СВЕРДЛОВСКАЯ"</f>
        <v>ОБЛ СВЕРДЛОВСКАЯ</v>
      </c>
      <c r="Q1261" t="str">
        <f>"Р-Н РЕЖЕВСКОЙ"</f>
        <v>Р-Н РЕЖЕВСКОЙ</v>
      </c>
      <c r="R1261" t="str">
        <f>"Г РЕЖ"</f>
        <v>Г РЕЖ</v>
      </c>
      <c r="S1261" t="str">
        <f>""</f>
        <v/>
      </c>
      <c r="T1261" t="str">
        <f>"УЛ СОВЕТСКАЯ"</f>
        <v>УЛ СОВЕТСКАЯ</v>
      </c>
      <c r="U1261" s="1" t="str">
        <f>"129"</f>
        <v>129</v>
      </c>
      <c r="V1261" s="1" t="str">
        <f>""</f>
        <v/>
      </c>
      <c r="W1261" s="1" t="str">
        <f>"3"</f>
        <v>3</v>
      </c>
      <c r="X1261" s="1" t="str">
        <f>""</f>
        <v/>
      </c>
      <c r="Y1261" s="1" t="str">
        <f>"3"</f>
        <v>3</v>
      </c>
      <c r="Z1261" t="str">
        <f>"9920064443"</f>
        <v>9920064443</v>
      </c>
      <c r="AA1261" t="str">
        <f>"9920026095"</f>
        <v>9920026095</v>
      </c>
      <c r="AB1261" t="str">
        <f>"9920026095"</f>
        <v>9920026095</v>
      </c>
      <c r="AC1261" t="str">
        <f>"9920026095"</f>
        <v>9920026095</v>
      </c>
      <c r="AD1261" t="str">
        <f>"9920026095"</f>
        <v>9920026095</v>
      </c>
      <c r="AE1261" t="str">
        <f>"9920064443"</f>
        <v>9920064443</v>
      </c>
    </row>
    <row r="1262" spans="1:31" x14ac:dyDescent="0.45">
      <c r="A1262" t="str">
        <f>"НОГОВИЦЫНА ТАТЬЯНА НИКОЛАЕВНА"</f>
        <v>НОГОВИЦЫНА ТАТЬЯНА НИКОЛАЕВНА</v>
      </c>
      <c r="B1262" t="str">
        <f>"1996-05-05"</f>
        <v>1996-05-05</v>
      </c>
      <c r="C1262" t="str">
        <f>"65 19 892344"</f>
        <v>65 19 892344</v>
      </c>
      <c r="D1262" t="str">
        <f>"4279011670614711"</f>
        <v>4279011670614711</v>
      </c>
      <c r="E1262" t="str">
        <f t="shared" si="208"/>
        <v>2021-05-31</v>
      </c>
      <c r="F1262" t="str">
        <f t="shared" si="209"/>
        <v>+</v>
      </c>
      <c r="G1262" t="str">
        <f t="shared" si="209"/>
        <v>+</v>
      </c>
      <c r="H1262" t="str">
        <f>"40817810516991391453"</f>
        <v>40817810516991391453</v>
      </c>
      <c r="I1262" t="str">
        <f>"7003"</f>
        <v>7003</v>
      </c>
      <c r="J1262" t="str">
        <f>"0783"</f>
        <v>0783</v>
      </c>
      <c r="K1262" t="str">
        <f>"105000.00"</f>
        <v>105000.00</v>
      </c>
      <c r="L1262" t="str">
        <f>"620000 ОБЛ СВЕРДЛОВСКАЯ   Г ТАВДА   УЛ 9 МАЯ д. 6"</f>
        <v>620000 ОБЛ СВЕРДЛОВСКАЯ   Г ТАВДА   УЛ 9 МАЯ д. 6</v>
      </c>
      <c r="M1262" t="str">
        <f t="shared" si="203"/>
        <v>2019-08-24</v>
      </c>
      <c r="N1262" t="str">
        <f>"ПАО СБЕРБАНК"</f>
        <v>ПАО СБЕРБАНК</v>
      </c>
      <c r="O1262" t="str">
        <f>"623950"</f>
        <v>623950</v>
      </c>
      <c r="P1262" t="str">
        <f>"ОБЛ СВЕРДЛОВСКАЯ"</f>
        <v>ОБЛ СВЕРДЛОВСКАЯ</v>
      </c>
      <c r="Q1262" t="str">
        <f>""</f>
        <v/>
      </c>
      <c r="R1262" t="str">
        <f>"Г ТАВДА"</f>
        <v>Г ТАВДА</v>
      </c>
      <c r="S1262" t="str">
        <f>""</f>
        <v/>
      </c>
      <c r="T1262" t="str">
        <f>"УЛ ПУГАЧЕВА"</f>
        <v>УЛ ПУГАЧЕВА</v>
      </c>
      <c r="U1262" s="1" t="str">
        <f>"34"</f>
        <v>34</v>
      </c>
      <c r="V1262" s="1" t="str">
        <f>""</f>
        <v/>
      </c>
      <c r="W1262" s="1" t="str">
        <f>""</f>
        <v/>
      </c>
      <c r="X1262" s="1" t="str">
        <f>""</f>
        <v/>
      </c>
      <c r="Y1262" s="1" t="str">
        <f>""</f>
        <v/>
      </c>
      <c r="Z1262" t="str">
        <f>"+7 (34360) 52700"</f>
        <v>+7 (34360) 52700</v>
      </c>
      <c r="AA1262" t="str">
        <f>"+7 (909) 7382418"</f>
        <v>+7 (909) 7382418</v>
      </c>
      <c r="AB1262" t="str">
        <f>"+7 (908) 6344596"</f>
        <v>+7 (908) 6344596</v>
      </c>
      <c r="AC1262" t="str">
        <f>"9097382418"</f>
        <v>9097382418</v>
      </c>
      <c r="AD1262" t="str">
        <f>"9086344596"</f>
        <v>9086344596</v>
      </c>
      <c r="AE1262" t="str">
        <f>""</f>
        <v/>
      </c>
    </row>
    <row r="1263" spans="1:31" x14ac:dyDescent="0.45">
      <c r="A1263" t="str">
        <f>"БАННЫХ СЕРГЕЙ ВЛАДИМИРОВИЧ"</f>
        <v>БАННЫХ СЕРГЕЙ ВЛАДИМИРОВИЧ</v>
      </c>
      <c r="B1263" t="str">
        <f>"1987-01-23"</f>
        <v>1987-01-23</v>
      </c>
      <c r="C1263" t="str">
        <f>"65 07 021771"</f>
        <v>65 07 021771</v>
      </c>
      <c r="D1263" t="str">
        <f>"4279011657837111"</f>
        <v>4279011657837111</v>
      </c>
      <c r="E1263" t="str">
        <f t="shared" si="208"/>
        <v>2021-05-31</v>
      </c>
      <c r="F1263" t="str">
        <f t="shared" si="209"/>
        <v>+</v>
      </c>
      <c r="G1263" t="str">
        <f t="shared" si="209"/>
        <v>+</v>
      </c>
      <c r="H1263" t="str">
        <f>"40817810816991391454"</f>
        <v>40817810816991391454</v>
      </c>
      <c r="I1263" t="str">
        <f>"7003"</f>
        <v>7003</v>
      </c>
      <c r="J1263" t="str">
        <f>"0412"</f>
        <v>0412</v>
      </c>
      <c r="K1263" t="str">
        <f>"70000.00"</f>
        <v>70000.00</v>
      </c>
      <c r="L1263" t="str">
        <f>"620000 ОБЛ СВЕРДЛОВСКАЯ   Г ЕКАТЕРИНБУРГ   УЛ ЦВИЛЛИНГА д. 7 стр. 4"</f>
        <v>620000 ОБЛ СВЕРДЛОВСКАЯ   Г ЕКАТЕРИНБУРГ   УЛ ЦВИЛЛИНГА д. 7 стр. 4</v>
      </c>
      <c r="M1263" t="str">
        <f t="shared" si="203"/>
        <v>2019-08-24</v>
      </c>
      <c r="N1263" t="str">
        <f>"ООО АГЛОМЕРАТ"</f>
        <v>ООО АГЛОМЕРАТ</v>
      </c>
      <c r="O1263" t="str">
        <f>"620000"</f>
        <v>620000</v>
      </c>
      <c r="P1263" t="str">
        <f>"ОБЛ СВЕРДЛОВСКАЯ"</f>
        <v>ОБЛ СВЕРДЛОВСКАЯ</v>
      </c>
      <c r="Q1263" t="str">
        <f>""</f>
        <v/>
      </c>
      <c r="R1263" t="str">
        <f>"Г ЕКАТЕРИНБУРГ"</f>
        <v>Г ЕКАТЕРИНБУРГ</v>
      </c>
      <c r="S1263" t="str">
        <f>""</f>
        <v/>
      </c>
      <c r="T1263" t="str">
        <f>"УЛ СУЛИМОВА"</f>
        <v>УЛ СУЛИМОВА</v>
      </c>
      <c r="U1263" s="1" t="str">
        <f>"6"</f>
        <v>6</v>
      </c>
      <c r="V1263" s="1" t="str">
        <f>""</f>
        <v/>
      </c>
      <c r="W1263" s="1" t="str">
        <f>""</f>
        <v/>
      </c>
      <c r="X1263" s="1" t="str">
        <f>""</f>
        <v/>
      </c>
      <c r="Y1263" s="1" t="str">
        <f>"138"</f>
        <v>138</v>
      </c>
      <c r="Z1263" t="str">
        <f>""</f>
        <v/>
      </c>
      <c r="AA1263" t="str">
        <f>"0000000000"</f>
        <v>0000000000</v>
      </c>
      <c r="AB1263" t="str">
        <f>"9090189632"</f>
        <v>9090189632</v>
      </c>
      <c r="AC1263" t="str">
        <f>"0000000000"</f>
        <v>0000000000</v>
      </c>
      <c r="AD1263" t="str">
        <f>"9090189632"</f>
        <v>9090189632</v>
      </c>
      <c r="AE1263" t="str">
        <f>""</f>
        <v/>
      </c>
    </row>
    <row r="1264" spans="1:31" x14ac:dyDescent="0.45">
      <c r="A1264" t="str">
        <f>"МОРОЗОВА ЛИДИЯ АЛЕКСАНДРОВНА"</f>
        <v>МОРОЗОВА ЛИДИЯ АЛЕКСАНДРОВНА</v>
      </c>
      <c r="B1264" t="str">
        <f>"1988-11-01"</f>
        <v>1988-11-01</v>
      </c>
      <c r="C1264" t="str">
        <f>"65 09 843830"</f>
        <v>65 09 843830</v>
      </c>
      <c r="D1264" t="str">
        <f>"4279011673253913"</f>
        <v>4279011673253913</v>
      </c>
      <c r="E1264" t="str">
        <f t="shared" si="208"/>
        <v>2021-05-31</v>
      </c>
      <c r="F1264" t="str">
        <f t="shared" si="209"/>
        <v>+</v>
      </c>
      <c r="G1264" t="str">
        <f t="shared" si="209"/>
        <v>+</v>
      </c>
      <c r="H1264" t="str">
        <f>"40817810116991391455"</f>
        <v>40817810116991391455</v>
      </c>
      <c r="I1264" t="str">
        <f>"7003"</f>
        <v>7003</v>
      </c>
      <c r="J1264" t="str">
        <f>"0744"</f>
        <v>0744</v>
      </c>
      <c r="K1264" t="str">
        <f>"200000.00"</f>
        <v>200000.00</v>
      </c>
      <c r="L1264" t="str">
        <f>"620000 ОБЛ СВЕРДЛОВСКАЯ   Г НИЖНИЙ ТАГИЛ   УЛ М. ГОРЬКОГО д. 1 корп. 5"</f>
        <v>620000 ОБЛ СВЕРДЛОВСКАЯ   Г НИЖНИЙ ТАГИЛ   УЛ М. ГОРЬКОГО д. 1 корп. 5</v>
      </c>
      <c r="M1264" t="str">
        <f t="shared" si="203"/>
        <v>2019-08-24</v>
      </c>
      <c r="N1264" t="str">
        <f>"ООО СТАЛЬПРОМТЕХНИКА"</f>
        <v>ООО СТАЛЬПРОМТЕХНИКА</v>
      </c>
      <c r="O1264" t="str">
        <f>"620000"</f>
        <v>620000</v>
      </c>
      <c r="P1264" t="str">
        <f>"ОБЛ СВЕРДЛОВСКАЯ"</f>
        <v>ОБЛ СВЕРДЛОВСКАЯ</v>
      </c>
      <c r="Q1264" t="str">
        <f>""</f>
        <v/>
      </c>
      <c r="R1264" t="str">
        <f>"Г НИЖНИЙ ТАГИЛ"</f>
        <v>Г НИЖНИЙ ТАГИЛ</v>
      </c>
      <c r="S1264" t="str">
        <f>""</f>
        <v/>
      </c>
      <c r="T1264" t="str">
        <f>"УЛ ЗАХАРОВА"</f>
        <v>УЛ ЗАХАРОВА</v>
      </c>
      <c r="U1264" s="1" t="str">
        <f>"1"</f>
        <v>1</v>
      </c>
      <c r="V1264" s="1" t="str">
        <f>""</f>
        <v/>
      </c>
      <c r="W1264" s="1" t="str">
        <f>""</f>
        <v/>
      </c>
      <c r="X1264" s="1" t="str">
        <f>""</f>
        <v/>
      </c>
      <c r="Y1264" s="1" t="str">
        <f>"64"</f>
        <v>64</v>
      </c>
      <c r="Z1264" t="str">
        <f>"3435240711"</f>
        <v>3435240711</v>
      </c>
      <c r="AA1264" t="str">
        <f>"3435483144"</f>
        <v>3435483144</v>
      </c>
      <c r="AB1264" t="str">
        <f>"9630416761"</f>
        <v>9630416761</v>
      </c>
      <c r="AC1264" t="str">
        <f>"9090282282"</f>
        <v>9090282282</v>
      </c>
      <c r="AD1264" t="str">
        <f>"9630416761"</f>
        <v>9630416761</v>
      </c>
      <c r="AE1264" t="str">
        <f>""</f>
        <v/>
      </c>
    </row>
    <row r="1265" spans="1:31" x14ac:dyDescent="0.45">
      <c r="A1265" t="str">
        <f>"ГАЙНЕТДИНОВ ИЛЬГИЗ ИЛЬДАРОВИЧ"</f>
        <v>ГАЙНЕТДИНОВ ИЛЬГИЗ ИЛЬДАРОВИЧ</v>
      </c>
      <c r="B1265" t="str">
        <f>"1987-07-04"</f>
        <v>1987-07-04</v>
      </c>
      <c r="C1265" t="str">
        <f>"80 06 229055"</f>
        <v>80 06 229055</v>
      </c>
      <c r="D1265" t="str">
        <f>"4279011616865112"</f>
        <v>4279011616865112</v>
      </c>
      <c r="E1265" t="str">
        <f t="shared" si="208"/>
        <v>2021-05-31</v>
      </c>
      <c r="F1265" t="str">
        <f t="shared" si="209"/>
        <v>+</v>
      </c>
      <c r="G1265" t="str">
        <f t="shared" si="209"/>
        <v>+</v>
      </c>
      <c r="H1265" t="str">
        <f>"40817810416991391456"</f>
        <v>40817810416991391456</v>
      </c>
      <c r="I1265" t="str">
        <f>"8598"</f>
        <v>8598</v>
      </c>
      <c r="J1265" t="str">
        <f>"0562"</f>
        <v>0562</v>
      </c>
      <c r="K1265" t="str">
        <f>"300000.00"</f>
        <v>300000.00</v>
      </c>
      <c r="L1265" t="str">
        <f>"453020 РЕСП БАШКОРТОСТАН Р-Н КАРМАСКАЛИНСКИЙ   С КАРМАСКАЛЫ УЛ САДОВАЯ д. 35"</f>
        <v>453020 РЕСП БАШКОРТОСТАН Р-Н КАРМАСКАЛИНСКИЙ   С КАРМАСКАЛЫ УЛ САДОВАЯ д. 35</v>
      </c>
      <c r="M1265" t="str">
        <f t="shared" si="203"/>
        <v>2019-08-24</v>
      </c>
      <c r="N1265" t="str">
        <f>"ООО АЛЬЯНС"</f>
        <v>ООО АЛЬЯНС</v>
      </c>
      <c r="O1265" t="str">
        <f>"453020"</f>
        <v>453020</v>
      </c>
      <c r="P1265" t="str">
        <f>"РЕСП БАШКОРТОСТАН"</f>
        <v>РЕСП БАШКОРТОСТАН</v>
      </c>
      <c r="Q1265" t="str">
        <f>"Р-Н КАРМАСКАЛИНСКИЙ"</f>
        <v>Р-Н КАРМАСКАЛИНСКИЙ</v>
      </c>
      <c r="R1265" t="str">
        <f>""</f>
        <v/>
      </c>
      <c r="S1265" t="str">
        <f>"С КАРМАСКАЛЫ"</f>
        <v>С КАРМАСКАЛЫ</v>
      </c>
      <c r="T1265" t="str">
        <f>"УЛ САДОВАЯ"</f>
        <v>УЛ САДОВАЯ</v>
      </c>
      <c r="U1265" s="1" t="str">
        <f>"35"</f>
        <v>35</v>
      </c>
      <c r="V1265" s="1" t="str">
        <f>""</f>
        <v/>
      </c>
      <c r="W1265" s="1" t="str">
        <f>""</f>
        <v/>
      </c>
      <c r="X1265" s="1" t="str">
        <f>""</f>
        <v/>
      </c>
      <c r="Y1265" s="1" t="str">
        <f>""</f>
        <v/>
      </c>
      <c r="Z1265" t="str">
        <f>"9373588868"</f>
        <v>9373588868</v>
      </c>
      <c r="AA1265" t="str">
        <f>"9273570507"</f>
        <v>9273570507</v>
      </c>
      <c r="AB1265" t="str">
        <f>"9273570507"</f>
        <v>9273570507</v>
      </c>
      <c r="AC1265" t="str">
        <f>"9273570507"</f>
        <v>9273570507</v>
      </c>
      <c r="AD1265" t="str">
        <f>"9273570507"</f>
        <v>9273570507</v>
      </c>
      <c r="AE1265" t="str">
        <f>"9373588868"</f>
        <v>9373588868</v>
      </c>
    </row>
    <row r="1266" spans="1:31" x14ac:dyDescent="0.45">
      <c r="A1266" t="str">
        <f>"СУББОТИНА НАТАЛЬЯ АНДРЕЕВНА"</f>
        <v>СУББОТИНА НАТАЛЬЯ АНДРЕЕВНА</v>
      </c>
      <c r="B1266" t="str">
        <f>"1991-12-21"</f>
        <v>1991-12-21</v>
      </c>
      <c r="C1266" t="str">
        <f>"65 11 317459"</f>
        <v>65 11 317459</v>
      </c>
      <c r="D1266" t="str">
        <f>"4279011634086121"</f>
        <v>4279011634086121</v>
      </c>
      <c r="E1266" t="str">
        <f t="shared" si="208"/>
        <v>2021-05-31</v>
      </c>
      <c r="F1266" t="str">
        <f t="shared" si="209"/>
        <v>+</v>
      </c>
      <c r="G1266" t="str">
        <f t="shared" si="209"/>
        <v>+</v>
      </c>
      <c r="H1266" t="str">
        <f>"40817810316991391585"</f>
        <v>40817810316991391585</v>
      </c>
      <c r="I1266" t="str">
        <f>"7003"</f>
        <v>7003</v>
      </c>
      <c r="J1266" t="str">
        <f>"0875"</f>
        <v>0875</v>
      </c>
      <c r="K1266" t="str">
        <f>"220000.00"</f>
        <v>220000.00</v>
      </c>
      <c r="L1266" t="str">
        <f>"620000 ОБЛ СВЕРДЛОВСКАЯ   Г ЕКАТЕРИНБУРГ   УЛ ЛУНАЧАРСКОГО д. 210"</f>
        <v>620000 ОБЛ СВЕРДЛОВСКАЯ   Г ЕКАТЕРИНБУРГ   УЛ ЛУНАЧАРСКОГО д. 210</v>
      </c>
      <c r="M1266" t="str">
        <f t="shared" si="203"/>
        <v>2019-08-24</v>
      </c>
      <c r="N1266" t="str">
        <f>"ООО АПТЕЧНАЯ СЕТЬ РАДУГА"</f>
        <v>ООО АПТЕЧНАЯ СЕТЬ РАДУГА</v>
      </c>
      <c r="O1266" t="str">
        <f>"620000"</f>
        <v>620000</v>
      </c>
      <c r="P1266" t="str">
        <f>"ОБЛ СВЕРДЛОВСКАЯ"</f>
        <v>ОБЛ СВЕРДЛОВСКАЯ</v>
      </c>
      <c r="Q1266" t="str">
        <f>"Р-Н АЧИТСКИЙ"</f>
        <v>Р-Н АЧИТСКИЙ</v>
      </c>
      <c r="R1266" t="str">
        <f>""</f>
        <v/>
      </c>
      <c r="S1266" t="str">
        <f>"ПГТ АЧИТ"</f>
        <v>ПГТ АЧИТ</v>
      </c>
      <c r="T1266" t="str">
        <f>"УЛ СОВЕТСКАЯ"</f>
        <v>УЛ СОВЕТСКАЯ</v>
      </c>
      <c r="U1266" s="1" t="str">
        <f>"19"</f>
        <v>19</v>
      </c>
      <c r="V1266" s="1" t="str">
        <f>""</f>
        <v/>
      </c>
      <c r="W1266" s="1" t="str">
        <f>""</f>
        <v/>
      </c>
      <c r="X1266" s="1" t="str">
        <f>""</f>
        <v/>
      </c>
      <c r="Y1266" s="1" t="str">
        <f>""</f>
        <v/>
      </c>
      <c r="Z1266" t="str">
        <f>""</f>
        <v/>
      </c>
      <c r="AA1266" t="str">
        <f>"9089017774"</f>
        <v>9089017774</v>
      </c>
      <c r="AB1266" t="str">
        <f>"9089017774"</f>
        <v>9089017774</v>
      </c>
      <c r="AC1266" t="str">
        <f>"9089017774"</f>
        <v>9089017774</v>
      </c>
      <c r="AD1266" t="str">
        <f>"9089017774"</f>
        <v>9089017774</v>
      </c>
      <c r="AE1266" t="str">
        <f>""</f>
        <v/>
      </c>
    </row>
    <row r="1267" spans="1:31" x14ac:dyDescent="0.45">
      <c r="A1267" t="str">
        <f>"САЛЯМОВА ЛИЛИЯ РАДИКОВНА"</f>
        <v>САЛЯМОВА ЛИЛИЯ РАДИКОВНА</v>
      </c>
      <c r="B1267" t="str">
        <f>"1992-07-15"</f>
        <v>1992-07-15</v>
      </c>
      <c r="C1267" t="str">
        <f>"80 11 533725"</f>
        <v>80 11 533725</v>
      </c>
      <c r="D1267" t="str">
        <f>"4279011680188201"</f>
        <v>4279011680188201</v>
      </c>
      <c r="E1267" t="str">
        <f t="shared" si="208"/>
        <v>2021-05-31</v>
      </c>
      <c r="F1267" t="str">
        <f t="shared" si="209"/>
        <v>+</v>
      </c>
      <c r="G1267" t="str">
        <f t="shared" si="209"/>
        <v>+</v>
      </c>
      <c r="H1267" t="str">
        <f>"40817810516991391589"</f>
        <v>40817810516991391589</v>
      </c>
      <c r="I1267" t="str">
        <f>"8598"</f>
        <v>8598</v>
      </c>
      <c r="J1267" t="str">
        <f>"0046"</f>
        <v>0046</v>
      </c>
      <c r="K1267" t="str">
        <f>"60000.00"</f>
        <v>60000.00</v>
      </c>
      <c r="L1267" t="str">
        <f>"450000 РЕСП БАШКОРТОСТАН   Г УФА   УЛ ГАГАРИНА д. 39/2"</f>
        <v>450000 РЕСП БАШКОРТОСТАН   Г УФА   УЛ ГАГАРИНА д. 39/2</v>
      </c>
      <c r="M1267" t="str">
        <f t="shared" si="203"/>
        <v>2019-08-24</v>
      </c>
      <c r="N1267" t="str">
        <f>"ЗАО МЦ НТТ"</f>
        <v>ЗАО МЦ НТТ</v>
      </c>
      <c r="O1267" t="str">
        <f>"450000"</f>
        <v>450000</v>
      </c>
      <c r="P1267" t="str">
        <f>"РЕСП БАШКОРТОСТАН"</f>
        <v>РЕСП БАШКОРТОСТАН</v>
      </c>
      <c r="Q1267" t="str">
        <f>""</f>
        <v/>
      </c>
      <c r="R1267" t="str">
        <f>"Г УФА"</f>
        <v>Г УФА</v>
      </c>
      <c r="S1267" t="str">
        <f>""</f>
        <v/>
      </c>
      <c r="T1267" t="str">
        <f>"УЛ КРЕМЛЕВСКАЯ"</f>
        <v>УЛ КРЕМЛЕВСКАЯ</v>
      </c>
      <c r="U1267" s="1" t="str">
        <f>"57/2"</f>
        <v>57/2</v>
      </c>
      <c r="V1267" s="1" t="str">
        <f>""</f>
        <v/>
      </c>
      <c r="W1267" s="1" t="str">
        <f>""</f>
        <v/>
      </c>
      <c r="X1267" s="1" t="str">
        <f>""</f>
        <v/>
      </c>
      <c r="Y1267" s="1" t="str">
        <f>"64"</f>
        <v>64</v>
      </c>
      <c r="Z1267" t="str">
        <f>"3472840310"</f>
        <v>3472840310</v>
      </c>
      <c r="AA1267" t="str">
        <f>"9378466103"</f>
        <v>9378466103</v>
      </c>
      <c r="AB1267" t="str">
        <f>"9378466103"</f>
        <v>9378466103</v>
      </c>
      <c r="AC1267" t="str">
        <f>"9378466103"</f>
        <v>9378466103</v>
      </c>
      <c r="AD1267" t="str">
        <f>"9378466103"</f>
        <v>9378466103</v>
      </c>
      <c r="AE1267" t="str">
        <f>""</f>
        <v/>
      </c>
    </row>
    <row r="1268" spans="1:31" x14ac:dyDescent="0.45">
      <c r="A1268" t="str">
        <f>"НЕИЗВЕСТНЫЙ ЕВГЕНИЙ ВЛАДИМИРОВИЧ"</f>
        <v>НЕИЗВЕСТНЫЙ ЕВГЕНИЙ ВЛАДИМИРОВИЧ</v>
      </c>
      <c r="B1268" t="str">
        <f>"1982-10-22"</f>
        <v>1982-10-22</v>
      </c>
      <c r="C1268" t="str">
        <f>"75 14 458384"</f>
        <v>75 14 458384</v>
      </c>
      <c r="D1268" t="str">
        <f>"4279011688254104"</f>
        <v>4279011688254104</v>
      </c>
      <c r="E1268" t="str">
        <f t="shared" si="208"/>
        <v>2021-05-31</v>
      </c>
      <c r="F1268" t="str">
        <f t="shared" si="209"/>
        <v>+</v>
      </c>
      <c r="G1268" t="str">
        <f t="shared" si="209"/>
        <v>+</v>
      </c>
      <c r="H1268" t="str">
        <f>"40817810816991391603"</f>
        <v>40817810816991391603</v>
      </c>
      <c r="I1268" t="str">
        <f>"8597"</f>
        <v>8597</v>
      </c>
      <c r="J1268" t="str">
        <f>"0345"</f>
        <v>0345</v>
      </c>
      <c r="K1268" t="str">
        <f>"12000.00"</f>
        <v>12000.00</v>
      </c>
      <c r="L1268" t="str">
        <f>"455000 ОБЛ ЧЕЛЯБИНСКАЯ   Г МАГНИТОГОРСК   УЛ ЛЕНИНГРАДСКАЯ д. 26 корп. 1"</f>
        <v>455000 ОБЛ ЧЕЛЯБИНСКАЯ   Г МАГНИТОГОРСК   УЛ ЛЕНИНГРАДСКАЯ д. 26 корп. 1</v>
      </c>
      <c r="M1268" t="str">
        <f t="shared" si="203"/>
        <v>2019-08-24</v>
      </c>
      <c r="N1268" t="str">
        <f>"ООО ВЕКТОР"</f>
        <v>ООО ВЕКТОР</v>
      </c>
      <c r="O1268" t="str">
        <f>"455000"</f>
        <v>455000</v>
      </c>
      <c r="P1268" t="str">
        <f>"ОБЛ ЧЕЛЯБИНСКАЯ"</f>
        <v>ОБЛ ЧЕЛЯБИНСКАЯ</v>
      </c>
      <c r="Q1268" t="str">
        <f>""</f>
        <v/>
      </c>
      <c r="R1268" t="str">
        <f>"Г МАГНИТОГОРСК"</f>
        <v>Г МАГНИТОГОРСК</v>
      </c>
      <c r="S1268" t="str">
        <f>""</f>
        <v/>
      </c>
      <c r="T1268" t="str">
        <f>"УЛ УРАЛЬСКАЯ"</f>
        <v>УЛ УРАЛЬСКАЯ</v>
      </c>
      <c r="U1268" s="1" t="str">
        <f>"66"</f>
        <v>66</v>
      </c>
      <c r="V1268" s="1" t="str">
        <f>""</f>
        <v/>
      </c>
      <c r="W1268" s="1" t="str">
        <f>""</f>
        <v/>
      </c>
      <c r="X1268" s="1" t="str">
        <f>""</f>
        <v/>
      </c>
      <c r="Y1268" s="1" t="str">
        <f>"24"</f>
        <v>24</v>
      </c>
      <c r="Z1268" t="str">
        <f>""</f>
        <v/>
      </c>
      <c r="AA1268" t="str">
        <f>"+7 (906) 8513333"</f>
        <v>+7 (906) 8513333</v>
      </c>
      <c r="AB1268" t="str">
        <f>"+7 (906) 8513333"</f>
        <v>+7 (906) 8513333</v>
      </c>
      <c r="AC1268" t="str">
        <f>"9068513333"</f>
        <v>9068513333</v>
      </c>
      <c r="AD1268" t="str">
        <f>"9068513333"</f>
        <v>9068513333</v>
      </c>
      <c r="AE1268" t="str">
        <f>""</f>
        <v/>
      </c>
    </row>
    <row r="1269" spans="1:31" x14ac:dyDescent="0.45">
      <c r="A1269" t="str">
        <f>"САФИНА КСЕНИЯ СЕРГЕЕВНА"</f>
        <v>САФИНА КСЕНИЯ СЕРГЕЕВНА</v>
      </c>
      <c r="B1269" t="str">
        <f>"1986-09-06"</f>
        <v>1986-09-06</v>
      </c>
      <c r="C1269" t="str">
        <f>"80 06 247320"</f>
        <v>80 06 247320</v>
      </c>
      <c r="D1269" t="str">
        <f>"4279011639634578"</f>
        <v>4279011639634578</v>
      </c>
      <c r="E1269" t="str">
        <f t="shared" si="208"/>
        <v>2021-05-31</v>
      </c>
      <c r="F1269" t="str">
        <f t="shared" si="209"/>
        <v>+</v>
      </c>
      <c r="G1269" t="str">
        <f t="shared" si="209"/>
        <v>+</v>
      </c>
      <c r="H1269" t="str">
        <f>"40817810516991391592"</f>
        <v>40817810516991391592</v>
      </c>
      <c r="I1269" t="str">
        <f>"8598"</f>
        <v>8598</v>
      </c>
      <c r="J1269" t="str">
        <f>"0213"</f>
        <v>0213</v>
      </c>
      <c r="K1269" t="str">
        <f>"73000.00"</f>
        <v>73000.00</v>
      </c>
      <c r="L1269" t="str">
        <f>"450000 РЕСП БАШКОРТОСТАН   Г УФА   УЛ РЕВОЛЮЦИОННАЯ д. 41"</f>
        <v>450000 РЕСП БАШКОРТОСТАН   Г УФА   УЛ РЕВОЛЮЦИОННАЯ д. 41</v>
      </c>
      <c r="M1269" t="str">
        <f t="shared" si="203"/>
        <v>2019-08-24</v>
      </c>
      <c r="N1269" t="str">
        <f>"ООО БАР"</f>
        <v>ООО БАР</v>
      </c>
      <c r="O1269" t="str">
        <f>"450000"</f>
        <v>450000</v>
      </c>
      <c r="P1269" t="str">
        <f>"РЕСП БАШКОРТОСТАН"</f>
        <v>РЕСП БАШКОРТОСТАН</v>
      </c>
      <c r="Q1269" t="str">
        <f>""</f>
        <v/>
      </c>
      <c r="R1269" t="str">
        <f>"Г УФА"</f>
        <v>Г УФА</v>
      </c>
      <c r="S1269" t="str">
        <f>""</f>
        <v/>
      </c>
      <c r="T1269" t="str">
        <f>"УЛ Н.КОВШОВОЙ"</f>
        <v>УЛ Н.КОВШОВОЙ</v>
      </c>
      <c r="U1269" s="1" t="str">
        <f>"3"</f>
        <v>3</v>
      </c>
      <c r="V1269" s="1" t="str">
        <f>""</f>
        <v/>
      </c>
      <c r="W1269" s="1" t="str">
        <f>""</f>
        <v/>
      </c>
      <c r="X1269" s="1" t="str">
        <f>""</f>
        <v/>
      </c>
      <c r="Y1269" s="1" t="str">
        <f>"69"</f>
        <v>69</v>
      </c>
      <c r="Z1269" t="str">
        <f>""</f>
        <v/>
      </c>
      <c r="AA1269" t="str">
        <f>"9033123484"</f>
        <v>9033123484</v>
      </c>
      <c r="AB1269" t="str">
        <f>"9033123484"</f>
        <v>9033123484</v>
      </c>
      <c r="AC1269" t="str">
        <f>"9033123484"</f>
        <v>9033123484</v>
      </c>
      <c r="AD1269" t="str">
        <f>"9033123484"</f>
        <v>9033123484</v>
      </c>
      <c r="AE1269" t="str">
        <f>""</f>
        <v/>
      </c>
    </row>
    <row r="1270" spans="1:31" x14ac:dyDescent="0.45">
      <c r="A1270" t="str">
        <f>"МИРОНОВ АЛЕКСАНДР СЕРГЕЕВИЧ"</f>
        <v>МИРОНОВ АЛЕКСАНДР СЕРГЕЕВИЧ</v>
      </c>
      <c r="B1270" t="str">
        <f>"1986-02-08"</f>
        <v>1986-02-08</v>
      </c>
      <c r="C1270" t="str">
        <f>"65 05 880345"</f>
        <v>65 05 880345</v>
      </c>
      <c r="D1270" t="str">
        <f>"4279011693950878"</f>
        <v>4279011693950878</v>
      </c>
      <c r="E1270" t="str">
        <f t="shared" si="208"/>
        <v>2021-05-31</v>
      </c>
      <c r="F1270" t="str">
        <f t="shared" si="209"/>
        <v>+</v>
      </c>
      <c r="G1270" t="str">
        <f t="shared" si="209"/>
        <v>+</v>
      </c>
      <c r="H1270" t="str">
        <f>"40817810116991391594"</f>
        <v>40817810116991391594</v>
      </c>
      <c r="I1270" t="str">
        <f>"7003"</f>
        <v>7003</v>
      </c>
      <c r="J1270" t="str">
        <f>"0227"</f>
        <v>0227</v>
      </c>
      <c r="K1270" t="str">
        <f>"40000.00"</f>
        <v>40000.00</v>
      </c>
      <c r="L1270" t="str">
        <f>"620000 ОБЛ СВЕРДЛОВСКАЯ   Г ЕКАТЕРИНБУРГ   УЛ ГАСТЕЛЛО д. 3"</f>
        <v>620000 ОБЛ СВЕРДЛОВСКАЯ   Г ЕКАТЕРИНБУРГ   УЛ ГАСТЕЛЛО д. 3</v>
      </c>
      <c r="M1270" t="str">
        <f t="shared" si="203"/>
        <v>2019-08-24</v>
      </c>
      <c r="N1270" t="str">
        <f>"ООО КИЛОБАЙТ"</f>
        <v>ООО КИЛОБАЙТ</v>
      </c>
      <c r="O1270" t="str">
        <f>"620000"</f>
        <v>620000</v>
      </c>
      <c r="P1270" t="str">
        <f>"ОБЛ СВЕРДЛОВСКАЯ"</f>
        <v>ОБЛ СВЕРДЛОВСКАЯ</v>
      </c>
      <c r="Q1270" t="str">
        <f>""</f>
        <v/>
      </c>
      <c r="R1270" t="str">
        <f>"Г НОВОУРАЛЬСК"</f>
        <v>Г НОВОУРАЛЬСК</v>
      </c>
      <c r="S1270" t="str">
        <f>"П МУРЗИНКА"</f>
        <v>П МУРЗИНКА</v>
      </c>
      <c r="T1270" t="str">
        <f>"УЛ ЗАПАДНАЯ"</f>
        <v>УЛ ЗАПАДНАЯ</v>
      </c>
      <c r="U1270" s="1" t="str">
        <f>"2"</f>
        <v>2</v>
      </c>
      <c r="V1270" s="1" t="str">
        <f>""</f>
        <v/>
      </c>
      <c r="W1270" s="1" t="str">
        <f>""</f>
        <v/>
      </c>
      <c r="X1270" s="1" t="str">
        <f>""</f>
        <v/>
      </c>
      <c r="Y1270" s="1" t="str">
        <f>""</f>
        <v/>
      </c>
      <c r="Z1270" t="str">
        <f>"9630538546"</f>
        <v>9630538546</v>
      </c>
      <c r="AA1270" t="str">
        <f>"9630538546"</f>
        <v>9630538546</v>
      </c>
      <c r="AB1270" t="str">
        <f>"9630538546"</f>
        <v>9630538546</v>
      </c>
      <c r="AC1270" t="str">
        <f>"9630538546"</f>
        <v>9630538546</v>
      </c>
      <c r="AD1270" t="str">
        <f>"9630538546"</f>
        <v>9630538546</v>
      </c>
      <c r="AE1270" t="str">
        <f>""</f>
        <v/>
      </c>
    </row>
    <row r="1271" spans="1:31" x14ac:dyDescent="0.45">
      <c r="A1271" t="str">
        <f>"БЕЛОУСОВА СВЕТЛАНА ГЕННАДЬЕВНА"</f>
        <v>БЕЛОУСОВА СВЕТЛАНА ГЕННАДЬЕВНА</v>
      </c>
      <c r="B1271" t="str">
        <f>"1986-09-08"</f>
        <v>1986-09-08</v>
      </c>
      <c r="C1271" t="str">
        <f>"65 07 016589"</f>
        <v>65 07 016589</v>
      </c>
      <c r="D1271" t="str">
        <f>"4279011687089873"</f>
        <v>4279011687089873</v>
      </c>
      <c r="E1271" t="str">
        <f t="shared" si="208"/>
        <v>2021-05-31</v>
      </c>
      <c r="F1271" t="str">
        <f t="shared" si="209"/>
        <v>+</v>
      </c>
      <c r="G1271" t="str">
        <f t="shared" si="209"/>
        <v>+</v>
      </c>
      <c r="H1271" t="str">
        <f>"40817810316991391598"</f>
        <v>40817810316991391598</v>
      </c>
      <c r="I1271" t="str">
        <f>"7003"</f>
        <v>7003</v>
      </c>
      <c r="J1271" t="str">
        <f>"0690"</f>
        <v>0690</v>
      </c>
      <c r="K1271" t="str">
        <f>"15000.00"</f>
        <v>15000.00</v>
      </c>
      <c r="L1271" t="str">
        <f>"620000 ОБЛ СВЕРДЛОВСКАЯ   Г ПЕРВОУРАЛЬСК   УЛ ТОРГОВАЯ д. 1"</f>
        <v>620000 ОБЛ СВЕРДЛОВСКАЯ   Г ПЕРВОУРАЛЬСК   УЛ ТОРГОВАЯ д. 1</v>
      </c>
      <c r="M1271" t="str">
        <f t="shared" si="203"/>
        <v>2019-08-24</v>
      </c>
      <c r="N1271" t="str">
        <f>"ООО ОБЩЕПИТ"</f>
        <v>ООО ОБЩЕПИТ</v>
      </c>
      <c r="O1271" t="str">
        <f>"620000"</f>
        <v>620000</v>
      </c>
      <c r="P1271" t="str">
        <f>"ОБЛ СВЕРДЛОВСКАЯ"</f>
        <v>ОБЛ СВЕРДЛОВСКАЯ</v>
      </c>
      <c r="Q1271" t="str">
        <f>""</f>
        <v/>
      </c>
      <c r="R1271" t="str">
        <f>"Г ПЕРВОУРАЛЬСК"</f>
        <v>Г ПЕРВОУРАЛЬСК</v>
      </c>
      <c r="S1271" t="str">
        <f>""</f>
        <v/>
      </c>
      <c r="T1271" t="str">
        <f>"УЛ НАБЕРЕЖНАЯ"</f>
        <v>УЛ НАБЕРЕЖНАЯ</v>
      </c>
      <c r="U1271" s="1" t="str">
        <f>"17"</f>
        <v>17</v>
      </c>
      <c r="V1271" s="1" t="str">
        <f>""</f>
        <v/>
      </c>
      <c r="W1271" s="1" t="str">
        <f>"А"</f>
        <v>А</v>
      </c>
      <c r="X1271" s="1" t="str">
        <f>""</f>
        <v/>
      </c>
      <c r="Y1271" s="1" t="str">
        <f>"30"</f>
        <v>30</v>
      </c>
      <c r="Z1271" t="str">
        <f>"9655160979"</f>
        <v>9655160979</v>
      </c>
      <c r="AA1271" t="str">
        <f>"9655160979"</f>
        <v>9655160979</v>
      </c>
      <c r="AB1271" t="str">
        <f>"9655160979"</f>
        <v>9655160979</v>
      </c>
      <c r="AC1271" t="str">
        <f>"9655160979"</f>
        <v>9655160979</v>
      </c>
      <c r="AD1271" t="str">
        <f>"9655160979"</f>
        <v>9655160979</v>
      </c>
      <c r="AE1271" t="str">
        <f>"9655160979"</f>
        <v>9655160979</v>
      </c>
    </row>
    <row r="1272" spans="1:31" x14ac:dyDescent="0.45">
      <c r="A1272" t="str">
        <f>"ПОЛОЗНИКОВА МАРИНА ЮРЬЕВНА"</f>
        <v>ПОЛОЗНИКОВА МАРИНА ЮРЬЕВНА</v>
      </c>
      <c r="B1272" t="str">
        <f>"1988-11-03"</f>
        <v>1988-11-03</v>
      </c>
      <c r="C1272" t="str">
        <f>"65 14 832313"</f>
        <v>65 14 832313</v>
      </c>
      <c r="D1272" t="str">
        <f>"4279011650758058"</f>
        <v>4279011650758058</v>
      </c>
      <c r="E1272" t="str">
        <f t="shared" si="208"/>
        <v>2021-05-31</v>
      </c>
      <c r="F1272" t="str">
        <f t="shared" si="209"/>
        <v>+</v>
      </c>
      <c r="G1272" t="str">
        <f t="shared" si="209"/>
        <v>+</v>
      </c>
      <c r="H1272" t="str">
        <f>"40817810616991391599"</f>
        <v>40817810616991391599</v>
      </c>
      <c r="I1272" t="str">
        <f>"7003"</f>
        <v>7003</v>
      </c>
      <c r="J1272" t="str">
        <f>"0467"</f>
        <v>0467</v>
      </c>
      <c r="K1272" t="str">
        <f>"240000.00"</f>
        <v>240000.00</v>
      </c>
      <c r="L1272" t="str">
        <f>"620000 ОБЛ СВЕРДЛОВСКАЯ   Г ЕКАТЕРИНБУРГ   УЛ ЗАВОДСКАЯ д. 5 офис 701"</f>
        <v>620000 ОБЛ СВЕРДЛОВСКАЯ   Г ЕКАТЕРИНБУРГ   УЛ ЗАВОДСКАЯ д. 5 офис 701</v>
      </c>
      <c r="M1272" t="str">
        <f t="shared" si="203"/>
        <v>2019-08-24</v>
      </c>
      <c r="N1272" t="str">
        <f>"ИП РЕШЕТКОВА АЛЕНА СЕРГЕЕВНА"</f>
        <v>ИП РЕШЕТКОВА АЛЕНА СЕРГЕЕВНА</v>
      </c>
      <c r="O1272" t="str">
        <f>"620000"</f>
        <v>620000</v>
      </c>
      <c r="P1272" t="str">
        <f>"ОБЛ СВЕРДЛОВСКАЯ"</f>
        <v>ОБЛ СВЕРДЛОВСКАЯ</v>
      </c>
      <c r="Q1272" t="str">
        <f>""</f>
        <v/>
      </c>
      <c r="R1272" t="str">
        <f>"Г АРАМИЛЬ"</f>
        <v>Г АРАМИЛЬ</v>
      </c>
      <c r="S1272" t="str">
        <f>""</f>
        <v/>
      </c>
      <c r="T1272" t="str">
        <f>"УЛ КОСМОНАВТОВ"</f>
        <v>УЛ КОСМОНАВТОВ</v>
      </c>
      <c r="U1272" s="1" t="str">
        <f>"11А"</f>
        <v>11А</v>
      </c>
      <c r="V1272" s="1" t="str">
        <f>""</f>
        <v/>
      </c>
      <c r="W1272" s="1" t="str">
        <f>""</f>
        <v/>
      </c>
      <c r="X1272" s="1" t="str">
        <f>""</f>
        <v/>
      </c>
      <c r="Y1272" s="1" t="str">
        <f>"113"</f>
        <v>113</v>
      </c>
      <c r="Z1272" t="str">
        <f>"9086339635"</f>
        <v>9086339635</v>
      </c>
      <c r="AA1272" t="str">
        <f>"9043896586"</f>
        <v>9043896586</v>
      </c>
      <c r="AB1272" t="str">
        <f>"9043896586"</f>
        <v>9043896586</v>
      </c>
      <c r="AC1272" t="str">
        <f>"9043896586"</f>
        <v>9043896586</v>
      </c>
      <c r="AD1272" t="str">
        <f>"9043896586"</f>
        <v>9043896586</v>
      </c>
      <c r="AE1272" t="str">
        <f>"9086339635"</f>
        <v>9086339635</v>
      </c>
    </row>
    <row r="1273" spans="1:31" x14ac:dyDescent="0.45">
      <c r="A1273" t="str">
        <f>"КАШАПОВА ВАЗИЛЯ КАБИРОВНА"</f>
        <v>КАШАПОВА ВАЗИЛЯ КАБИРОВНА</v>
      </c>
      <c r="B1273" t="str">
        <f>"1964-08-03"</f>
        <v>1964-08-03</v>
      </c>
      <c r="C1273" t="str">
        <f>"80 09 911594"</f>
        <v>80 09 911594</v>
      </c>
      <c r="D1273" t="str">
        <f>"4279011666813061"</f>
        <v>4279011666813061</v>
      </c>
      <c r="E1273" t="str">
        <f t="shared" si="208"/>
        <v>2021-05-31</v>
      </c>
      <c r="F1273" t="str">
        <f t="shared" si="209"/>
        <v>+</v>
      </c>
      <c r="G1273" t="str">
        <f t="shared" si="209"/>
        <v>+</v>
      </c>
      <c r="H1273" t="str">
        <f>"40817810516991391602"</f>
        <v>40817810516991391602</v>
      </c>
      <c r="I1273" t="str">
        <f>"8598"</f>
        <v>8598</v>
      </c>
      <c r="J1273" t="str">
        <f>"0383"</f>
        <v>0383</v>
      </c>
      <c r="K1273" t="str">
        <f>"15000.00"</f>
        <v>15000.00</v>
      </c>
      <c r="L1273" t="str">
        <f>"450000 РЕСП БАШКОРТОСТАН   Г СТЕРЛИТАМАК   УЛ НЕФТЕПРОВОДНАЯ д. 71"</f>
        <v>450000 РЕСП БАШКОРТОСТАН   Г СТЕРЛИТАМАК   УЛ НЕФТЕПРОВОДНАЯ д. 71</v>
      </c>
      <c r="M1273" t="str">
        <f t="shared" si="203"/>
        <v>2019-08-24</v>
      </c>
      <c r="N1273" t="str">
        <f>"ПЕНСИЯ"</f>
        <v>ПЕНСИЯ</v>
      </c>
      <c r="O1273" t="str">
        <f>"450000"</f>
        <v>450000</v>
      </c>
      <c r="P1273" t="str">
        <f>"РЕСП БАШКОРТОСТАН"</f>
        <v>РЕСП БАШКОРТОСТАН</v>
      </c>
      <c r="Q1273" t="str">
        <f>""</f>
        <v/>
      </c>
      <c r="R1273" t="str">
        <f>"Г СТЕРЛИТАМАК"</f>
        <v>Г СТЕРЛИТАМАК</v>
      </c>
      <c r="S1273" t="str">
        <f>""</f>
        <v/>
      </c>
      <c r="T1273" t="str">
        <f>"УЛ НЕФТЕПРОВОДНАЯ"</f>
        <v>УЛ НЕФТЕПРОВОДНАЯ</v>
      </c>
      <c r="U1273" s="1" t="str">
        <f>"71"</f>
        <v>71</v>
      </c>
      <c r="V1273" s="1" t="str">
        <f>""</f>
        <v/>
      </c>
      <c r="W1273" s="1" t="str">
        <f>""</f>
        <v/>
      </c>
      <c r="X1273" s="1" t="str">
        <f>""</f>
        <v/>
      </c>
      <c r="Y1273" s="1" t="str">
        <f>""</f>
        <v/>
      </c>
      <c r="Z1273" t="str">
        <f>""</f>
        <v/>
      </c>
      <c r="AA1273" t="str">
        <f>"9174816652"</f>
        <v>9174816652</v>
      </c>
      <c r="AB1273" t="str">
        <f>"9177657110"</f>
        <v>9177657110</v>
      </c>
      <c r="AC1273" t="str">
        <f>"9174816652"</f>
        <v>9174816652</v>
      </c>
      <c r="AD1273" t="str">
        <f>"9177657110"</f>
        <v>9177657110</v>
      </c>
      <c r="AE1273" t="str">
        <f>""</f>
        <v/>
      </c>
    </row>
    <row r="1274" spans="1:31" x14ac:dyDescent="0.45">
      <c r="A1274" t="str">
        <f>"КУДРИН ВАДИМ АЛЕКСЕЕВИЧ"</f>
        <v>КУДРИН ВАДИМ АЛЕКСЕЕВИЧ</v>
      </c>
      <c r="B1274" t="str">
        <f>"1974-11-02"</f>
        <v>1974-11-02</v>
      </c>
      <c r="C1274" t="str">
        <f>"75 00 663345"</f>
        <v>75 00 663345</v>
      </c>
      <c r="D1274" t="str">
        <f>"4279011637980452"</f>
        <v>4279011637980452</v>
      </c>
      <c r="E1274" t="str">
        <f t="shared" si="208"/>
        <v>2021-05-31</v>
      </c>
      <c r="F1274" t="str">
        <f t="shared" si="209"/>
        <v>+</v>
      </c>
      <c r="G1274" t="str">
        <f t="shared" si="209"/>
        <v>+</v>
      </c>
      <c r="H1274" t="str">
        <f>"40817810916991391600"</f>
        <v>40817810916991391600</v>
      </c>
      <c r="I1274" t="str">
        <f>"8597"</f>
        <v>8597</v>
      </c>
      <c r="J1274" t="str">
        <f>"0242"</f>
        <v>0242</v>
      </c>
      <c r="K1274" t="str">
        <f>"51000.00"</f>
        <v>51000.00</v>
      </c>
      <c r="L1274" t="str">
        <f>"454000 ОБЛ ЧЕЛЯБИНСКАЯ   Г ЧЕЛЯБИНСК   УЛ ТАНКОГРАДА д. 43 корп. П"</f>
        <v>454000 ОБЛ ЧЕЛЯБИНСКАЯ   Г ЧЕЛЯБИНСК   УЛ ТАНКОГРАДА д. 43 корп. П</v>
      </c>
      <c r="M1274" t="str">
        <f t="shared" si="203"/>
        <v>2019-08-24</v>
      </c>
      <c r="N1274" t="str">
        <f>"ООО БРУ"</f>
        <v>ООО БРУ</v>
      </c>
      <c r="O1274" t="str">
        <f>"454000"</f>
        <v>454000</v>
      </c>
      <c r="P1274" t="str">
        <f>"ОБЛ ЧЕЛЯБИНСКАЯ"</f>
        <v>ОБЛ ЧЕЛЯБИНСКАЯ</v>
      </c>
      <c r="Q1274" t="str">
        <f>"Р-Н СОСНОВСКИЙ"</f>
        <v>Р-Н СОСНОВСКИЙ</v>
      </c>
      <c r="R1274" t="str">
        <f>""</f>
        <v/>
      </c>
      <c r="S1274" t="str">
        <f>"П РОЩИНО"</f>
        <v>П РОЩИНО</v>
      </c>
      <c r="T1274" t="str">
        <f>"УЛ ФАБРИЧНАЯ"</f>
        <v>УЛ ФАБРИЧНАЯ</v>
      </c>
      <c r="U1274" s="1" t="str">
        <f>"1"</f>
        <v>1</v>
      </c>
      <c r="V1274" s="1" t="str">
        <f>""</f>
        <v/>
      </c>
      <c r="W1274" s="1" t="str">
        <f>""</f>
        <v/>
      </c>
      <c r="X1274" s="1" t="str">
        <f>""</f>
        <v/>
      </c>
      <c r="Y1274" s="1" t="str">
        <f>"29"</f>
        <v>29</v>
      </c>
      <c r="Z1274" t="str">
        <f>""</f>
        <v/>
      </c>
      <c r="AA1274" t="str">
        <f>"9085819573"</f>
        <v>9085819573</v>
      </c>
      <c r="AB1274" t="str">
        <f>"9080648395"</f>
        <v>9080648395</v>
      </c>
      <c r="AC1274" t="str">
        <f>"9085819573"</f>
        <v>9085819573</v>
      </c>
      <c r="AD1274" t="str">
        <f>"9080648395"</f>
        <v>9080648395</v>
      </c>
      <c r="AE1274" t="str">
        <f>""</f>
        <v/>
      </c>
    </row>
    <row r="1275" spans="1:31" x14ac:dyDescent="0.45">
      <c r="A1275" t="str">
        <f>"СТУРОВА ЕКАТЕРИНА МИХАЙЛОВНА"</f>
        <v>СТУРОВА ЕКАТЕРИНА МИХАЙЛОВНА</v>
      </c>
      <c r="B1275" t="str">
        <f>"1964-06-19"</f>
        <v>1964-06-19</v>
      </c>
      <c r="C1275" t="str">
        <f>"65 09 670023"</f>
        <v>65 09 670023</v>
      </c>
      <c r="D1275" t="str">
        <f>"4279011687597230"</f>
        <v>4279011687597230</v>
      </c>
      <c r="E1275" t="str">
        <f>"2021-06-30"</f>
        <v>2021-06-30</v>
      </c>
      <c r="F1275" t="str">
        <f t="shared" si="209"/>
        <v>+</v>
      </c>
      <c r="G1275" t="str">
        <f t="shared" si="209"/>
        <v>+</v>
      </c>
      <c r="H1275" t="str">
        <f>"40817810916991463169"</f>
        <v>40817810916991463169</v>
      </c>
      <c r="I1275" t="str">
        <f>"7003"</f>
        <v>7003</v>
      </c>
      <c r="J1275" t="str">
        <f>"0725"</f>
        <v>0725</v>
      </c>
      <c r="K1275" t="str">
        <f>"75000.00"</f>
        <v>75000.00</v>
      </c>
      <c r="L1275" t="str">
        <f>"620000 ОБЛ СВЕРДЛОВСКАЯ   Г КИРОВГРАД   УЛ ЛЕНИНА д. 4"</f>
        <v>620000 ОБЛ СВЕРДЛОВСКАЯ   Г КИРОВГРАД   УЛ ЛЕНИНА д. 4</v>
      </c>
      <c r="M1275" t="str">
        <f t="shared" si="203"/>
        <v>2019-08-24</v>
      </c>
      <c r="N1275" t="s">
        <v>85</v>
      </c>
      <c r="O1275" t="str">
        <f>"620000"</f>
        <v>620000</v>
      </c>
      <c r="P1275" t="str">
        <f>"ОБЛ СВЕРДЛОВСКАЯ"</f>
        <v>ОБЛ СВЕРДЛОВСКАЯ</v>
      </c>
      <c r="Q1275" t="str">
        <f>""</f>
        <v/>
      </c>
      <c r="R1275" t="str">
        <f>"Г КИРОВГРАД"</f>
        <v>Г КИРОВГРАД</v>
      </c>
      <c r="S1275" t="str">
        <f>""</f>
        <v/>
      </c>
      <c r="T1275" t="str">
        <f>"УЛ СВЕРДЛОВА"</f>
        <v>УЛ СВЕРДЛОВА</v>
      </c>
      <c r="U1275" s="1" t="str">
        <f>"69"</f>
        <v>69</v>
      </c>
      <c r="V1275" s="1" t="str">
        <f>""</f>
        <v/>
      </c>
      <c r="W1275" s="1" t="str">
        <f>""</f>
        <v/>
      </c>
      <c r="X1275" s="1" t="str">
        <f>""</f>
        <v/>
      </c>
      <c r="Y1275" s="1" t="str">
        <f>"178"</f>
        <v>178</v>
      </c>
      <c r="Z1275" t="str">
        <f>""</f>
        <v/>
      </c>
      <c r="AA1275" t="str">
        <f>"9024402300"</f>
        <v>9024402300</v>
      </c>
      <c r="AB1275" t="str">
        <f>"9024402300"</f>
        <v>9024402300</v>
      </c>
      <c r="AC1275" t="str">
        <f>"9024402300"</f>
        <v>9024402300</v>
      </c>
      <c r="AD1275" t="str">
        <f>"9024402300"</f>
        <v>9024402300</v>
      </c>
      <c r="AE1275" t="str">
        <f>""</f>
        <v/>
      </c>
    </row>
    <row r="1276" spans="1:31" x14ac:dyDescent="0.45">
      <c r="A1276" t="str">
        <f>"ДЕМИН РУСЛАН ОЛЕГОВИЧ"</f>
        <v>ДЕМИН РУСЛАН ОЛЕГОВИЧ</v>
      </c>
      <c r="B1276" t="str">
        <f>"1985-10-06"</f>
        <v>1985-10-06</v>
      </c>
      <c r="C1276" t="str">
        <f>"65 05 661229"</f>
        <v>65 05 661229</v>
      </c>
      <c r="D1276" t="str">
        <f>"4279011639809972"</f>
        <v>4279011639809972</v>
      </c>
      <c r="E1276" t="str">
        <f>"2021-06-30"</f>
        <v>2021-06-30</v>
      </c>
      <c r="F1276" t="str">
        <f t="shared" si="209"/>
        <v>+</v>
      </c>
      <c r="G1276" t="str">
        <f t="shared" si="209"/>
        <v>+</v>
      </c>
      <c r="H1276" t="str">
        <f>"40817810916991463172"</f>
        <v>40817810916991463172</v>
      </c>
      <c r="I1276" t="str">
        <f>"7003"</f>
        <v>7003</v>
      </c>
      <c r="J1276" t="str">
        <f>"0897"</f>
        <v>0897</v>
      </c>
      <c r="K1276" t="str">
        <f>"1000000.00"</f>
        <v>1000000.00</v>
      </c>
      <c r="L1276" t="str">
        <f>"624600 ОБЛ СВЕРДЛОВСКАЯ Р-Н АЛАПАЕВСКИЙ   С АРАМАШЕВО УЛ ПУШКАРЕВА д. 21"</f>
        <v>624600 ОБЛ СВЕРДЛОВСКАЯ Р-Н АЛАПАЕВСКИЙ   С АРАМАШЕВО УЛ ПУШКАРЕВА д. 21</v>
      </c>
      <c r="M1276" t="str">
        <f t="shared" si="203"/>
        <v>2019-08-24</v>
      </c>
      <c r="N1276" t="str">
        <f>"ООО ДОЛИНА РОЗ"</f>
        <v>ООО ДОЛИНА РОЗ</v>
      </c>
      <c r="O1276" t="str">
        <f>"624000"</f>
        <v>624000</v>
      </c>
      <c r="P1276" t="str">
        <f>"ОБЛ СВЕРДЛОВСКАЯ"</f>
        <v>ОБЛ СВЕРДЛОВСКАЯ</v>
      </c>
      <c r="Q1276" t="str">
        <f>""</f>
        <v/>
      </c>
      <c r="R1276" t="str">
        <f>"Г АРАМИЛЬ"</f>
        <v>Г АРАМИЛЬ</v>
      </c>
      <c r="S1276" t="str">
        <f>""</f>
        <v/>
      </c>
      <c r="T1276" t="str">
        <f>"УЛ ХИМИКОВ"</f>
        <v>УЛ ХИМИКОВ</v>
      </c>
      <c r="U1276" s="1" t="str">
        <f>"14"</f>
        <v>14</v>
      </c>
      <c r="V1276" s="1" t="str">
        <f>""</f>
        <v/>
      </c>
      <c r="W1276" s="1" t="str">
        <f>""</f>
        <v/>
      </c>
      <c r="X1276" s="1" t="str">
        <f>""</f>
        <v/>
      </c>
      <c r="Y1276" s="1" t="str">
        <f>""</f>
        <v/>
      </c>
      <c r="Z1276" t="str">
        <f>"3434673573"</f>
        <v>3434673573</v>
      </c>
      <c r="AA1276" t="str">
        <f>"9226050172"</f>
        <v>9226050172</v>
      </c>
      <c r="AB1276" t="str">
        <f>"9226050172"</f>
        <v>9226050172</v>
      </c>
      <c r="AC1276" t="str">
        <f>"9226050172"</f>
        <v>9226050172</v>
      </c>
      <c r="AD1276" t="str">
        <f>"9226050172"</f>
        <v>9226050172</v>
      </c>
      <c r="AE1276" t="str">
        <f>"3434673573"</f>
        <v>3434673573</v>
      </c>
    </row>
    <row r="1277" spans="1:31" x14ac:dyDescent="0.45">
      <c r="A1277" t="str">
        <f>"ДЫНЬКИНА ВАЛЕНТИНА ВЛАДИМИРОВНА"</f>
        <v>ДЫНЬКИНА ВАЛЕНТИНА ВЛАДИМИРОВНА</v>
      </c>
      <c r="B1277" t="str">
        <f>"1959-06-30"</f>
        <v>1959-06-30</v>
      </c>
      <c r="C1277" t="str">
        <f>"65 05 334138"</f>
        <v>65 05 334138</v>
      </c>
      <c r="D1277" t="str">
        <f>"4279011653037013"</f>
        <v>4279011653037013</v>
      </c>
      <c r="E1277" t="str">
        <f>"2021-06-30"</f>
        <v>2021-06-30</v>
      </c>
      <c r="F1277" t="str">
        <f t="shared" si="209"/>
        <v>+</v>
      </c>
      <c r="G1277" t="str">
        <f t="shared" si="209"/>
        <v>+</v>
      </c>
      <c r="H1277" t="str">
        <f>"40817810216991463173"</f>
        <v>40817810216991463173</v>
      </c>
      <c r="I1277" t="str">
        <f>"7003"</f>
        <v>7003</v>
      </c>
      <c r="J1277" t="str">
        <f>"0751"</f>
        <v>0751</v>
      </c>
      <c r="K1277" t="str">
        <f>"15000.00"</f>
        <v>15000.00</v>
      </c>
      <c r="L1277" t="str">
        <f>"620000 ОБЛ СВЕРДЛОВСКАЯ   Г НИЖНИЙ ТАГИЛ   УЛ ФРУНЗЕ д. 37"</f>
        <v>620000 ОБЛ СВЕРДЛОВСКАЯ   Г НИЖНИЙ ТАГИЛ   УЛ ФРУНЗЕ д. 37</v>
      </c>
      <c r="M1277" t="str">
        <f t="shared" si="203"/>
        <v>2019-08-24</v>
      </c>
      <c r="N1277" t="str">
        <f>"ИП МАРКОВ"</f>
        <v>ИП МАРКОВ</v>
      </c>
      <c r="O1277" t="str">
        <f>"620000"</f>
        <v>620000</v>
      </c>
      <c r="P1277" t="str">
        <f>"ОБЛ СВЕРДЛОВСКАЯ"</f>
        <v>ОБЛ СВЕРДЛОВСКАЯ</v>
      </c>
      <c r="Q1277" t="str">
        <f>""</f>
        <v/>
      </c>
      <c r="R1277" t="str">
        <f>"Г НИЖНИЙ ТАГИЛ"</f>
        <v>Г НИЖНИЙ ТАГИЛ</v>
      </c>
      <c r="S1277" t="str">
        <f>""</f>
        <v/>
      </c>
      <c r="T1277" t="str">
        <f>"ПР-КТ МИРА"</f>
        <v>ПР-КТ МИРА</v>
      </c>
      <c r="U1277" s="1" t="str">
        <f>"31А"</f>
        <v>31А</v>
      </c>
      <c r="V1277" s="1" t="str">
        <f>""</f>
        <v/>
      </c>
      <c r="W1277" s="1" t="str">
        <f>""</f>
        <v/>
      </c>
      <c r="X1277" s="1" t="str">
        <f>""</f>
        <v/>
      </c>
      <c r="Y1277" s="1" t="str">
        <f>"52"</f>
        <v>52</v>
      </c>
      <c r="Z1277" t="str">
        <f>""</f>
        <v/>
      </c>
      <c r="AA1277" t="str">
        <f>"9827092480"</f>
        <v>9827092480</v>
      </c>
      <c r="AB1277" t="str">
        <f>"9827092480"</f>
        <v>9827092480</v>
      </c>
      <c r="AC1277" t="str">
        <f>"9827092480"</f>
        <v>9827092480</v>
      </c>
      <c r="AD1277" t="str">
        <f>"9827092480"</f>
        <v>9827092480</v>
      </c>
      <c r="AE1277" t="str">
        <f>""</f>
        <v/>
      </c>
    </row>
    <row r="1278" spans="1:31" x14ac:dyDescent="0.45">
      <c r="A1278" t="str">
        <f>"КОМАРОВА КРИСТИНА АЛЕКСЕЕВНА"</f>
        <v>КОМАРОВА КРИСТИНА АЛЕКСЕЕВНА</v>
      </c>
      <c r="B1278" t="str">
        <f>"1991-03-30"</f>
        <v>1991-03-30</v>
      </c>
      <c r="C1278" t="str">
        <f>"46 14 585274"</f>
        <v>46 14 585274</v>
      </c>
      <c r="D1278" t="str">
        <f>"4276011689567382"</f>
        <v>4276011689567382</v>
      </c>
      <c r="E1278" t="str">
        <f>"2021-06-30"</f>
        <v>2021-06-30</v>
      </c>
      <c r="F1278" t="str">
        <f t="shared" si="209"/>
        <v>+</v>
      </c>
      <c r="G1278" t="str">
        <f t="shared" si="209"/>
        <v>+</v>
      </c>
      <c r="H1278" t="str">
        <f>"40817810816991463175"</f>
        <v>40817810816991463175</v>
      </c>
      <c r="I1278" t="str">
        <f>"8597"</f>
        <v>8597</v>
      </c>
      <c r="J1278" t="str">
        <f>"0323"</f>
        <v>0323</v>
      </c>
      <c r="K1278" t="str">
        <f>"67000.00"</f>
        <v>67000.00</v>
      </c>
      <c r="L1278" t="str">
        <f>"456069 ОБЛ ЧЕЛЯБИНСКАЯ   Г УСТЬ-КАТАВ   УЛ МКР-3 д. 7"</f>
        <v>456069 ОБЛ ЧЕЛЯБИНСКАЯ   Г УСТЬ-КАТАВ   УЛ МКР-3 д. 7</v>
      </c>
      <c r="M1278" t="str">
        <f t="shared" si="203"/>
        <v>2019-08-24</v>
      </c>
      <c r="N1278" t="str">
        <f>"ТАНДЕР"</f>
        <v>ТАНДЕР</v>
      </c>
      <c r="O1278" t="str">
        <f>"456030"</f>
        <v>456030</v>
      </c>
      <c r="P1278" t="str">
        <f>"ОБЛ ЧЕЛЯБИНСКАЯ"</f>
        <v>ОБЛ ЧЕЛЯБИНСКАЯ</v>
      </c>
      <c r="Q1278" t="str">
        <f>"Р-Н АШИНСКИЙ"</f>
        <v>Р-Н АШИНСКИЙ</v>
      </c>
      <c r="R1278" t="str">
        <f>""</f>
        <v/>
      </c>
      <c r="S1278" t="str">
        <f>"РП КРОПАЧЕВО"</f>
        <v>РП КРОПАЧЕВО</v>
      </c>
      <c r="T1278" t="str">
        <f>"УЛ КИРОВА"</f>
        <v>УЛ КИРОВА</v>
      </c>
      <c r="U1278" s="1" t="str">
        <f>"63"</f>
        <v>63</v>
      </c>
      <c r="V1278" s="1" t="str">
        <f>""</f>
        <v/>
      </c>
      <c r="W1278" s="1" t="str">
        <f>""</f>
        <v/>
      </c>
      <c r="X1278" s="1" t="str">
        <f>""</f>
        <v/>
      </c>
      <c r="Y1278" s="1" t="str">
        <f>""</f>
        <v/>
      </c>
      <c r="Z1278" t="str">
        <f>""</f>
        <v/>
      </c>
      <c r="AA1278" t="str">
        <f>"9823023248"</f>
        <v>9823023248</v>
      </c>
      <c r="AB1278" t="str">
        <f>"9164415596"</f>
        <v>9164415596</v>
      </c>
      <c r="AC1278" t="str">
        <f>""</f>
        <v/>
      </c>
      <c r="AD1278" t="str">
        <f>"9823023248"</f>
        <v>9823023248</v>
      </c>
      <c r="AE1278" t="str">
        <f>""</f>
        <v/>
      </c>
    </row>
    <row r="1279" spans="1:31" x14ac:dyDescent="0.45">
      <c r="A1279" t="str">
        <f>"ЗЫРЯНОВ КОНСТАНТИН АЛЕКСАНДРОВИЧ"</f>
        <v>ЗЫРЯНОВ КОНСТАНТИН АЛЕКСАНДРОВИЧ</v>
      </c>
      <c r="B1279" t="str">
        <f>"1975-09-28"</f>
        <v>1975-09-28</v>
      </c>
      <c r="C1279" t="str">
        <f>"65 14 860632"</f>
        <v>65 14 860632</v>
      </c>
      <c r="D1279" t="str">
        <f>"4279011636802848"</f>
        <v>4279011636802848</v>
      </c>
      <c r="E1279" t="str">
        <f>"2021-06-30"</f>
        <v>2021-06-30</v>
      </c>
      <c r="F1279" t="str">
        <f>"L"</f>
        <v>L</v>
      </c>
      <c r="G1279" t="str">
        <f>"+"</f>
        <v>+</v>
      </c>
      <c r="H1279" t="str">
        <f>"40817810016991463179"</f>
        <v>40817810016991463179</v>
      </c>
      <c r="I1279" t="str">
        <f>"7003"</f>
        <v>7003</v>
      </c>
      <c r="J1279" t="str">
        <f>"0430"</f>
        <v>0430</v>
      </c>
      <c r="K1279" t="str">
        <f>"56000.00"</f>
        <v>56000.00</v>
      </c>
      <c r="L1279" t="str">
        <f>"620000 ОБЛ СВЕРДЛОВСКАЯ   Г ЕКАТЕРИНБУРГ   УЛ АДМИРАЛА УШАКОВА д. 38"</f>
        <v>620000 ОБЛ СВЕРДЛОВСКАЯ   Г ЕКАТЕРИНБУРГ   УЛ АДМИРАЛА УШАКОВА д. 38</v>
      </c>
      <c r="M1279" t="str">
        <f t="shared" si="203"/>
        <v>2019-08-24</v>
      </c>
      <c r="N1279" t="str">
        <f>"ООО ЗКО ГОРНЯК"</f>
        <v>ООО ЗКО ГОРНЯК</v>
      </c>
      <c r="O1279" t="str">
        <f>"620000"</f>
        <v>620000</v>
      </c>
      <c r="P1279" t="str">
        <f>"ОБЛ СВЕРДЛОВСКАЯ"</f>
        <v>ОБЛ СВЕРДЛОВСКАЯ</v>
      </c>
      <c r="Q1279" t="str">
        <f>""</f>
        <v/>
      </c>
      <c r="R1279" t="str">
        <f>"Г ЕКАТЕРИНБУРГ"</f>
        <v>Г ЕКАТЕРИНБУРГ</v>
      </c>
      <c r="S1279" t="str">
        <f>""</f>
        <v/>
      </c>
      <c r="T1279" t="str">
        <f>"УЛ ИНЖЕНЕРНАЯ"</f>
        <v>УЛ ИНЖЕНЕРНАЯ</v>
      </c>
      <c r="U1279" s="1" t="str">
        <f>"11"</f>
        <v>11</v>
      </c>
      <c r="V1279" s="1" t="str">
        <f>""</f>
        <v/>
      </c>
      <c r="W1279" s="1" t="str">
        <f>""</f>
        <v/>
      </c>
      <c r="X1279" s="1" t="str">
        <f>""</f>
        <v/>
      </c>
      <c r="Y1279" s="1" t="str">
        <f>"41"</f>
        <v>41</v>
      </c>
      <c r="Z1279" t="str">
        <f>""</f>
        <v/>
      </c>
      <c r="AA1279" t="str">
        <f>"0000000000"</f>
        <v>0000000000</v>
      </c>
      <c r="AB1279" t="str">
        <f>"9506400173"</f>
        <v>9506400173</v>
      </c>
      <c r="AC1279" t="str">
        <f>"0000000000"</f>
        <v>0000000000</v>
      </c>
      <c r="AD1279" t="str">
        <f>"9506400173"</f>
        <v>9506400173</v>
      </c>
      <c r="AE1279" t="str">
        <f>""</f>
        <v/>
      </c>
    </row>
    <row r="1280" spans="1:31" x14ac:dyDescent="0.45">
      <c r="A1280" t="str">
        <f>"КОПЫЛОВА АННА АЛЕКСАНДРОВНА"</f>
        <v>КОПЫЛОВА АННА АЛЕКСАНДРОВНА</v>
      </c>
      <c r="B1280" t="str">
        <f>"1983-05-18"</f>
        <v>1983-05-18</v>
      </c>
      <c r="C1280" t="str">
        <f>"65 04 568050"</f>
        <v>65 04 568050</v>
      </c>
      <c r="D1280" t="str">
        <f>"4854630250722892"</f>
        <v>4854630250722892</v>
      </c>
      <c r="E1280" t="str">
        <f>"2020-11-30"</f>
        <v>2020-11-30</v>
      </c>
      <c r="F1280" t="str">
        <f>"Y"</f>
        <v>Y</v>
      </c>
      <c r="G1280" t="str">
        <f>"Q"</f>
        <v>Q</v>
      </c>
      <c r="H1280" t="str">
        <f>"40817810616991429623"</f>
        <v>40817810616991429623</v>
      </c>
      <c r="I1280" t="str">
        <f>"7003"</f>
        <v>7003</v>
      </c>
      <c r="J1280" t="str">
        <f>"0537"</f>
        <v>0537</v>
      </c>
      <c r="K1280" t="str">
        <f>"0.00"</f>
        <v>0.00</v>
      </c>
      <c r="L1280" t="str">
        <f>"620000 ОБЛ СВЕРДЛОВСКАЯ   Г СЕРОВ   УЛ АВТОДОРОЖНАЯ д. 34"</f>
        <v>620000 ОБЛ СВЕРДЛОВСКАЯ   Г СЕРОВ   УЛ АВТОДОРОЖНАЯ д. 34</v>
      </c>
      <c r="M1280" t="str">
        <f t="shared" si="203"/>
        <v>2019-08-24</v>
      </c>
      <c r="N1280" t="str">
        <f>"ООО ТРОНА"</f>
        <v>ООО ТРОНА</v>
      </c>
      <c r="O1280" t="str">
        <f>"620000"</f>
        <v>620000</v>
      </c>
      <c r="P1280" t="str">
        <f>"ОБЛ СВЕРДЛОВСКАЯ"</f>
        <v>ОБЛ СВЕРДЛОВСКАЯ</v>
      </c>
      <c r="Q1280" t="str">
        <f>""</f>
        <v/>
      </c>
      <c r="R1280" t="str">
        <f>"Г СЕРОВ"</f>
        <v>Г СЕРОВ</v>
      </c>
      <c r="S1280" t="str">
        <f>""</f>
        <v/>
      </c>
      <c r="T1280" t="str">
        <f>"УЛ ПОПОВА"</f>
        <v>УЛ ПОПОВА</v>
      </c>
      <c r="U1280" s="1" t="str">
        <f>"13А"</f>
        <v>13А</v>
      </c>
      <c r="V1280" s="1" t="str">
        <f>""</f>
        <v/>
      </c>
      <c r="W1280" s="1" t="str">
        <f>""</f>
        <v/>
      </c>
      <c r="X1280" s="1" t="str">
        <f>""</f>
        <v/>
      </c>
      <c r="Y1280" s="1" t="str">
        <f>"28"</f>
        <v>28</v>
      </c>
      <c r="Z1280" t="str">
        <f>""</f>
        <v/>
      </c>
      <c r="AA1280" t="str">
        <f>"9089017307"</f>
        <v>9089017307</v>
      </c>
      <c r="AB1280" t="str">
        <f>"9089017307"</f>
        <v>9089017307</v>
      </c>
      <c r="AC1280" t="str">
        <f>"9089017307"</f>
        <v>9089017307</v>
      </c>
      <c r="AD1280" t="str">
        <f>"9089017307"</f>
        <v>9089017307</v>
      </c>
      <c r="AE1280" t="str">
        <f>""</f>
        <v/>
      </c>
    </row>
    <row r="1281" spans="1:31" x14ac:dyDescent="0.45">
      <c r="A1281" t="str">
        <f>"ШАЙХИЛИСЛАМОВ ЗАБИХ ГАСИМОВИЧ"</f>
        <v>ШАЙХИЛИСЛАМОВ ЗАБИХ ГАСИМОВИЧ</v>
      </c>
      <c r="B1281" t="str">
        <f>"1965-07-30"</f>
        <v>1965-07-30</v>
      </c>
      <c r="C1281" t="str">
        <f>"80 10 018610"</f>
        <v>80 10 018610</v>
      </c>
      <c r="D1281" t="str">
        <f>"4279011647056095"</f>
        <v>4279011647056095</v>
      </c>
      <c r="E1281" t="str">
        <f>"2021-06-30"</f>
        <v>2021-06-30</v>
      </c>
      <c r="F1281" t="str">
        <f t="shared" ref="F1281:G1283" si="210">"+"</f>
        <v>+</v>
      </c>
      <c r="G1281" t="str">
        <f t="shared" si="210"/>
        <v>+</v>
      </c>
      <c r="H1281" t="str">
        <f>"40817810716991463246"</f>
        <v>40817810716991463246</v>
      </c>
      <c r="I1281" t="str">
        <f>"8598"</f>
        <v>8598</v>
      </c>
      <c r="J1281" t="str">
        <f>"0535"</f>
        <v>0535</v>
      </c>
      <c r="K1281" t="str">
        <f>"25000.00"</f>
        <v>25000.00</v>
      </c>
      <c r="L1281" t="str">
        <f>"452469 РЕСП БАШКОРТОСТАН Р-Н БИРСКИЙ Г БИРСК   УЛ РАДУЖНАЯ д. 1"</f>
        <v>452469 РЕСП БАШКОРТОСТАН Р-Н БИРСКИЙ Г БИРСК   УЛ РАДУЖНАЯ д. 1</v>
      </c>
      <c r="M1281" t="str">
        <f t="shared" si="203"/>
        <v>2019-08-24</v>
      </c>
      <c r="N1281" t="str">
        <f>"КОГАЛЫМСКОЕ УТТ"</f>
        <v>КОГАЛЫМСКОЕ УТТ</v>
      </c>
      <c r="O1281" t="str">
        <f>"452469"</f>
        <v>452469</v>
      </c>
      <c r="P1281" t="str">
        <f>"РЕСП БАШКОРТОСТАН"</f>
        <v>РЕСП БАШКОРТОСТАН</v>
      </c>
      <c r="Q1281" t="str">
        <f>"Р-Н БИРСКИЙ"</f>
        <v>Р-Н БИРСКИЙ</v>
      </c>
      <c r="R1281" t="str">
        <f>"Г БИРСК"</f>
        <v>Г БИРСК</v>
      </c>
      <c r="S1281" t="str">
        <f>""</f>
        <v/>
      </c>
      <c r="T1281" t="str">
        <f>"УЛ РАДУЖНАЯ"</f>
        <v>УЛ РАДУЖНАЯ</v>
      </c>
      <c r="U1281" s="1" t="str">
        <f>"1"</f>
        <v>1</v>
      </c>
      <c r="V1281" s="1" t="str">
        <f>""</f>
        <v/>
      </c>
      <c r="W1281" s="1" t="str">
        <f>""</f>
        <v/>
      </c>
      <c r="X1281" s="1" t="str">
        <f>""</f>
        <v/>
      </c>
      <c r="Y1281" s="1" t="str">
        <f>""</f>
        <v/>
      </c>
      <c r="Z1281" t="str">
        <f>"+7 (34667) 63113"</f>
        <v>+7 (34667) 63113</v>
      </c>
      <c r="AA1281" t="str">
        <f>"+7 (34784) 45908"</f>
        <v>+7 (34784) 45908</v>
      </c>
      <c r="AB1281" t="str">
        <f>"+7 (917) 4832350"</f>
        <v>+7 (917) 4832350</v>
      </c>
      <c r="AC1281" t="str">
        <f>"9174832350"</f>
        <v>9174832350</v>
      </c>
      <c r="AD1281" t="str">
        <f>"9174832350"</f>
        <v>9174832350</v>
      </c>
      <c r="AE1281" t="str">
        <f>""</f>
        <v/>
      </c>
    </row>
    <row r="1282" spans="1:31" x14ac:dyDescent="0.45">
      <c r="A1282" t="str">
        <f>"РОСЛЯКОВА НАТАЛЬЯ ВАЛЕНТИНОВНА"</f>
        <v>РОСЛЯКОВА НАТАЛЬЯ ВАЛЕНТИНОВНА</v>
      </c>
      <c r="B1282" t="str">
        <f>"1982-04-13"</f>
        <v>1982-04-13</v>
      </c>
      <c r="C1282" t="str">
        <f>"67 03 963516"</f>
        <v>67 03 963516</v>
      </c>
      <c r="D1282" t="str">
        <f>"4279016722031954"</f>
        <v>4279016722031954</v>
      </c>
      <c r="E1282" t="str">
        <f>"2021-06-30"</f>
        <v>2021-06-30</v>
      </c>
      <c r="F1282" t="str">
        <f t="shared" si="210"/>
        <v>+</v>
      </c>
      <c r="G1282" t="str">
        <f t="shared" si="210"/>
        <v>+</v>
      </c>
      <c r="H1282" t="str">
        <f>"40817810516992604602"</f>
        <v>40817810516992604602</v>
      </c>
      <c r="I1282" t="str">
        <f>"5940"</f>
        <v>5940</v>
      </c>
      <c r="J1282" t="str">
        <f>"0112"</f>
        <v>0112</v>
      </c>
      <c r="K1282" t="str">
        <f>"70000.00"</f>
        <v>70000.00</v>
      </c>
      <c r="L1282" t="str">
        <f>"628600 ОБЛ ТЮМЕНСКАЯ   Г НИЖНЕВАРТОВСК   УЛ МИРА"</f>
        <v>628600 ОБЛ ТЮМЕНСКАЯ   Г НИЖНЕВАРТОВСК   УЛ МИРА</v>
      </c>
      <c r="M1282" t="str">
        <f t="shared" ref="M1282:M1345" si="211">"2019-08-24"</f>
        <v>2019-08-24</v>
      </c>
      <c r="N1282" t="str">
        <f>"ЖЭУ 28 ПРЭТ 3"</f>
        <v>ЖЭУ 28 ПРЭТ 3</v>
      </c>
      <c r="O1282" t="str">
        <f>"628600"</f>
        <v>628600</v>
      </c>
      <c r="P1282" t="str">
        <f>"ОБЛ ТЮМЕНСКАЯ"</f>
        <v>ОБЛ ТЮМЕНСКАЯ</v>
      </c>
      <c r="Q1282" t="str">
        <f>""</f>
        <v/>
      </c>
      <c r="R1282" t="str">
        <f>"Г НИЖНЕВАРТОВСК"</f>
        <v>Г НИЖНЕВАРТОВСК</v>
      </c>
      <c r="S1282" t="str">
        <f>""</f>
        <v/>
      </c>
      <c r="T1282" t="str">
        <f>"УЛ ПРОСП.ПОБЕДЫ"</f>
        <v>УЛ ПРОСП.ПОБЕДЫ</v>
      </c>
      <c r="U1282" s="1" t="str">
        <f>"26"</f>
        <v>26</v>
      </c>
      <c r="V1282" s="1" t="str">
        <f>""</f>
        <v/>
      </c>
      <c r="W1282" s="1" t="str">
        <f>""</f>
        <v/>
      </c>
      <c r="X1282" s="1" t="str">
        <f>""</f>
        <v/>
      </c>
      <c r="Y1282" s="1" t="str">
        <f>"103-107А"</f>
        <v>103-107А</v>
      </c>
      <c r="Z1282" t="str">
        <f>""</f>
        <v/>
      </c>
      <c r="AA1282" t="str">
        <f>"9048850593"</f>
        <v>9048850593</v>
      </c>
      <c r="AB1282" t="str">
        <f>"9825424399"</f>
        <v>9825424399</v>
      </c>
      <c r="AC1282" t="str">
        <f>"9044567438"</f>
        <v>9044567438</v>
      </c>
      <c r="AD1282" t="str">
        <f>"9048850593"</f>
        <v>9048850593</v>
      </c>
      <c r="AE1282" t="str">
        <f>""</f>
        <v/>
      </c>
    </row>
    <row r="1283" spans="1:31" x14ac:dyDescent="0.45">
      <c r="A1283" t="str">
        <f>"СЕМЕНОВА СВЕТЛАНА НИКОЛАЕВНА"</f>
        <v>СЕМЕНОВА СВЕТЛАНА НИКОЛАЕВНА</v>
      </c>
      <c r="B1283" t="str">
        <f>"1964-02-20"</f>
        <v>1964-02-20</v>
      </c>
      <c r="C1283" t="str">
        <f>"71 08 672496"</f>
        <v>71 08 672496</v>
      </c>
      <c r="D1283" t="str">
        <f>"5484016705740066"</f>
        <v>5484016705740066</v>
      </c>
      <c r="E1283" t="str">
        <f t="shared" ref="E1283:E1291" si="212">"2021-05-31"</f>
        <v>2021-05-31</v>
      </c>
      <c r="F1283" t="str">
        <f t="shared" si="210"/>
        <v>+</v>
      </c>
      <c r="G1283" t="str">
        <f t="shared" si="210"/>
        <v>+</v>
      </c>
      <c r="H1283" t="str">
        <f>"40817810116992655297"</f>
        <v>40817810116992655297</v>
      </c>
      <c r="I1283" t="str">
        <f>"8647"</f>
        <v>8647</v>
      </c>
      <c r="J1283" t="str">
        <f>"7770"</f>
        <v>7770</v>
      </c>
      <c r="K1283" t="str">
        <f>"90000.00"</f>
        <v>90000.00</v>
      </c>
      <c r="L1283" t="str">
        <f>"625000 ОБЛ ТЮМЕНСКАЯ   Г ТЮМЕНЬ   УЛ ЮРИЯ СЕМОВСКИХ д. 10"</f>
        <v>625000 ОБЛ ТЮМЕНСКАЯ   Г ТЮМЕНЬ   УЛ ЮРИЯ СЕМОВСКИХ д. 10</v>
      </c>
      <c r="M1283" t="str">
        <f t="shared" si="211"/>
        <v>2019-08-24</v>
      </c>
      <c r="N1283" t="str">
        <f>"ОКБ № 1"</f>
        <v>ОКБ № 1</v>
      </c>
      <c r="O1283" t="str">
        <f>"625519"</f>
        <v>625519</v>
      </c>
      <c r="P1283" t="str">
        <f>"ОБЛ ТЮМЕНСКАЯ"</f>
        <v>ОБЛ ТЮМЕНСКАЯ</v>
      </c>
      <c r="Q1283" t="str">
        <f>"Р-Н ТЮМЕНСКИЙ"</f>
        <v>Р-Н ТЮМЕНСКИЙ</v>
      </c>
      <c r="R1283" t="str">
        <f>""</f>
        <v/>
      </c>
      <c r="S1283" t="str">
        <f>"С ЧЕРВИШЕВО"</f>
        <v>С ЧЕРВИШЕВО</v>
      </c>
      <c r="T1283" t="str">
        <f>"УЛ СОВХОЗНАЯ"</f>
        <v>УЛ СОВХОЗНАЯ</v>
      </c>
      <c r="U1283" s="1" t="str">
        <f>"10"</f>
        <v>10</v>
      </c>
      <c r="V1283" s="1" t="str">
        <f>""</f>
        <v/>
      </c>
      <c r="W1283" s="1" t="str">
        <f>""</f>
        <v/>
      </c>
      <c r="X1283" s="1" t="str">
        <f>""</f>
        <v/>
      </c>
      <c r="Y1283" s="1" t="str">
        <f>""</f>
        <v/>
      </c>
      <c r="Z1283" t="str">
        <f>"3452560010"</f>
        <v>3452560010</v>
      </c>
      <c r="AA1283" t="str">
        <f>"9224857964"</f>
        <v>9224857964</v>
      </c>
      <c r="AB1283" t="str">
        <f>"9224857964"</f>
        <v>9224857964</v>
      </c>
      <c r="AC1283" t="str">
        <f>"9224857964"</f>
        <v>9224857964</v>
      </c>
      <c r="AD1283" t="str">
        <f>"9224857964"</f>
        <v>9224857964</v>
      </c>
      <c r="AE1283" t="str">
        <f>"3452560010"</f>
        <v>3452560010</v>
      </c>
    </row>
    <row r="1284" spans="1:31" x14ac:dyDescent="0.45">
      <c r="A1284" t="str">
        <f>"ФЕТИСОВ АНДРЕЙ ВАЛЕРЬЕВИЧ"</f>
        <v>ФЕТИСОВ АНДРЕЙ ВАЛЕРЬЕВИЧ</v>
      </c>
      <c r="B1284" t="str">
        <f>"1970-01-21"</f>
        <v>1970-01-21</v>
      </c>
      <c r="C1284" t="str">
        <f>"67 14 445079"</f>
        <v>67 14 445079</v>
      </c>
      <c r="D1284" t="str">
        <f>"5484016704990142"</f>
        <v>5484016704990142</v>
      </c>
      <c r="E1284" t="str">
        <f t="shared" si="212"/>
        <v>2021-05-31</v>
      </c>
      <c r="F1284" t="str">
        <f>"Q"</f>
        <v>Q</v>
      </c>
      <c r="G1284" t="str">
        <f>"Q"</f>
        <v>Q</v>
      </c>
      <c r="H1284" t="str">
        <f>"40817810567720692917"</f>
        <v>40817810567720692917</v>
      </c>
      <c r="I1284" t="str">
        <f>"0029"</f>
        <v>0029</v>
      </c>
      <c r="J1284" t="str">
        <f>"7770"</f>
        <v>7770</v>
      </c>
      <c r="K1284" t="str">
        <f>"0.00"</f>
        <v>0.00</v>
      </c>
      <c r="L1284" t="str">
        <f>"625000 ОБЛ ТЮМЕНСКАЯ   Г ТЮМЕНЬ   УЛ ЮРИЯ СЕМОВСКИХ д. 10"</f>
        <v>625000 ОБЛ ТЮМЕНСКАЯ   Г ТЮМЕНЬ   УЛ ЮРИЯ СЕМОВСКИХ д. 10</v>
      </c>
      <c r="M1284" t="str">
        <f t="shared" si="211"/>
        <v>2019-08-24</v>
      </c>
      <c r="N1284" t="str">
        <f>"ОКБ 1"</f>
        <v>ОКБ 1</v>
      </c>
      <c r="O1284" t="str">
        <f>"628600"</f>
        <v>628600</v>
      </c>
      <c r="P1284" t="str">
        <f>"АО ХАНТЫ-МАНСИЙСКИЙ АВТОНОМНЫЙ ОКРУГ-ЮГРА"</f>
        <v>АО ХАНТЫ-МАНСИЙСКИЙ АВТОНОМНЫЙ ОКРУГ-ЮГРА</v>
      </c>
      <c r="Q1284" t="str">
        <f>""</f>
        <v/>
      </c>
      <c r="R1284" t="str">
        <f>"Г НИЖНЕВАРТОВСК"</f>
        <v>Г НИЖНЕВАРТОВСК</v>
      </c>
      <c r="S1284" t="str">
        <f>""</f>
        <v/>
      </c>
      <c r="T1284" t="str">
        <f>"ТУП ЧАПАЕВА"</f>
        <v>ТУП ЧАПАЕВА</v>
      </c>
      <c r="U1284" s="1" t="str">
        <f>"85"</f>
        <v>85</v>
      </c>
      <c r="V1284" s="1" t="str">
        <f>""</f>
        <v/>
      </c>
      <c r="W1284" s="1" t="str">
        <f>"Б"</f>
        <v>Б</v>
      </c>
      <c r="X1284" s="1" t="str">
        <f>""</f>
        <v/>
      </c>
      <c r="Y1284" s="1" t="str">
        <f>"78"</f>
        <v>78</v>
      </c>
      <c r="Z1284" t="str">
        <f>"3452287452"</f>
        <v>3452287452</v>
      </c>
      <c r="AA1284" t="str">
        <f>"9829697878"</f>
        <v>9829697878</v>
      </c>
      <c r="AB1284" t="str">
        <f>"9829697878"</f>
        <v>9829697878</v>
      </c>
      <c r="AC1284" t="str">
        <f>"9829697878"</f>
        <v>9829697878</v>
      </c>
      <c r="AD1284" t="str">
        <f>"9829697878"</f>
        <v>9829697878</v>
      </c>
      <c r="AE1284" t="str">
        <f>"3452287452"</f>
        <v>3452287452</v>
      </c>
    </row>
    <row r="1285" spans="1:31" x14ac:dyDescent="0.45">
      <c r="A1285" t="str">
        <f>"ФЕДОРЧУК МАКСИМ СЕРГЕЕВИЧ"</f>
        <v>ФЕДОРЧУК МАКСИМ СЕРГЕЕВИЧ</v>
      </c>
      <c r="B1285" t="str">
        <f>"1978-12-02"</f>
        <v>1978-12-02</v>
      </c>
      <c r="C1285" t="str">
        <f>"71 03 839468"</f>
        <v>71 03 839468</v>
      </c>
      <c r="D1285" t="str">
        <f>"5484016706963147"</f>
        <v>5484016706963147</v>
      </c>
      <c r="E1285" t="str">
        <f t="shared" si="212"/>
        <v>2021-05-31</v>
      </c>
      <c r="F1285" t="str">
        <f>"K"</f>
        <v>K</v>
      </c>
      <c r="G1285" t="str">
        <f>"+"</f>
        <v>+</v>
      </c>
      <c r="H1285" t="str">
        <f>"40817810216992349982"</f>
        <v>40817810216992349982</v>
      </c>
      <c r="I1285" t="str">
        <f>"8647"</f>
        <v>8647</v>
      </c>
      <c r="J1285" t="str">
        <f>"0328"</f>
        <v>0328</v>
      </c>
      <c r="K1285" t="str">
        <f>"245000.00"</f>
        <v>245000.00</v>
      </c>
      <c r="L1285" t="str">
        <f>"626150 ОБЛ ТЮМЕНСКАЯ   Г ТОБОЛЬСК   ТЕР ПРОМЗОНА д. 1"</f>
        <v>626150 ОБЛ ТЮМЕНСКАЯ   Г ТОБОЛЬСК   ТЕР ПРОМЗОНА д. 1</v>
      </c>
      <c r="M1285" t="str">
        <f t="shared" si="211"/>
        <v>2019-08-24</v>
      </c>
      <c r="N1285" t="str">
        <f>"ООО СИБУР ТОБОЛЬСК"</f>
        <v>ООО СИБУР ТОБОЛЬСК</v>
      </c>
      <c r="O1285" t="str">
        <f>"626150"</f>
        <v>626150</v>
      </c>
      <c r="P1285" t="str">
        <f t="shared" ref="P1285:P1291" si="213">"ОБЛ ТЮМЕНСКАЯ"</f>
        <v>ОБЛ ТЮМЕНСКАЯ</v>
      </c>
      <c r="Q1285" t="str">
        <f>""</f>
        <v/>
      </c>
      <c r="R1285" t="str">
        <f>"Г ТОБОЛЬСК"</f>
        <v>Г ТОБОЛЬСК</v>
      </c>
      <c r="S1285" t="str">
        <f>""</f>
        <v/>
      </c>
      <c r="T1285" t="str">
        <f>"МКР 4-Й"</f>
        <v>МКР 4-Й</v>
      </c>
      <c r="U1285" s="1" t="str">
        <f>"36/1"</f>
        <v>36/1</v>
      </c>
      <c r="V1285" s="1" t="str">
        <f>""</f>
        <v/>
      </c>
      <c r="W1285" s="1" t="str">
        <f>""</f>
        <v/>
      </c>
      <c r="X1285" s="1" t="str">
        <f>""</f>
        <v/>
      </c>
      <c r="Y1285" s="1" t="str">
        <f>"8"</f>
        <v>8</v>
      </c>
      <c r="Z1285" t="str">
        <f>""</f>
        <v/>
      </c>
      <c r="AA1285" t="str">
        <f>"9199547811"</f>
        <v>9199547811</v>
      </c>
      <c r="AB1285" t="str">
        <f>"9123954888"</f>
        <v>9123954888</v>
      </c>
      <c r="AC1285" t="str">
        <f>"9199547811"</f>
        <v>9199547811</v>
      </c>
      <c r="AD1285" t="str">
        <f>"9123954888"</f>
        <v>9123954888</v>
      </c>
      <c r="AE1285" t="str">
        <f>""</f>
        <v/>
      </c>
    </row>
    <row r="1286" spans="1:31" x14ac:dyDescent="0.45">
      <c r="A1286" t="str">
        <f>"ТРЕТЬЯКОВА АННА АЛЕКСАНДРОВНА"</f>
        <v>ТРЕТЬЯКОВА АННА АЛЕКСАНДРОВНА</v>
      </c>
      <c r="B1286" t="str">
        <f>"1979-09-18"</f>
        <v>1979-09-18</v>
      </c>
      <c r="C1286" t="str">
        <f>"71 01 453416"</f>
        <v>71 01 453416</v>
      </c>
      <c r="D1286" t="str">
        <f>"5484016705346435"</f>
        <v>5484016705346435</v>
      </c>
      <c r="E1286" t="str">
        <f t="shared" si="212"/>
        <v>2021-05-31</v>
      </c>
      <c r="F1286" t="str">
        <f>"+"</f>
        <v>+</v>
      </c>
      <c r="G1286" t="str">
        <f>"+"</f>
        <v>+</v>
      </c>
      <c r="H1286" t="str">
        <f>"40817810216992350890"</f>
        <v>40817810216992350890</v>
      </c>
      <c r="I1286" t="str">
        <f>"8647"</f>
        <v>8647</v>
      </c>
      <c r="J1286" t="str">
        <f>"7770"</f>
        <v>7770</v>
      </c>
      <c r="K1286" t="str">
        <f>"115000.00"</f>
        <v>115000.00</v>
      </c>
      <c r="L1286" t="str">
        <f>"625000 ОБЛ ТЮМЕНСКАЯ   Г ТЮМЕНЬ   УЛ ЮРИЯ СЕМОВСКИХ д. 10"</f>
        <v>625000 ОБЛ ТЮМЕНСКАЯ   Г ТЮМЕНЬ   УЛ ЮРИЯ СЕМОВСКИХ д. 10</v>
      </c>
      <c r="M1286" t="str">
        <f t="shared" si="211"/>
        <v>2019-08-24</v>
      </c>
      <c r="N1286" t="str">
        <f>"ОКБ №1"</f>
        <v>ОКБ №1</v>
      </c>
      <c r="O1286" t="str">
        <f>"626380"</f>
        <v>626380</v>
      </c>
      <c r="P1286" t="str">
        <f t="shared" si="213"/>
        <v>ОБЛ ТЮМЕНСКАЯ</v>
      </c>
      <c r="Q1286" t="str">
        <f>"Р-Н ИСЕТСКИЙ"</f>
        <v>Р-Н ИСЕТСКИЙ</v>
      </c>
      <c r="R1286" t="str">
        <f>""</f>
        <v/>
      </c>
      <c r="S1286" t="str">
        <f>"С ИСЕТСКОЕ"</f>
        <v>С ИСЕТСКОЕ</v>
      </c>
      <c r="T1286" t="str">
        <f>"УЛ КИРОВА"</f>
        <v>УЛ КИРОВА</v>
      </c>
      <c r="U1286" s="1" t="str">
        <f>"44"</f>
        <v>44</v>
      </c>
      <c r="V1286" s="1" t="str">
        <f>""</f>
        <v/>
      </c>
      <c r="W1286" s="1" t="str">
        <f>""</f>
        <v/>
      </c>
      <c r="X1286" s="1" t="str">
        <f>""</f>
        <v/>
      </c>
      <c r="Y1286" s="1" t="str">
        <f>"2"</f>
        <v>2</v>
      </c>
      <c r="Z1286" t="str">
        <f>"3452294052"</f>
        <v>3452294052</v>
      </c>
      <c r="AA1286" t="str">
        <f>"9088694831"</f>
        <v>9088694831</v>
      </c>
      <c r="AB1286" t="str">
        <f>"9829367831"</f>
        <v>9829367831</v>
      </c>
      <c r="AC1286" t="str">
        <f>"9088694831"</f>
        <v>9088694831</v>
      </c>
      <c r="AD1286" t="str">
        <f>"9088694831"</f>
        <v>9088694831</v>
      </c>
      <c r="AE1286" t="str">
        <f>"3452294052"</f>
        <v>3452294052</v>
      </c>
    </row>
    <row r="1287" spans="1:31" x14ac:dyDescent="0.45">
      <c r="A1287" t="str">
        <f>"КОСТЕНКО МАРИНА ВИКТОРОВНА"</f>
        <v>КОСТЕНКО МАРИНА ВИКТОРОВНА</v>
      </c>
      <c r="B1287" t="str">
        <f>"1974-04-14"</f>
        <v>1974-04-14</v>
      </c>
      <c r="C1287" t="str">
        <f>"67 02 828755"</f>
        <v>67 02 828755</v>
      </c>
      <c r="D1287" t="str">
        <f>"4279016729775298"</f>
        <v>4279016729775298</v>
      </c>
      <c r="E1287" t="str">
        <f t="shared" si="212"/>
        <v>2021-05-31</v>
      </c>
      <c r="F1287" t="str">
        <f>"+"</f>
        <v>+</v>
      </c>
      <c r="G1287" t="str">
        <f>"+"</f>
        <v>+</v>
      </c>
      <c r="H1287" t="str">
        <f>"40817810216992100011"</f>
        <v>40817810216992100011</v>
      </c>
      <c r="I1287" t="str">
        <f>"1791"</f>
        <v>1791</v>
      </c>
      <c r="J1287" t="str">
        <f>"0054"</f>
        <v>0054</v>
      </c>
      <c r="K1287" t="str">
        <f>"80000.00"</f>
        <v>80000.00</v>
      </c>
      <c r="L1287" t="str">
        <f>"628000 ОБЛ ТЮМЕНСКАЯ     Г ХАНТЫ-МАНСИЙСК УЛ ЭНГЕЛЬСА д. 14"</f>
        <v>628000 ОБЛ ТЮМЕНСКАЯ     Г ХАНТЫ-МАНСИЙСК УЛ ЭНГЕЛЬСА д. 14</v>
      </c>
      <c r="M1287" t="str">
        <f t="shared" si="211"/>
        <v>2019-08-24</v>
      </c>
      <c r="N1287" t="str">
        <f>"ГОСУДАРСТВЕННЫЙ АРХИВ"</f>
        <v>ГОСУДАРСТВЕННЫЙ АРХИВ</v>
      </c>
      <c r="O1287" t="str">
        <f>"628000"</f>
        <v>628000</v>
      </c>
      <c r="P1287" t="str">
        <f t="shared" si="213"/>
        <v>ОБЛ ТЮМЕНСКАЯ</v>
      </c>
      <c r="Q1287" t="str">
        <f>""</f>
        <v/>
      </c>
      <c r="R1287" t="str">
        <f>""</f>
        <v/>
      </c>
      <c r="S1287" t="str">
        <f>"Г ХАНТЫ-МАНСИЙСК"</f>
        <v>Г ХАНТЫ-МАНСИЙСК</v>
      </c>
      <c r="T1287" t="str">
        <f>"УЛ ГАГАРИНА"</f>
        <v>УЛ ГАГАРИНА</v>
      </c>
      <c r="U1287" s="1" t="str">
        <f>"121"</f>
        <v>121</v>
      </c>
      <c r="V1287" s="1" t="str">
        <f>""</f>
        <v/>
      </c>
      <c r="W1287" s="1" t="str">
        <f>""</f>
        <v/>
      </c>
      <c r="X1287" s="1" t="str">
        <f>""</f>
        <v/>
      </c>
      <c r="Y1287" s="1" t="str">
        <f>"9"</f>
        <v>9</v>
      </c>
      <c r="Z1287" t="str">
        <f>"3467322205"</f>
        <v>3467322205</v>
      </c>
      <c r="AA1287" t="str">
        <f>"9088823890"</f>
        <v>9088823890</v>
      </c>
      <c r="AB1287" t="str">
        <f>"9088823890"</f>
        <v>9088823890</v>
      </c>
      <c r="AC1287" t="str">
        <f>"9088823890"</f>
        <v>9088823890</v>
      </c>
      <c r="AD1287" t="str">
        <f>"9088823890"</f>
        <v>9088823890</v>
      </c>
      <c r="AE1287" t="str">
        <f>"3467322205"</f>
        <v>3467322205</v>
      </c>
    </row>
    <row r="1288" spans="1:31" x14ac:dyDescent="0.45">
      <c r="A1288" t="str">
        <f>"ЛУКЬЯНОВА ВЕРА НИКОЛАЕВНА"</f>
        <v>ЛУКЬЯНОВА ВЕРА НИКОЛАЕВНА</v>
      </c>
      <c r="B1288" t="str">
        <f>"1982-09-23"</f>
        <v>1982-09-23</v>
      </c>
      <c r="C1288" t="str">
        <f>"71 02 787829"</f>
        <v>71 02 787829</v>
      </c>
      <c r="D1288" t="str">
        <f>"5484016703769117"</f>
        <v>5484016703769117</v>
      </c>
      <c r="E1288" t="str">
        <f t="shared" si="212"/>
        <v>2021-05-31</v>
      </c>
      <c r="F1288" t="str">
        <f>"+"</f>
        <v>+</v>
      </c>
      <c r="G1288" t="str">
        <f>"+"</f>
        <v>+</v>
      </c>
      <c r="H1288" t="str">
        <f>"40817810116992403041"</f>
        <v>40817810116992403041</v>
      </c>
      <c r="I1288" t="str">
        <f>"8647"</f>
        <v>8647</v>
      </c>
      <c r="J1288" t="str">
        <f>"7770"</f>
        <v>7770</v>
      </c>
      <c r="K1288" t="str">
        <f>"260000.00"</f>
        <v>260000.00</v>
      </c>
      <c r="L1288" t="str">
        <f>"625000 ОБЛ ТЮМЕНСКАЯ   Г ТЮМЕНЬ   УЛ КОТОВСКОГО д. 55"</f>
        <v>625000 ОБЛ ТЮМЕНСКАЯ   Г ТЮМЕНЬ   УЛ КОТОВСКОГО д. 55</v>
      </c>
      <c r="M1288" t="str">
        <f t="shared" si="211"/>
        <v>2019-08-24</v>
      </c>
      <c r="N1288" t="str">
        <f>"ГБУЗ ТО ОКБ № 1"</f>
        <v>ГБУЗ ТО ОКБ № 1</v>
      </c>
      <c r="O1288" t="str">
        <f>"625000"</f>
        <v>625000</v>
      </c>
      <c r="P1288" t="str">
        <f t="shared" si="213"/>
        <v>ОБЛ ТЮМЕНСКАЯ</v>
      </c>
      <c r="Q1288" t="str">
        <f>""</f>
        <v/>
      </c>
      <c r="R1288" t="str">
        <f>"Г ТЮМЕНЬ"</f>
        <v>Г ТЮМЕНЬ</v>
      </c>
      <c r="S1288" t="str">
        <f>""</f>
        <v/>
      </c>
      <c r="T1288" t="str">
        <f>"УЛ МИХАИЛА СПЕРАНСКОГО"</f>
        <v>УЛ МИХАИЛА СПЕРАНСКОГО</v>
      </c>
      <c r="U1288" s="1" t="str">
        <f>"17"</f>
        <v>17</v>
      </c>
      <c r="V1288" s="1" t="str">
        <f>""</f>
        <v/>
      </c>
      <c r="W1288" s="1" t="str">
        <f>""</f>
        <v/>
      </c>
      <c r="X1288" s="1" t="str">
        <f>""</f>
        <v/>
      </c>
      <c r="Y1288" s="1" t="str">
        <f>"118"</f>
        <v>118</v>
      </c>
      <c r="Z1288" t="str">
        <f>"3452560010"</f>
        <v>3452560010</v>
      </c>
      <c r="AA1288" t="str">
        <f>"9224824269"</f>
        <v>9224824269</v>
      </c>
      <c r="AB1288" t="str">
        <f>"9224824269"</f>
        <v>9224824269</v>
      </c>
      <c r="AC1288" t="str">
        <f>"9224824269"</f>
        <v>9224824269</v>
      </c>
      <c r="AD1288" t="str">
        <f>"9224824269"</f>
        <v>9224824269</v>
      </c>
      <c r="AE1288" t="str">
        <f>"3452560010"</f>
        <v>3452560010</v>
      </c>
    </row>
    <row r="1289" spans="1:31" x14ac:dyDescent="0.45">
      <c r="A1289" t="str">
        <f>"КОГТЕВА АНАСТАСИЯ НИКОЛАЕВНА"</f>
        <v>КОГТЕВА АНАСТАСИЯ НИКОЛАЕВНА</v>
      </c>
      <c r="B1289" t="str">
        <f>"1985-06-06"</f>
        <v>1985-06-06</v>
      </c>
      <c r="C1289" t="str">
        <f>"67 15 480880"</f>
        <v>67 15 480880</v>
      </c>
      <c r="D1289" t="str">
        <f>"5484016703610857"</f>
        <v>5484016703610857</v>
      </c>
      <c r="E1289" t="str">
        <f t="shared" si="212"/>
        <v>2021-05-31</v>
      </c>
      <c r="F1289" t="str">
        <f>"+"</f>
        <v>+</v>
      </c>
      <c r="G1289" t="str">
        <f>"+"</f>
        <v>+</v>
      </c>
      <c r="H1289" t="str">
        <f>"40817810116992403083"</f>
        <v>40817810116992403083</v>
      </c>
      <c r="I1289" t="str">
        <f>"8647"</f>
        <v>8647</v>
      </c>
      <c r="J1289" t="str">
        <f>"7770"</f>
        <v>7770</v>
      </c>
      <c r="K1289" t="str">
        <f>"70000.00"</f>
        <v>70000.00</v>
      </c>
      <c r="L1289" t="str">
        <f>"625000 ОБЛ ТЮМЕНСКАЯ   Г ТЮМЕНЬ   УЛ ЮРИЯ СЕМОВСКИХ д. 10"</f>
        <v>625000 ОБЛ ТЮМЕНСКАЯ   Г ТЮМЕНЬ   УЛ ЮРИЯ СЕМОВСКИХ д. 10</v>
      </c>
      <c r="M1289" t="str">
        <f t="shared" si="211"/>
        <v>2019-08-24</v>
      </c>
      <c r="N1289" t="str">
        <f>"ГБУЗ ОКБ №1"</f>
        <v>ГБУЗ ОКБ №1</v>
      </c>
      <c r="O1289" t="str">
        <f>"628200"</f>
        <v>628200</v>
      </c>
      <c r="P1289" t="str">
        <f t="shared" si="213"/>
        <v>ОБЛ ТЮМЕНСКАЯ</v>
      </c>
      <c r="Q1289" t="str">
        <f>"АО ХАНТЫ-МАНСИЙСКИЙ АВТОНОМНЫЙ ОКРУГ-ЮГРА"</f>
        <v>АО ХАНТЫ-МАНСИЙСКИЙ АВТОНОМНЫЙ ОКРУГ-ЮГРА</v>
      </c>
      <c r="R1289" t="str">
        <f>"Р-Н КОНДИНСКИЙ"</f>
        <v>Р-Н КОНДИНСКИЙ</v>
      </c>
      <c r="S1289" t="str">
        <f>"ПГТ МЕЖДУРЕЧЕНСКИЙ"</f>
        <v>ПГТ МЕЖДУРЕЧЕНСКИЙ</v>
      </c>
      <c r="T1289" t="str">
        <f>"УЛ КОСМОНАВТОВ"</f>
        <v>УЛ КОСМОНАВТОВ</v>
      </c>
      <c r="U1289" s="1" t="str">
        <f>"30"</f>
        <v>30</v>
      </c>
      <c r="V1289" s="1" t="str">
        <f>""</f>
        <v/>
      </c>
      <c r="W1289" s="1" t="str">
        <f>""</f>
        <v/>
      </c>
      <c r="X1289" s="1" t="str">
        <f>""</f>
        <v/>
      </c>
      <c r="Y1289" s="1" t="str">
        <f>"2"</f>
        <v>2</v>
      </c>
      <c r="Z1289" t="str">
        <f>"3452294451"</f>
        <v>3452294451</v>
      </c>
      <c r="AA1289" t="str">
        <f>"9224282901"</f>
        <v>9224282901</v>
      </c>
      <c r="AB1289" t="str">
        <f>"9224282901"</f>
        <v>9224282901</v>
      </c>
      <c r="AC1289" t="str">
        <f>"9224282901"</f>
        <v>9224282901</v>
      </c>
      <c r="AD1289" t="str">
        <f>"9224282901"</f>
        <v>9224282901</v>
      </c>
      <c r="AE1289" t="str">
        <f>"3452294451"</f>
        <v>3452294451</v>
      </c>
    </row>
    <row r="1290" spans="1:31" x14ac:dyDescent="0.45">
      <c r="A1290" t="str">
        <f>"ВАЛИУЛЛИНА ИЛСИЯР МУДАРИСОВНА"</f>
        <v>ВАЛИУЛЛИНА ИЛСИЯР МУДАРИСОВНА</v>
      </c>
      <c r="B1290" t="str">
        <f>"1982-07-15"</f>
        <v>1982-07-15</v>
      </c>
      <c r="C1290" t="str">
        <f>"67 07 751296"</f>
        <v>67 07 751296</v>
      </c>
      <c r="D1290" t="str">
        <f>"5484016702484205"</f>
        <v>5484016702484205</v>
      </c>
      <c r="E1290" t="str">
        <f t="shared" si="212"/>
        <v>2021-05-31</v>
      </c>
      <c r="F1290" t="str">
        <f>"Q"</f>
        <v>Q</v>
      </c>
      <c r="G1290" t="str">
        <f>"Q"</f>
        <v>Q</v>
      </c>
      <c r="H1290" t="str">
        <f>"40817810867720693276"</f>
        <v>40817810867720693276</v>
      </c>
      <c r="I1290" t="str">
        <f>"5940"</f>
        <v>5940</v>
      </c>
      <c r="J1290" t="str">
        <f>"7770"</f>
        <v>7770</v>
      </c>
      <c r="K1290" t="str">
        <f>"0.00"</f>
        <v>0.00</v>
      </c>
      <c r="L1290" t="str">
        <f>"628400 ОБЛ ТЮМЕНСКАЯ   Г ЛЯНТОР   МКР 7 д. 69"</f>
        <v>628400 ОБЛ ТЮМЕНСКАЯ   Г ЛЯНТОР   МКР 7 д. 69</v>
      </c>
      <c r="M1290" t="str">
        <f t="shared" si="211"/>
        <v>2019-08-24</v>
      </c>
      <c r="N1290" t="str">
        <f>"ДС РОДНИЧОК"</f>
        <v>ДС РОДНИЧОК</v>
      </c>
      <c r="O1290" t="str">
        <f>"628400"</f>
        <v>628400</v>
      </c>
      <c r="P1290" t="str">
        <f t="shared" si="213"/>
        <v>ОБЛ ТЮМЕНСКАЯ</v>
      </c>
      <c r="Q1290" t="str">
        <f>"Р-Н СУРГУТСКИЙ"</f>
        <v>Р-Н СУРГУТСКИЙ</v>
      </c>
      <c r="R1290" t="str">
        <f>"Г ЛЯНТОР"</f>
        <v>Г ЛЯНТОР</v>
      </c>
      <c r="S1290" t="str">
        <f>""</f>
        <v/>
      </c>
      <c r="T1290" t="str">
        <f>"МКР 10"</f>
        <v>МКР 10</v>
      </c>
      <c r="U1290" s="1" t="str">
        <f>"1"</f>
        <v>1</v>
      </c>
      <c r="V1290" s="1" t="str">
        <f>""</f>
        <v/>
      </c>
      <c r="W1290" s="1" t="str">
        <f>""</f>
        <v/>
      </c>
      <c r="X1290" s="1" t="str">
        <f>""</f>
        <v/>
      </c>
      <c r="Y1290" s="1" t="str">
        <f>"16"</f>
        <v>16</v>
      </c>
      <c r="Z1290" t="str">
        <f>"3462314108"</f>
        <v>3462314108</v>
      </c>
      <c r="AA1290" t="str">
        <f>"9821378992"</f>
        <v>9821378992</v>
      </c>
      <c r="AB1290" t="str">
        <f>"9821378992"</f>
        <v>9821378992</v>
      </c>
      <c r="AC1290" t="str">
        <f>"9821378992"</f>
        <v>9821378992</v>
      </c>
      <c r="AD1290" t="str">
        <f>"9821378992"</f>
        <v>9821378992</v>
      </c>
      <c r="AE1290" t="str">
        <f>"3462314108"</f>
        <v>3462314108</v>
      </c>
    </row>
    <row r="1291" spans="1:31" x14ac:dyDescent="0.45">
      <c r="A1291" t="str">
        <f>"ДУЛЬСКАЯ ЕЛИЗАВЕТА ДМИТРИЕВНА"</f>
        <v>ДУЛЬСКАЯ ЕЛИЗАВЕТА ДМИТРИЕВНА</v>
      </c>
      <c r="B1291" t="str">
        <f>"1994-09-13"</f>
        <v>1994-09-13</v>
      </c>
      <c r="C1291" t="str">
        <f>"71 14 099163"</f>
        <v>71 14 099163</v>
      </c>
      <c r="D1291" t="str">
        <f>"5484016706887163"</f>
        <v>5484016706887163</v>
      </c>
      <c r="E1291" t="str">
        <f t="shared" si="212"/>
        <v>2021-05-31</v>
      </c>
      <c r="F1291" t="str">
        <f>"+"</f>
        <v>+</v>
      </c>
      <c r="G1291" t="str">
        <f>"+"</f>
        <v>+</v>
      </c>
      <c r="H1291" t="str">
        <f>"40817810416992403330"</f>
        <v>40817810416992403330</v>
      </c>
      <c r="I1291" t="str">
        <f>"8647"</f>
        <v>8647</v>
      </c>
      <c r="J1291" t="str">
        <f>"0288"</f>
        <v>0288</v>
      </c>
      <c r="K1291" t="str">
        <f>"100000.00"</f>
        <v>100000.00</v>
      </c>
      <c r="L1291" t="str">
        <f>"626150 ОБЛ ТЮМЕНСКАЯ   Г ТОБОЛЬСК   УЛ ПРОМЗОНА д. 1"</f>
        <v>626150 ОБЛ ТЮМЕНСКАЯ   Г ТОБОЛЬСК   УЛ ПРОМЗОНА д. 1</v>
      </c>
      <c r="M1291" t="str">
        <f t="shared" si="211"/>
        <v>2019-08-24</v>
      </c>
      <c r="N1291" t="str">
        <f>"ПАО СИБУР ХОЛДИНГ"</f>
        <v>ПАО СИБУР ХОЛДИНГ</v>
      </c>
      <c r="O1291" t="str">
        <f>"626150"</f>
        <v>626150</v>
      </c>
      <c r="P1291" t="str">
        <f t="shared" si="213"/>
        <v>ОБЛ ТЮМЕНСКАЯ</v>
      </c>
      <c r="Q1291" t="str">
        <f>""</f>
        <v/>
      </c>
      <c r="R1291" t="str">
        <f>"Г ТОБОЛЬСК"</f>
        <v>Г ТОБОЛЬСК</v>
      </c>
      <c r="S1291" t="str">
        <f>""</f>
        <v/>
      </c>
      <c r="T1291" t="str">
        <f>"МКР 4"</f>
        <v>МКР 4</v>
      </c>
      <c r="U1291" s="1" t="str">
        <f>"2"</f>
        <v>2</v>
      </c>
      <c r="V1291" s="1" t="str">
        <f>""</f>
        <v/>
      </c>
      <c r="W1291" s="1" t="str">
        <f>""</f>
        <v/>
      </c>
      <c r="X1291" s="1" t="str">
        <f>""</f>
        <v/>
      </c>
      <c r="Y1291" s="1" t="str">
        <f>"54"</f>
        <v>54</v>
      </c>
      <c r="Z1291" t="str">
        <f>""</f>
        <v/>
      </c>
      <c r="AA1291" t="str">
        <f>"9829325614"</f>
        <v>9829325614</v>
      </c>
      <c r="AB1291" t="str">
        <f>"9821339122"</f>
        <v>9821339122</v>
      </c>
      <c r="AC1291" t="str">
        <f>"9829325614"</f>
        <v>9829325614</v>
      </c>
      <c r="AD1291" t="str">
        <f>"9821339122"</f>
        <v>9821339122</v>
      </c>
      <c r="AE1291" t="str">
        <f>""</f>
        <v/>
      </c>
    </row>
    <row r="1292" spans="1:31" x14ac:dyDescent="0.45">
      <c r="A1292" t="str">
        <f>"БЕЛОНОСОВ АЛЕКСАНДР АНДРЕЕВИЧ"</f>
        <v>БЕЛОНОСОВ АЛЕКСАНДР АНДРЕЕВИЧ</v>
      </c>
      <c r="B1292" t="str">
        <f>"1980-02-21"</f>
        <v>1980-02-21</v>
      </c>
      <c r="C1292" t="str">
        <f>"65 03 554747"</f>
        <v>65 03 554747</v>
      </c>
      <c r="D1292" t="str">
        <f>"4854630416097866"</f>
        <v>4854630416097866</v>
      </c>
      <c r="E1292" t="str">
        <f>"2020-02-29"</f>
        <v>2020-02-29</v>
      </c>
      <c r="F1292" t="str">
        <f>"Q"</f>
        <v>Q</v>
      </c>
      <c r="G1292" t="str">
        <f>"Q"</f>
        <v>Q</v>
      </c>
      <c r="H1292" t="str">
        <f>"40817810216991391300"</f>
        <v>40817810216991391300</v>
      </c>
      <c r="I1292" t="str">
        <f>"7003"</f>
        <v>7003</v>
      </c>
      <c r="J1292" t="str">
        <f>"0737"</f>
        <v>0737</v>
      </c>
      <c r="K1292" t="str">
        <f>"0.00"</f>
        <v>0.00</v>
      </c>
      <c r="L1292" t="str">
        <f>"620000 ОБЛ СВЕРДЛОВСКАЯ   Г НИЖНИЙ ТАГИЛ   УЛ ВОСТОЧНОЕ ШОССЕ д. 28"</f>
        <v>620000 ОБЛ СВЕРДЛОВСКАЯ   Г НИЖНИЙ ТАГИЛ   УЛ ВОСТОЧНОЕ ШОССЕ д. 28</v>
      </c>
      <c r="M1292" t="str">
        <f t="shared" si="211"/>
        <v>2019-08-24</v>
      </c>
      <c r="N1292" t="str">
        <f>"УВЗ"</f>
        <v>УВЗ</v>
      </c>
      <c r="O1292" t="str">
        <f>"620000"</f>
        <v>620000</v>
      </c>
      <c r="P1292" t="str">
        <f>"ОБЛ СВЕРДЛОВСКАЯ"</f>
        <v>ОБЛ СВЕРДЛОВСКАЯ</v>
      </c>
      <c r="Q1292" t="str">
        <f>""</f>
        <v/>
      </c>
      <c r="R1292" t="str">
        <f>""</f>
        <v/>
      </c>
      <c r="S1292" t="str">
        <f>"Г НИЖНИЙ ТАГИЛ"</f>
        <v>Г НИЖНИЙ ТАГИЛ</v>
      </c>
      <c r="T1292" t="str">
        <f>"ПР-КТ ЛЕНИНГРАДСКИЙ"</f>
        <v>ПР-КТ ЛЕНИНГРАДСКИЙ</v>
      </c>
      <c r="U1292" s="1" t="str">
        <f>"44"</f>
        <v>44</v>
      </c>
      <c r="V1292" s="1" t="str">
        <f>""</f>
        <v/>
      </c>
      <c r="W1292" s="1" t="str">
        <f>""</f>
        <v/>
      </c>
      <c r="X1292" s="1" t="str">
        <f>""</f>
        <v/>
      </c>
      <c r="Y1292" s="1" t="str">
        <f>"6"</f>
        <v>6</v>
      </c>
      <c r="Z1292" t="str">
        <f>"+7 (3435) 344015"</f>
        <v>+7 (3435) 344015</v>
      </c>
      <c r="AA1292" t="str">
        <f>"+7 (3435) 310009"</f>
        <v>+7 (3435) 310009</v>
      </c>
      <c r="AB1292" t="str">
        <f>"+7 (950) 6590011"</f>
        <v>+7 (950) 6590011</v>
      </c>
      <c r="AC1292" t="str">
        <f>"3435310009"</f>
        <v>3435310009</v>
      </c>
      <c r="AD1292" t="str">
        <f>"9126458783"</f>
        <v>9126458783</v>
      </c>
      <c r="AE1292" t="str">
        <f>"3435344015"</f>
        <v>3435344015</v>
      </c>
    </row>
    <row r="1293" spans="1:31" x14ac:dyDescent="0.45">
      <c r="A1293" t="str">
        <f>"ЛАТЫПОВА ТАТЬЯНА ВЛАДИМИРОВНА"</f>
        <v>ЛАТЫПОВА ТАТЬЯНА ВЛАДИМИРОВНА</v>
      </c>
      <c r="B1293" t="str">
        <f>"1984-05-16"</f>
        <v>1984-05-16</v>
      </c>
      <c r="C1293" t="str">
        <f>"65 09 836784"</f>
        <v>65 09 836784</v>
      </c>
      <c r="D1293" t="str">
        <f>"4854630301639475"</f>
        <v>4854630301639475</v>
      </c>
      <c r="E1293" t="str">
        <f>"2020-04-30"</f>
        <v>2020-04-30</v>
      </c>
      <c r="F1293" t="str">
        <f>"+"</f>
        <v>+</v>
      </c>
      <c r="G1293" t="str">
        <f>"+"</f>
        <v>+</v>
      </c>
      <c r="H1293" t="str">
        <f>"40817810716991391318"</f>
        <v>40817810716991391318</v>
      </c>
      <c r="I1293" t="str">
        <f>"7003"</f>
        <v>7003</v>
      </c>
      <c r="J1293" t="str">
        <f>"0453"</f>
        <v>0453</v>
      </c>
      <c r="K1293" t="str">
        <f>"11000.00"</f>
        <v>11000.00</v>
      </c>
      <c r="L1293" t="str">
        <f>"620000 ОБЛ СВЕРДЛОВСКАЯ   Г ЕКАТЕРИНБУРГ   УЛ АМУНДСЕНА д. 63"</f>
        <v>620000 ОБЛ СВЕРДЛОВСКАЯ   Г ЕКАТЕРИНБУРГ   УЛ АМУНДСЕНА д. 63</v>
      </c>
      <c r="M1293" t="str">
        <f t="shared" si="211"/>
        <v>2019-08-24</v>
      </c>
      <c r="N1293" t="str">
        <f>"ООО ЕСЕНИЯ"</f>
        <v>ООО ЕСЕНИЯ</v>
      </c>
      <c r="O1293" t="str">
        <f>"620000"</f>
        <v>620000</v>
      </c>
      <c r="P1293" t="str">
        <f>"ОБЛ СВЕРДЛОВСКАЯ"</f>
        <v>ОБЛ СВЕРДЛОВСКАЯ</v>
      </c>
      <c r="Q1293" t="str">
        <f>""</f>
        <v/>
      </c>
      <c r="R1293" t="str">
        <f>"Г ЕКАТЕРИНБУРГ"</f>
        <v>Г ЕКАТЕРИНБУРГ</v>
      </c>
      <c r="S1293" t="str">
        <f>""</f>
        <v/>
      </c>
      <c r="T1293" t="str">
        <f>"УЛ САВВЫ БЕЛЫХ"</f>
        <v>УЛ САВВЫ БЕЛЫХ</v>
      </c>
      <c r="U1293" s="1" t="str">
        <f>"18"</f>
        <v>18</v>
      </c>
      <c r="V1293" s="1" t="str">
        <f>""</f>
        <v/>
      </c>
      <c r="W1293" s="1" t="str">
        <f>""</f>
        <v/>
      </c>
      <c r="X1293" s="1" t="str">
        <f>""</f>
        <v/>
      </c>
      <c r="Y1293" s="1" t="str">
        <f>"79"</f>
        <v>79</v>
      </c>
      <c r="Z1293" t="str">
        <f>""</f>
        <v/>
      </c>
      <c r="AA1293" t="str">
        <f>"9920097052"</f>
        <v>9920097052</v>
      </c>
      <c r="AB1293" t="str">
        <f>"9920097052"</f>
        <v>9920097052</v>
      </c>
      <c r="AC1293" t="str">
        <f>"9920097052"</f>
        <v>9920097052</v>
      </c>
      <c r="AD1293" t="str">
        <f>"9920097052"</f>
        <v>9920097052</v>
      </c>
      <c r="AE1293" t="str">
        <f>""</f>
        <v/>
      </c>
    </row>
    <row r="1294" spans="1:31" x14ac:dyDescent="0.45">
      <c r="A1294" t="str">
        <f>"ТАРХОВ ВАЛЕРИЙ ИВАНОВИЧ"</f>
        <v>ТАРХОВ ВАЛЕРИЙ ИВАНОВИЧ</v>
      </c>
      <c r="B1294" t="str">
        <f>"1957-10-06"</f>
        <v>1957-10-06</v>
      </c>
      <c r="C1294" t="str">
        <f>"65 04 106015"</f>
        <v>65 04 106015</v>
      </c>
      <c r="D1294" t="str">
        <f>"5313100846488657"</f>
        <v>5313100846488657</v>
      </c>
      <c r="E1294" t="str">
        <f>"2020-10-31"</f>
        <v>2020-10-31</v>
      </c>
      <c r="F1294" t="str">
        <f>"+"</f>
        <v>+</v>
      </c>
      <c r="G1294" t="str">
        <f>"+"</f>
        <v>+</v>
      </c>
      <c r="H1294" t="str">
        <f>"40817810616991391324"</f>
        <v>40817810616991391324</v>
      </c>
      <c r="I1294" t="str">
        <f>"7003"</f>
        <v>7003</v>
      </c>
      <c r="J1294" t="str">
        <f>"0732"</f>
        <v>0732</v>
      </c>
      <c r="K1294" t="str">
        <f>"15000.00"</f>
        <v>15000.00</v>
      </c>
      <c r="L1294" t="str">
        <f>"620000 ОБЛ СВЕРДЛОВСКАЯ   Г НИЖНИЙ ТАГИЛ   УЛ КРАСНОАРМЕЙСКАЯ д. 111 кв. 39"</f>
        <v>620000 ОБЛ СВЕРДЛОВСКАЯ   Г НИЖНИЙ ТАГИЛ   УЛ КРАСНОАРМЕЙСКАЯ д. 111 кв. 39</v>
      </c>
      <c r="M1294" t="str">
        <f t="shared" si="211"/>
        <v>2019-08-24</v>
      </c>
      <c r="N1294" t="str">
        <f>"ПЕНСИОНЕР"</f>
        <v>ПЕНСИОНЕР</v>
      </c>
      <c r="O1294" t="str">
        <f>"620000"</f>
        <v>620000</v>
      </c>
      <c r="P1294" t="str">
        <f>"ОБЛ СВЕРДЛОВСКАЯ"</f>
        <v>ОБЛ СВЕРДЛОВСКАЯ</v>
      </c>
      <c r="Q1294" t="str">
        <f>""</f>
        <v/>
      </c>
      <c r="R1294" t="str">
        <f>"Г НИЖНИЙ ТАГИЛ"</f>
        <v>Г НИЖНИЙ ТАГИЛ</v>
      </c>
      <c r="S1294" t="str">
        <f>""</f>
        <v/>
      </c>
      <c r="T1294" t="str">
        <f>"УЛ КРАСНОАРМЕЙСКАЯ"</f>
        <v>УЛ КРАСНОАРМЕЙСКАЯ</v>
      </c>
      <c r="U1294" s="1" t="str">
        <f>"111"</f>
        <v>111</v>
      </c>
      <c r="V1294" s="1" t="str">
        <f>""</f>
        <v/>
      </c>
      <c r="W1294" s="1" t="str">
        <f>""</f>
        <v/>
      </c>
      <c r="X1294" s="1" t="str">
        <f>""</f>
        <v/>
      </c>
      <c r="Y1294" s="1" t="str">
        <f>"39"</f>
        <v>39</v>
      </c>
      <c r="Z1294" t="str">
        <f>""</f>
        <v/>
      </c>
      <c r="AA1294" t="str">
        <f>"3435488932"</f>
        <v>3435488932</v>
      </c>
      <c r="AB1294" t="str">
        <f>"9521310859"</f>
        <v>9521310859</v>
      </c>
      <c r="AC1294" t="str">
        <f>"9521310859"</f>
        <v>9521310859</v>
      </c>
      <c r="AD1294" t="str">
        <f>"9521310859"</f>
        <v>9521310859</v>
      </c>
      <c r="AE1294" t="str">
        <f>""</f>
        <v/>
      </c>
    </row>
    <row r="1295" spans="1:31" x14ac:dyDescent="0.45">
      <c r="A1295" t="str">
        <f>"ХУСАНОВ ЭДУАРД САЛИМЖАНОВИЧ"</f>
        <v>ХУСАНОВ ЭДУАРД САЛИМЖАНОВИЧ</v>
      </c>
      <c r="B1295" t="str">
        <f>"1984-04-05"</f>
        <v>1984-04-05</v>
      </c>
      <c r="C1295" t="str">
        <f>"75 07 088127"</f>
        <v>75 07 088127</v>
      </c>
      <c r="D1295" t="str">
        <f>"4854630421779441"</f>
        <v>4854630421779441</v>
      </c>
      <c r="E1295" t="str">
        <f>"2020-11-30"</f>
        <v>2020-11-30</v>
      </c>
      <c r="F1295" t="str">
        <f>"+"</f>
        <v>+</v>
      </c>
      <c r="G1295" t="str">
        <f>"W"</f>
        <v>W</v>
      </c>
      <c r="H1295" t="str">
        <f>"40817810716991391347"</f>
        <v>40817810716991391347</v>
      </c>
      <c r="I1295" t="str">
        <f>"8597"</f>
        <v>8597</v>
      </c>
      <c r="J1295" t="str">
        <f>"0326"</f>
        <v>0326</v>
      </c>
      <c r="K1295" t="str">
        <f>"45000.00"</f>
        <v>45000.00</v>
      </c>
      <c r="L1295" t="str">
        <f>"456082 ОБЛ ЧЕЛЯБИНСКАЯ   Г ТРЕХГОРНЫЙ   УЛ ЗАРЕЧНАЯ д. 13"</f>
        <v>456082 ОБЛ ЧЕЛЯБИНСКАЯ   Г ТРЕХГОРНЫЙ   УЛ ЗАРЕЧНАЯ д. 13</v>
      </c>
      <c r="M1295" t="str">
        <f t="shared" si="211"/>
        <v>2019-08-24</v>
      </c>
      <c r="N1295" t="str">
        <f>"ФГУП ПСЗ"</f>
        <v>ФГУП ПСЗ</v>
      </c>
      <c r="O1295" t="str">
        <f>"456080"</f>
        <v>456080</v>
      </c>
      <c r="P1295" t="str">
        <f>"ОБЛ ЧЕЛЯБИНСКАЯ"</f>
        <v>ОБЛ ЧЕЛЯБИНСКАЯ</v>
      </c>
      <c r="Q1295" t="str">
        <f>""</f>
        <v/>
      </c>
      <c r="R1295" t="str">
        <f>"Г ТРЕХГОРНЫЙ"</f>
        <v>Г ТРЕХГОРНЫЙ</v>
      </c>
      <c r="S1295" t="str">
        <f>""</f>
        <v/>
      </c>
      <c r="T1295" t="str">
        <f>"УЛ КАЛИНИНА"</f>
        <v>УЛ КАЛИНИНА</v>
      </c>
      <c r="U1295" s="1" t="str">
        <f>"12"</f>
        <v>12</v>
      </c>
      <c r="V1295" s="1" t="str">
        <f>""</f>
        <v/>
      </c>
      <c r="W1295" s="1" t="str">
        <f>""</f>
        <v/>
      </c>
      <c r="X1295" s="1" t="str">
        <f>""</f>
        <v/>
      </c>
      <c r="Y1295" s="1" t="str">
        <f>"28"</f>
        <v>28</v>
      </c>
      <c r="Z1295" t="str">
        <f>""</f>
        <v/>
      </c>
      <c r="AA1295" t="str">
        <f>"9193125628"</f>
        <v>9193125628</v>
      </c>
      <c r="AB1295" t="str">
        <f>"9193125628"</f>
        <v>9193125628</v>
      </c>
      <c r="AC1295" t="str">
        <f>"9193125628"</f>
        <v>9193125628</v>
      </c>
      <c r="AD1295" t="str">
        <f>"9193125628"</f>
        <v>9193125628</v>
      </c>
      <c r="AE1295" t="str">
        <f>""</f>
        <v/>
      </c>
    </row>
    <row r="1296" spans="1:31" x14ac:dyDescent="0.45">
      <c r="A1296" t="str">
        <f>"ШАКИРОВА ЮЛИЯ ФАЙЗУЛЛОВНА"</f>
        <v>ШАКИРОВА ЮЛИЯ ФАЙЗУЛЛОВНА</v>
      </c>
      <c r="B1296" t="str">
        <f>"1976-11-11"</f>
        <v>1976-11-11</v>
      </c>
      <c r="C1296" t="str">
        <f>"75 00 255664"</f>
        <v>75 00 255664</v>
      </c>
      <c r="D1296" t="str">
        <f>"4854630320160990"</f>
        <v>4854630320160990</v>
      </c>
      <c r="E1296" t="str">
        <f>"2020-11-30"</f>
        <v>2020-11-30</v>
      </c>
      <c r="F1296" t="str">
        <f>"Q"</f>
        <v>Q</v>
      </c>
      <c r="G1296" t="str">
        <f>"Q"</f>
        <v>Q</v>
      </c>
      <c r="H1296" t="str">
        <f>"40817810016991391348"</f>
        <v>40817810016991391348</v>
      </c>
      <c r="I1296" t="str">
        <f>"8597"</f>
        <v>8597</v>
      </c>
      <c r="J1296" t="str">
        <f>"0420"</f>
        <v>0420</v>
      </c>
      <c r="K1296" t="str">
        <f>"0.00"</f>
        <v>0.00</v>
      </c>
      <c r="L1296" t="str">
        <f>"456730 ОБЛ ЧЕЛЯБИНСКАЯ Р-Н КУНАШАКСКИЙ   С КУНАШАК УЛ ЮЖНАЯ д. 26"</f>
        <v>456730 ОБЛ ЧЕЛЯБИНСКАЯ Р-Н КУНАШАКСКИЙ   С КУНАШАК УЛ ЮЖНАЯ д. 26</v>
      </c>
      <c r="M1296" t="str">
        <f t="shared" si="211"/>
        <v>2019-08-24</v>
      </c>
      <c r="N1296" t="str">
        <f>"ИП ШАКИРОВА"</f>
        <v>ИП ШАКИРОВА</v>
      </c>
      <c r="O1296" t="str">
        <f>"456730"</f>
        <v>456730</v>
      </c>
      <c r="P1296" t="str">
        <f>"ОБЛ ЧЕЛЯБИНСКАЯ"</f>
        <v>ОБЛ ЧЕЛЯБИНСКАЯ</v>
      </c>
      <c r="Q1296" t="str">
        <f>"Р-Н КУНАШАКСКИЙ"</f>
        <v>Р-Н КУНАШАКСКИЙ</v>
      </c>
      <c r="R1296" t="str">
        <f>""</f>
        <v/>
      </c>
      <c r="S1296" t="str">
        <f>"С КУНАШАК"</f>
        <v>С КУНАШАК</v>
      </c>
      <c r="T1296" t="str">
        <f>"УЛ ЮЖНАЯ"</f>
        <v>УЛ ЮЖНАЯ</v>
      </c>
      <c r="U1296" s="1" t="str">
        <f>"26"</f>
        <v>26</v>
      </c>
      <c r="V1296" s="1" t="str">
        <f>""</f>
        <v/>
      </c>
      <c r="W1296" s="1" t="str">
        <f>""</f>
        <v/>
      </c>
      <c r="X1296" s="1" t="str">
        <f>""</f>
        <v/>
      </c>
      <c r="Y1296" s="1" t="str">
        <f>""</f>
        <v/>
      </c>
      <c r="Z1296" t="str">
        <f>""</f>
        <v/>
      </c>
      <c r="AA1296" t="str">
        <f>"9517761793"</f>
        <v>9517761793</v>
      </c>
      <c r="AB1296" t="str">
        <f>"9517761793"</f>
        <v>9517761793</v>
      </c>
      <c r="AC1296" t="str">
        <f>"9507395731"</f>
        <v>9507395731</v>
      </c>
      <c r="AD1296" t="str">
        <f>"9517761793"</f>
        <v>9517761793</v>
      </c>
      <c r="AE1296" t="str">
        <f>""</f>
        <v/>
      </c>
    </row>
    <row r="1297" spans="1:31" x14ac:dyDescent="0.45">
      <c r="A1297" t="str">
        <f>"АВДЮШЕВ ДЕНИС ОЛЕГОВИЧ"</f>
        <v>АВДЮШЕВ ДЕНИС ОЛЕГОВИЧ</v>
      </c>
      <c r="B1297" t="str">
        <f>"1993-01-24"</f>
        <v>1993-01-24</v>
      </c>
      <c r="C1297" t="str">
        <f>"37 13 548477"</f>
        <v>37 13 548477</v>
      </c>
      <c r="D1297" t="str">
        <f>"4279011616973643"</f>
        <v>4279011616973643</v>
      </c>
      <c r="E1297" t="str">
        <f t="shared" ref="E1297:E1314" si="214">"2021-05-31"</f>
        <v>2021-05-31</v>
      </c>
      <c r="F1297" t="str">
        <f t="shared" ref="F1297:G1302" si="215">"+"</f>
        <v>+</v>
      </c>
      <c r="G1297" t="str">
        <f t="shared" si="215"/>
        <v>+</v>
      </c>
      <c r="H1297" t="str">
        <f>"40817810216991391368"</f>
        <v>40817810216991391368</v>
      </c>
      <c r="I1297" t="str">
        <f>"8597"</f>
        <v>8597</v>
      </c>
      <c r="J1297" t="str">
        <f>"0240"</f>
        <v>0240</v>
      </c>
      <c r="K1297" t="str">
        <f>"30000.00"</f>
        <v>30000.00</v>
      </c>
      <c r="L1297" t="str">
        <f>"454000 ОБЛ ЧЕЛЯБИНСКАЯ   Г ЧЕЛЯБИНСК   УЛ СОНИ КРИВОЙ д. 47А"</f>
        <v>454000 ОБЛ ЧЕЛЯБИНСКАЯ   Г ЧЕЛЯБИНСК   УЛ СОНИ КРИВОЙ д. 47А</v>
      </c>
      <c r="M1297" t="str">
        <f t="shared" si="211"/>
        <v>2019-08-24</v>
      </c>
      <c r="N1297" t="str">
        <f>"ИФНС РОССИИ ПО ЦЕНТРАЛЬНОМУ РАЙОНУ ГОР. ЧЕЛЯБИНСКА"</f>
        <v>ИФНС РОССИИ ПО ЦЕНТРАЛЬНОМУ РАЙОНУ ГОР. ЧЕЛЯБИНСКА</v>
      </c>
      <c r="O1297" t="str">
        <f>"641000"</f>
        <v>641000</v>
      </c>
      <c r="P1297" t="str">
        <f>"ОБЛ КУРГАНСКАЯ"</f>
        <v>ОБЛ КУРГАНСКАЯ</v>
      </c>
      <c r="Q1297" t="str">
        <f>""</f>
        <v/>
      </c>
      <c r="R1297" t="str">
        <f>"Г ШАДРИНСК"</f>
        <v>Г ШАДРИНСК</v>
      </c>
      <c r="S1297" t="str">
        <f>""</f>
        <v/>
      </c>
      <c r="T1297" t="str">
        <f>"УЛ СВЕРДЛОВА"</f>
        <v>УЛ СВЕРДЛОВА</v>
      </c>
      <c r="U1297" s="1" t="str">
        <f>"106"</f>
        <v>106</v>
      </c>
      <c r="V1297" s="1" t="str">
        <f>""</f>
        <v/>
      </c>
      <c r="W1297" s="1" t="str">
        <f>""</f>
        <v/>
      </c>
      <c r="X1297" s="1" t="str">
        <f>""</f>
        <v/>
      </c>
      <c r="Y1297" s="1" t="str">
        <f>"5"</f>
        <v>5</v>
      </c>
      <c r="Z1297" t="str">
        <f>""</f>
        <v/>
      </c>
      <c r="AA1297" t="str">
        <f>"9995812696"</f>
        <v>9995812696</v>
      </c>
      <c r="AB1297" t="str">
        <f>"9995812696"</f>
        <v>9995812696</v>
      </c>
      <c r="AC1297" t="str">
        <f>"9995812696"</f>
        <v>9995812696</v>
      </c>
      <c r="AD1297" t="str">
        <f>"9995812696"</f>
        <v>9995812696</v>
      </c>
      <c r="AE1297" t="str">
        <f>""</f>
        <v/>
      </c>
    </row>
    <row r="1298" spans="1:31" x14ac:dyDescent="0.45">
      <c r="A1298" t="str">
        <f>"МАРЯСОВ РУСЛАН АЗАМАТОВИЧ"</f>
        <v>МАРЯСОВ РУСЛАН АЗАМАТОВИЧ</v>
      </c>
      <c r="B1298" t="str">
        <f>"1995-08-17"</f>
        <v>1995-08-17</v>
      </c>
      <c r="C1298" t="str">
        <f>"80 15 167482"</f>
        <v>80 15 167482</v>
      </c>
      <c r="D1298" t="str">
        <f>"4279011647807232"</f>
        <v>4279011647807232</v>
      </c>
      <c r="E1298" t="str">
        <f t="shared" si="214"/>
        <v>2021-05-31</v>
      </c>
      <c r="F1298" t="str">
        <f t="shared" si="215"/>
        <v>+</v>
      </c>
      <c r="G1298" t="str">
        <f t="shared" si="215"/>
        <v>+</v>
      </c>
      <c r="H1298" t="str">
        <f>"40817810516991391369"</f>
        <v>40817810516991391369</v>
      </c>
      <c r="I1298" t="str">
        <f>"8598"</f>
        <v>8598</v>
      </c>
      <c r="J1298" t="str">
        <f>"0155"</f>
        <v>0155</v>
      </c>
      <c r="K1298" t="str">
        <f>"150000.00"</f>
        <v>150000.00</v>
      </c>
      <c r="L1298" t="str">
        <f>"450000 РЕСП БАШКОРТОСТАН   Г УФА   УЛ КИРОВА д. 52"</f>
        <v>450000 РЕСП БАШКОРТОСТАН   Г УФА   УЛ КИРОВА д. 52</v>
      </c>
      <c r="M1298" t="str">
        <f t="shared" si="211"/>
        <v>2019-08-24</v>
      </c>
      <c r="N1298" t="str">
        <f>"ООО IT.БИЗНЕС-РЕШЕНИЯ"</f>
        <v>ООО IT.БИЗНЕС-РЕШЕНИЯ</v>
      </c>
      <c r="O1298" t="str">
        <f>"450000"</f>
        <v>450000</v>
      </c>
      <c r="P1298" t="str">
        <f>"РЕСП БАШКОРТОСТАН"</f>
        <v>РЕСП БАШКОРТОСТАН</v>
      </c>
      <c r="Q1298" t="str">
        <f>""</f>
        <v/>
      </c>
      <c r="R1298" t="str">
        <f>"Г МЕЖГОРЬЕ"</f>
        <v>Г МЕЖГОРЬЕ</v>
      </c>
      <c r="S1298" t="str">
        <f>""</f>
        <v/>
      </c>
      <c r="T1298" t="str">
        <f>"УЛ КОМСОМОЛЬСКАЯ"</f>
        <v>УЛ КОМСОМОЛЬСКАЯ</v>
      </c>
      <c r="U1298" s="1" t="str">
        <f>"39"</f>
        <v>39</v>
      </c>
      <c r="V1298" s="1" t="str">
        <f>""</f>
        <v/>
      </c>
      <c r="W1298" s="1" t="str">
        <f>""</f>
        <v/>
      </c>
      <c r="X1298" s="1" t="str">
        <f>""</f>
        <v/>
      </c>
      <c r="Y1298" s="1" t="str">
        <f>"36"</f>
        <v>36</v>
      </c>
      <c r="Z1298" t="str">
        <f>""</f>
        <v/>
      </c>
      <c r="AA1298" t="str">
        <f>"9613583843"</f>
        <v>9613583843</v>
      </c>
      <c r="AB1298" t="str">
        <f>"9613583843"</f>
        <v>9613583843</v>
      </c>
      <c r="AC1298" t="str">
        <f>"9613583843"</f>
        <v>9613583843</v>
      </c>
      <c r="AD1298" t="str">
        <f>"9613583843"</f>
        <v>9613583843</v>
      </c>
      <c r="AE1298" t="str">
        <f>""</f>
        <v/>
      </c>
    </row>
    <row r="1299" spans="1:31" x14ac:dyDescent="0.45">
      <c r="A1299" t="str">
        <f>"ЗАМАНОВА ИНДИРА ИЛЬМИРОВНА"</f>
        <v>ЗАМАНОВА ИНДИРА ИЛЬМИРОВНА</v>
      </c>
      <c r="B1299" t="str">
        <f>"1989-05-29"</f>
        <v>1989-05-29</v>
      </c>
      <c r="C1299" t="str">
        <f>"80 09 836334"</f>
        <v>80 09 836334</v>
      </c>
      <c r="D1299" t="str">
        <f>"4279011604614415"</f>
        <v>4279011604614415</v>
      </c>
      <c r="E1299" t="str">
        <f t="shared" si="214"/>
        <v>2021-05-31</v>
      </c>
      <c r="F1299" t="str">
        <f t="shared" si="215"/>
        <v>+</v>
      </c>
      <c r="G1299" t="str">
        <f t="shared" si="215"/>
        <v>+</v>
      </c>
      <c r="H1299" t="str">
        <f>"40817810216991391371"</f>
        <v>40817810216991391371</v>
      </c>
      <c r="I1299" t="str">
        <f>"8598"</f>
        <v>8598</v>
      </c>
      <c r="J1299" t="str">
        <f>"0155"</f>
        <v>0155</v>
      </c>
      <c r="K1299" t="str">
        <f>"10000.00"</f>
        <v>10000.00</v>
      </c>
      <c r="L1299" t="str">
        <f>"450000 РЕСП БАШКОРТОСТАН   Г УФА   УЛ ЧЕРНЫШЕВСКОГО д. 84"</f>
        <v>450000 РЕСП БАШКОРТОСТАН   Г УФА   УЛ ЧЕРНЫШЕВСКОГО д. 84</v>
      </c>
      <c r="M1299" t="str">
        <f t="shared" si="211"/>
        <v>2019-08-24</v>
      </c>
      <c r="N1299" t="str">
        <f>"ПАО БАЛТИНВЕСТБАНК"</f>
        <v>ПАО БАЛТИНВЕСТБАНК</v>
      </c>
      <c r="O1299" t="str">
        <f>"450000"</f>
        <v>450000</v>
      </c>
      <c r="P1299" t="str">
        <f>"РЕСП БАШКОРТОСТАН"</f>
        <v>РЕСП БАШКОРТОСТАН</v>
      </c>
      <c r="Q1299" t="str">
        <f>"Р-Н КАРМАСКАЛИНСКИЙ"</f>
        <v>Р-Н КАРМАСКАЛИНСКИЙ</v>
      </c>
      <c r="R1299" t="str">
        <f>""</f>
        <v/>
      </c>
      <c r="S1299" t="str">
        <f>"Д КАБАКОВО"</f>
        <v>Д КАБАКОВО</v>
      </c>
      <c r="T1299" t="str">
        <f>"УЛ ЦЕНТРАЛЬНАЯ"</f>
        <v>УЛ ЦЕНТРАЛЬНАЯ</v>
      </c>
      <c r="U1299" s="1" t="str">
        <f>"4"</f>
        <v>4</v>
      </c>
      <c r="V1299" s="1" t="str">
        <f>""</f>
        <v/>
      </c>
      <c r="W1299" s="1" t="str">
        <f>""</f>
        <v/>
      </c>
      <c r="X1299" s="1" t="str">
        <f>""</f>
        <v/>
      </c>
      <c r="Y1299" s="1" t="str">
        <f>""</f>
        <v/>
      </c>
      <c r="Z1299" t="str">
        <f>""</f>
        <v/>
      </c>
      <c r="AA1299" t="str">
        <f>"9603887887"</f>
        <v>9603887887</v>
      </c>
      <c r="AB1299" t="str">
        <f>"9603887887"</f>
        <v>9603887887</v>
      </c>
      <c r="AC1299" t="str">
        <f>"9603887887"</f>
        <v>9603887887</v>
      </c>
      <c r="AD1299" t="str">
        <f>"9603887887"</f>
        <v>9603887887</v>
      </c>
      <c r="AE1299" t="str">
        <f>""</f>
        <v/>
      </c>
    </row>
    <row r="1300" spans="1:31" x14ac:dyDescent="0.45">
      <c r="A1300" t="str">
        <f>"МАСЯГУТОВА ЮЛИЯ РАВИЛЕВНА"</f>
        <v>МАСЯГУТОВА ЮЛИЯ РАВИЛЕВНА</v>
      </c>
      <c r="B1300" t="str">
        <f>"1989-05-18"</f>
        <v>1989-05-18</v>
      </c>
      <c r="C1300" t="str">
        <f>"80 09 785599"</f>
        <v>80 09 785599</v>
      </c>
      <c r="D1300" t="str">
        <f>"4279011675893112"</f>
        <v>4279011675893112</v>
      </c>
      <c r="E1300" t="str">
        <f t="shared" si="214"/>
        <v>2021-05-31</v>
      </c>
      <c r="F1300" t="str">
        <f t="shared" si="215"/>
        <v>+</v>
      </c>
      <c r="G1300" t="str">
        <f t="shared" si="215"/>
        <v>+</v>
      </c>
      <c r="H1300" t="str">
        <f>"40817810716991391457"</f>
        <v>40817810716991391457</v>
      </c>
      <c r="I1300" t="str">
        <f>"8598"</f>
        <v>8598</v>
      </c>
      <c r="J1300" t="str">
        <f>"0198"</f>
        <v>0198</v>
      </c>
      <c r="K1300" t="str">
        <f>"20000.00"</f>
        <v>20000.00</v>
      </c>
      <c r="L1300" t="str">
        <f>"450000 РЕСП БАШКОРТОСТАН   Г УФА   УЛ КОММУНИСТИЧЕСКАЯ д. 78"</f>
        <v>450000 РЕСП БАШКОРТОСТАН   Г УФА   УЛ КОММУНИСТИЧЕСКАЯ д. 78</v>
      </c>
      <c r="M1300" t="str">
        <f t="shared" si="211"/>
        <v>2019-08-24</v>
      </c>
      <c r="N1300" t="str">
        <f>"ООО СТАХОВАЯ КОМПАНИЯ ВЕРНА"</f>
        <v>ООО СТАХОВАЯ КОМПАНИЯ ВЕРНА</v>
      </c>
      <c r="O1300" t="str">
        <f>"450000"</f>
        <v>450000</v>
      </c>
      <c r="P1300" t="str">
        <f>"РЕСП БАШКОРТОСТАН"</f>
        <v>РЕСП БАШКОРТОСТАН</v>
      </c>
      <c r="Q1300" t="str">
        <f>"Р-Н ХАЙБУЛЛИ НСКИЙ"</f>
        <v>Р-Н ХАЙБУЛЛИ НСКИЙ</v>
      </c>
      <c r="R1300" t="str">
        <f>""</f>
        <v/>
      </c>
      <c r="S1300" t="str">
        <f>"С АКЪЯР"</f>
        <v>С АКЪЯР</v>
      </c>
      <c r="T1300" t="str">
        <f>"УЛ ЮБИЛЕЙНАЯ"</f>
        <v>УЛ ЮБИЛЕЙНАЯ</v>
      </c>
      <c r="U1300" s="1" t="str">
        <f>"12"</f>
        <v>12</v>
      </c>
      <c r="V1300" s="1" t="str">
        <f>""</f>
        <v/>
      </c>
      <c r="W1300" s="1" t="str">
        <f>""</f>
        <v/>
      </c>
      <c r="X1300" s="1" t="str">
        <f>""</f>
        <v/>
      </c>
      <c r="Y1300" s="1" t="str">
        <f>"12"</f>
        <v>12</v>
      </c>
      <c r="Z1300" t="str">
        <f>"9093477030"</f>
        <v>9093477030</v>
      </c>
      <c r="AA1300" t="str">
        <f>"9093477030"</f>
        <v>9093477030</v>
      </c>
      <c r="AB1300" t="str">
        <f>"9659322296"</f>
        <v>9659322296</v>
      </c>
      <c r="AC1300" t="str">
        <f>"9093477030"</f>
        <v>9093477030</v>
      </c>
      <c r="AD1300" t="str">
        <f>"9659322296"</f>
        <v>9659322296</v>
      </c>
      <c r="AE1300" t="str">
        <f>"9093477030"</f>
        <v>9093477030</v>
      </c>
    </row>
    <row r="1301" spans="1:31" x14ac:dyDescent="0.45">
      <c r="A1301" t="str">
        <f>"ГОЛОФЕЕВА МАРИНА ВЛАДИМИРОВНА"</f>
        <v>ГОЛОФЕЕВА МАРИНА ВЛАДИМИРОВНА</v>
      </c>
      <c r="B1301" t="str">
        <f>"1973-09-19"</f>
        <v>1973-09-19</v>
      </c>
      <c r="C1301" t="str">
        <f>"65 18 753160"</f>
        <v>65 18 753160</v>
      </c>
      <c r="D1301" t="str">
        <f>"4279011650337903"</f>
        <v>4279011650337903</v>
      </c>
      <c r="E1301" t="str">
        <f t="shared" si="214"/>
        <v>2021-05-31</v>
      </c>
      <c r="F1301" t="str">
        <f t="shared" si="215"/>
        <v>+</v>
      </c>
      <c r="G1301" t="str">
        <f t="shared" si="215"/>
        <v>+</v>
      </c>
      <c r="H1301" t="str">
        <f>"40817810916991391451"</f>
        <v>40817810916991391451</v>
      </c>
      <c r="I1301" t="str">
        <f>"7003"</f>
        <v>7003</v>
      </c>
      <c r="J1301" t="str">
        <f>"0418"</f>
        <v>0418</v>
      </c>
      <c r="K1301" t="str">
        <f>"125000.00"</f>
        <v>125000.00</v>
      </c>
      <c r="L1301" t="str">
        <f>"620000 ОБЛ СВЕРДЛОВСКАЯ   Г ЕКАТЕРИНБУРГ   УЛ НОВОСИБИРСКАЯ д. 2"</f>
        <v>620000 ОБЛ СВЕРДЛОВСКАЯ   Г ЕКАТЕРИНБУРГ   УЛ НОВОСИБИРСКАЯ д. 2</v>
      </c>
      <c r="M1301" t="str">
        <f t="shared" si="211"/>
        <v>2019-08-24</v>
      </c>
      <c r="N1301" t="str">
        <f>"ООО АВТОПЛЮС"</f>
        <v>ООО АВТОПЛЮС</v>
      </c>
      <c r="O1301" t="str">
        <f>"620000"</f>
        <v>620000</v>
      </c>
      <c r="P1301" t="str">
        <f>"ОБЛ СВЕРДЛОВСКАЯ"</f>
        <v>ОБЛ СВЕРДЛОВСКАЯ</v>
      </c>
      <c r="Q1301" t="str">
        <f>""</f>
        <v/>
      </c>
      <c r="R1301" t="str">
        <f>"Г ЕКАТЕРИНБУРГ"</f>
        <v>Г ЕКАТЕРИНБУРГ</v>
      </c>
      <c r="S1301" t="str">
        <f>""</f>
        <v/>
      </c>
      <c r="T1301" t="str">
        <f>"УЛ ШЕЙНКМАНА"</f>
        <v>УЛ ШЕЙНКМАНА</v>
      </c>
      <c r="U1301" s="1" t="str">
        <f>"102"</f>
        <v>102</v>
      </c>
      <c r="V1301" s="1" t="str">
        <f>""</f>
        <v/>
      </c>
      <c r="W1301" s="1" t="str">
        <f>""</f>
        <v/>
      </c>
      <c r="X1301" s="1" t="str">
        <f>""</f>
        <v/>
      </c>
      <c r="Y1301" s="1" t="str">
        <f>"1"</f>
        <v>1</v>
      </c>
      <c r="Z1301" t="str">
        <f>""</f>
        <v/>
      </c>
      <c r="AA1301" t="str">
        <f>"9222933311"</f>
        <v>9222933311</v>
      </c>
      <c r="AB1301" t="str">
        <f>"9222933311"</f>
        <v>9222933311</v>
      </c>
      <c r="AC1301" t="str">
        <f>"9222933311"</f>
        <v>9222933311</v>
      </c>
      <c r="AD1301" t="str">
        <f>"9222933311"</f>
        <v>9222933311</v>
      </c>
      <c r="AE1301" t="str">
        <f>""</f>
        <v/>
      </c>
    </row>
    <row r="1302" spans="1:31" x14ac:dyDescent="0.45">
      <c r="A1302" t="str">
        <f>"АФАНАСЬЕВА НАТАЛЬЯ ПЕТРОВНА"</f>
        <v>АФАНАСЬЕВА НАТАЛЬЯ ПЕТРОВНА</v>
      </c>
      <c r="B1302" t="str">
        <f>"1980-03-04"</f>
        <v>1980-03-04</v>
      </c>
      <c r="C1302" t="str">
        <f>"65 03 990404"</f>
        <v>65 03 990404</v>
      </c>
      <c r="D1302" t="str">
        <f>"4279011652977102"</f>
        <v>4279011652977102</v>
      </c>
      <c r="E1302" t="str">
        <f t="shared" si="214"/>
        <v>2021-05-31</v>
      </c>
      <c r="F1302" t="str">
        <f t="shared" si="215"/>
        <v>+</v>
      </c>
      <c r="G1302" t="str">
        <f t="shared" si="215"/>
        <v>+</v>
      </c>
      <c r="H1302" t="str">
        <f>"40817810016991391458"</f>
        <v>40817810016991391458</v>
      </c>
      <c r="I1302" t="str">
        <f>"7003"</f>
        <v>7003</v>
      </c>
      <c r="J1302" t="str">
        <f>"0588"</f>
        <v>0588</v>
      </c>
      <c r="K1302" t="str">
        <f>"36000.00"</f>
        <v>36000.00</v>
      </c>
      <c r="L1302" t="str">
        <f>"620000 ОБЛ СВЕРДЛОВСКАЯ   Г КАМЕНСК-УРАЛЬСКИЙ   УЛ КАМЕНСКАЯ д. 90"</f>
        <v>620000 ОБЛ СВЕРДЛОВСКАЯ   Г КАМЕНСК-УРАЛЬСКИЙ   УЛ КАМЕНСКАЯ д. 90</v>
      </c>
      <c r="M1302" t="str">
        <f t="shared" si="211"/>
        <v>2019-08-24</v>
      </c>
      <c r="N1302" t="str">
        <f>"ООО УРАЛ ОИЛ"</f>
        <v>ООО УРАЛ ОИЛ</v>
      </c>
      <c r="O1302" t="str">
        <f>"620000"</f>
        <v>620000</v>
      </c>
      <c r="P1302" t="str">
        <f>"ОБЛ СВЕРДЛОВСКАЯ"</f>
        <v>ОБЛ СВЕРДЛОВСКАЯ</v>
      </c>
      <c r="Q1302" t="str">
        <f>""</f>
        <v/>
      </c>
      <c r="R1302" t="str">
        <f>"Г КАМЕНСК-УРАЛЬСКИЙ"</f>
        <v>Г КАМЕНСК-УРАЛЬСКИЙ</v>
      </c>
      <c r="S1302" t="str">
        <f>""</f>
        <v/>
      </c>
      <c r="T1302" t="str">
        <f>"УЛ СТРОИТЕЛЕЙ"</f>
        <v>УЛ СТРОИТЕЛЕЙ</v>
      </c>
      <c r="U1302" s="1" t="str">
        <f>"22"</f>
        <v>22</v>
      </c>
      <c r="V1302" s="1" t="str">
        <f>""</f>
        <v/>
      </c>
      <c r="W1302" s="1" t="str">
        <f>""</f>
        <v/>
      </c>
      <c r="X1302" s="1" t="str">
        <f>""</f>
        <v/>
      </c>
      <c r="Y1302" s="1" t="str">
        <f>"4"</f>
        <v>4</v>
      </c>
      <c r="Z1302" t="str">
        <f>""</f>
        <v/>
      </c>
      <c r="AA1302" t="str">
        <f>"9126026429"</f>
        <v>9126026429</v>
      </c>
      <c r="AB1302" t="str">
        <f>"9126944582"</f>
        <v>9126944582</v>
      </c>
      <c r="AC1302" t="str">
        <f>"9126026429"</f>
        <v>9126026429</v>
      </c>
      <c r="AD1302" t="str">
        <f>"9126944582"</f>
        <v>9126944582</v>
      </c>
      <c r="AE1302" t="str">
        <f>""</f>
        <v/>
      </c>
    </row>
    <row r="1303" spans="1:31" x14ac:dyDescent="0.45">
      <c r="A1303" t="str">
        <f>"НОВИКОВА ВИКТОРИЯ ВЯЧЕСЛАВОВНА"</f>
        <v>НОВИКОВА ВИКТОРИЯ ВЯЧЕСЛАВОВНА</v>
      </c>
      <c r="B1303" t="str">
        <f>"1973-01-07"</f>
        <v>1973-01-07</v>
      </c>
      <c r="C1303" t="str">
        <f>"75 18 040637"</f>
        <v>75 18 040637</v>
      </c>
      <c r="D1303" t="str">
        <f>"4279011660894695"</f>
        <v>4279011660894695</v>
      </c>
      <c r="E1303" t="str">
        <f t="shared" si="214"/>
        <v>2021-05-31</v>
      </c>
      <c r="F1303" t="str">
        <f>"Q"</f>
        <v>Q</v>
      </c>
      <c r="G1303" t="str">
        <f>"Q"</f>
        <v>Q</v>
      </c>
      <c r="H1303" t="str">
        <f>"40817810716991391460"</f>
        <v>40817810716991391460</v>
      </c>
      <c r="I1303" t="str">
        <f>"8597"</f>
        <v>8597</v>
      </c>
      <c r="J1303" t="str">
        <f>"0384"</f>
        <v>0384</v>
      </c>
      <c r="K1303" t="str">
        <f>"0.00"</f>
        <v>0.00</v>
      </c>
      <c r="L1303" t="str">
        <f>"454000 ОБЛ ЧЕЛЯБИНСКАЯ   Г КАРТАЛЫ   УЛ КАРТАШЕВА д. 16"</f>
        <v>454000 ОБЛ ЧЕЛЯБИНСКАЯ   Г КАРТАЛЫ   УЛ КАРТАШЕВА д. 16</v>
      </c>
      <c r="M1303" t="str">
        <f t="shared" si="211"/>
        <v>2019-08-24</v>
      </c>
      <c r="N1303" t="str">
        <f>"КАРТАЛИНСКИЕ РАЙОННЫЕ ЭЛЕКТРОСЕТИ"</f>
        <v>КАРТАЛИНСКИЕ РАЙОННЫЕ ЭЛЕКТРОСЕТИ</v>
      </c>
      <c r="O1303" t="str">
        <f>"454000"</f>
        <v>454000</v>
      </c>
      <c r="P1303" t="str">
        <f>"ОБЛ ЧЕЛЯБИНСКАЯ"</f>
        <v>ОБЛ ЧЕЛЯБИНСКАЯ</v>
      </c>
      <c r="Q1303" t="str">
        <f>""</f>
        <v/>
      </c>
      <c r="R1303" t="str">
        <f>"Г КАРТАЛЫ"</f>
        <v>Г КАРТАЛЫ</v>
      </c>
      <c r="S1303" t="str">
        <f>""</f>
        <v/>
      </c>
      <c r="T1303" t="str">
        <f>"УЛ ПРОЛЕТАРСКАЯ"</f>
        <v>УЛ ПРОЛЕТАРСКАЯ</v>
      </c>
      <c r="U1303" s="1" t="str">
        <f>"134А"</f>
        <v>134А</v>
      </c>
      <c r="V1303" s="1" t="str">
        <f>""</f>
        <v/>
      </c>
      <c r="W1303" s="1" t="str">
        <f>""</f>
        <v/>
      </c>
      <c r="X1303" s="1" t="str">
        <f>""</f>
        <v/>
      </c>
      <c r="Y1303" s="1" t="str">
        <f>""</f>
        <v/>
      </c>
      <c r="Z1303" t="str">
        <f>""</f>
        <v/>
      </c>
      <c r="AA1303" t="str">
        <f>"9517808131"</f>
        <v>9517808131</v>
      </c>
      <c r="AB1303" t="str">
        <f>"9517808131"</f>
        <v>9517808131</v>
      </c>
      <c r="AC1303" t="str">
        <f>"9517808131"</f>
        <v>9517808131</v>
      </c>
      <c r="AD1303" t="str">
        <f>"9517808131"</f>
        <v>9517808131</v>
      </c>
      <c r="AE1303" t="str">
        <f>""</f>
        <v/>
      </c>
    </row>
    <row r="1304" spans="1:31" x14ac:dyDescent="0.45">
      <c r="A1304" t="str">
        <f>"АКСЮКОВА ЮЛИЯ ВЛАДИМИРОВНА"</f>
        <v>АКСЮКОВА ЮЛИЯ ВЛАДИМИРОВНА</v>
      </c>
      <c r="B1304" t="str">
        <f>"1977-04-01"</f>
        <v>1977-04-01</v>
      </c>
      <c r="C1304" t="str">
        <f>"65 03 305799"</f>
        <v>65 03 305799</v>
      </c>
      <c r="D1304" t="str">
        <f>"4279011645626204"</f>
        <v>4279011645626204</v>
      </c>
      <c r="E1304" t="str">
        <f t="shared" si="214"/>
        <v>2021-05-31</v>
      </c>
      <c r="F1304" t="str">
        <f t="shared" ref="F1304:G1319" si="216">"+"</f>
        <v>+</v>
      </c>
      <c r="G1304" t="str">
        <f t="shared" si="216"/>
        <v>+</v>
      </c>
      <c r="H1304" t="str">
        <f>"40817810316991391462"</f>
        <v>40817810316991391462</v>
      </c>
      <c r="I1304" t="str">
        <f>"7003"</f>
        <v>7003</v>
      </c>
      <c r="J1304" t="str">
        <f>"0211"</f>
        <v>0211</v>
      </c>
      <c r="K1304" t="str">
        <f>"190000.00"</f>
        <v>190000.00</v>
      </c>
      <c r="L1304" t="str">
        <f>"620000 ОБЛ СВЕРДЛОВСКАЯ   Г ЕКАТЕРИНБУРГ   УЛ РАДИЩЕВА д. 41 офис 61"</f>
        <v>620000 ОБЛ СВЕРДЛОВСКАЯ   Г ЕКАТЕРИНБУРГ   УЛ РАДИЩЕВА д. 41 офис 61</v>
      </c>
      <c r="M1304" t="str">
        <f t="shared" si="211"/>
        <v>2019-08-24</v>
      </c>
      <c r="N1304" t="str">
        <f>"ООО СКАНДИНАВСКИЕ СИСТЕМЫ"</f>
        <v>ООО СКАНДИНАВСКИЕ СИСТЕМЫ</v>
      </c>
      <c r="O1304" t="str">
        <f>"620000"</f>
        <v>620000</v>
      </c>
      <c r="P1304" t="str">
        <f>"ОБЛ СВЕРДЛОВСКАЯ"</f>
        <v>ОБЛ СВЕРДЛОВСКАЯ</v>
      </c>
      <c r="Q1304" t="str">
        <f>""</f>
        <v/>
      </c>
      <c r="R1304" t="str">
        <f>"Г ЕКАТЕРИНБУРГ"</f>
        <v>Г ЕКАТЕРИНБУРГ</v>
      </c>
      <c r="S1304" t="str">
        <f>""</f>
        <v/>
      </c>
      <c r="T1304" t="str">
        <f>"УЛ ЮЖНОГОРСКАЯ"</f>
        <v>УЛ ЮЖНОГОРСКАЯ</v>
      </c>
      <c r="U1304" s="1" t="str">
        <f>"7"</f>
        <v>7</v>
      </c>
      <c r="V1304" s="1" t="str">
        <f>""</f>
        <v/>
      </c>
      <c r="W1304" s="1" t="str">
        <f>""</f>
        <v/>
      </c>
      <c r="X1304" s="1" t="str">
        <f>""</f>
        <v/>
      </c>
      <c r="Y1304" s="1" t="str">
        <f>"145"</f>
        <v>145</v>
      </c>
      <c r="Z1304" t="str">
        <f>""</f>
        <v/>
      </c>
      <c r="AA1304" t="str">
        <f>"9122299123"</f>
        <v>9122299123</v>
      </c>
      <c r="AB1304" t="str">
        <f>"9028740587"</f>
        <v>9028740587</v>
      </c>
      <c r="AC1304" t="str">
        <f>"9122299123"</f>
        <v>9122299123</v>
      </c>
      <c r="AD1304" t="str">
        <f>"9028740587"</f>
        <v>9028740587</v>
      </c>
      <c r="AE1304" t="str">
        <f>""</f>
        <v/>
      </c>
    </row>
    <row r="1305" spans="1:31" x14ac:dyDescent="0.45">
      <c r="A1305" t="str">
        <f>"КОРНИЛОВ ИГОРЬ ВАЛЕРЬЕВИЧ"</f>
        <v>КОРНИЛОВ ИГОРЬ ВАЛЕРЬЕВИЧ</v>
      </c>
      <c r="B1305" t="str">
        <f>"1991-02-07"</f>
        <v>1991-02-07</v>
      </c>
      <c r="C1305" t="str">
        <f>"80 10 148223"</f>
        <v>80 10 148223</v>
      </c>
      <c r="D1305" t="str">
        <f>"4279011632848605"</f>
        <v>4279011632848605</v>
      </c>
      <c r="E1305" t="str">
        <f t="shared" si="214"/>
        <v>2021-05-31</v>
      </c>
      <c r="F1305" t="str">
        <f t="shared" si="216"/>
        <v>+</v>
      </c>
      <c r="G1305" t="str">
        <f t="shared" si="216"/>
        <v>+</v>
      </c>
      <c r="H1305" t="str">
        <f>"40817810216991391465"</f>
        <v>40817810216991391465</v>
      </c>
      <c r="I1305" t="str">
        <f>"8598"</f>
        <v>8598</v>
      </c>
      <c r="J1305" t="str">
        <f>"0533"</f>
        <v>0533</v>
      </c>
      <c r="K1305" t="str">
        <f>"58000.00"</f>
        <v>58000.00</v>
      </c>
      <c r="L1305" t="str">
        <f>"450000 РЕСП БАШКОРТОСТАН     Г БИРСК УЛ КОЛЬЦЕВАЯ д. 1"</f>
        <v>450000 РЕСП БАШКОРТОСТАН     Г БИРСК УЛ КОЛЬЦЕВАЯ д. 1</v>
      </c>
      <c r="M1305" t="str">
        <f t="shared" si="211"/>
        <v>2019-08-24</v>
      </c>
      <c r="N1305" t="str">
        <f>"ООО ЭЛЕКТРИЧЕСКИЕ СЕТИ"</f>
        <v>ООО ЭЛЕКТРИЧЕСКИЕ СЕТИ</v>
      </c>
      <c r="O1305" t="str">
        <f>"450000"</f>
        <v>450000</v>
      </c>
      <c r="P1305" t="str">
        <f>"РЕСП БАШКОРТОСТАН"</f>
        <v>РЕСП БАШКОРТОСТАН</v>
      </c>
      <c r="Q1305" t="str">
        <f>""</f>
        <v/>
      </c>
      <c r="R1305" t="str">
        <f>"Г БИРСК"</f>
        <v>Г БИРСК</v>
      </c>
      <c r="S1305" t="str">
        <f>""</f>
        <v/>
      </c>
      <c r="T1305" t="str">
        <f>"УЛ МИРА"</f>
        <v>УЛ МИРА</v>
      </c>
      <c r="U1305" s="1" t="str">
        <f>"118"</f>
        <v>118</v>
      </c>
      <c r="V1305" s="1" t="str">
        <f>""</f>
        <v/>
      </c>
      <c r="W1305" s="1" t="str">
        <f>""</f>
        <v/>
      </c>
      <c r="X1305" s="1" t="str">
        <f>""</f>
        <v/>
      </c>
      <c r="Y1305" s="1" t="str">
        <f>"15"</f>
        <v>15</v>
      </c>
      <c r="Z1305" t="str">
        <f>""</f>
        <v/>
      </c>
      <c r="AA1305" t="str">
        <f>"9093463837"</f>
        <v>9093463837</v>
      </c>
      <c r="AB1305" t="str">
        <f>"9093463837"</f>
        <v>9093463837</v>
      </c>
      <c r="AC1305" t="str">
        <f>"9093463837"</f>
        <v>9093463837</v>
      </c>
      <c r="AD1305" t="str">
        <f>"9093463837"</f>
        <v>9093463837</v>
      </c>
      <c r="AE1305" t="str">
        <f>""</f>
        <v/>
      </c>
    </row>
    <row r="1306" spans="1:31" x14ac:dyDescent="0.45">
      <c r="A1306" t="str">
        <f>"МУЛЮКБАЕВА АННА БОРИСОВНА"</f>
        <v>МУЛЮКБАЕВА АННА БОРИСОВНА</v>
      </c>
      <c r="B1306" t="str">
        <f>"1985-04-09"</f>
        <v>1985-04-09</v>
      </c>
      <c r="C1306" t="str">
        <f>"65 15 014756"</f>
        <v>65 15 014756</v>
      </c>
      <c r="D1306" t="str">
        <f>"4279011622007543"</f>
        <v>4279011622007543</v>
      </c>
      <c r="E1306" t="str">
        <f t="shared" si="214"/>
        <v>2021-05-31</v>
      </c>
      <c r="F1306" t="str">
        <f t="shared" si="216"/>
        <v>+</v>
      </c>
      <c r="G1306" t="str">
        <f t="shared" si="216"/>
        <v>+</v>
      </c>
      <c r="H1306" t="str">
        <f>"40817810216991391591"</f>
        <v>40817810216991391591</v>
      </c>
      <c r="I1306" t="str">
        <f>"7003"</f>
        <v>7003</v>
      </c>
      <c r="J1306" t="str">
        <f>"0294"</f>
        <v>0294</v>
      </c>
      <c r="K1306" t="str">
        <f>"16000.00"</f>
        <v>16000.00</v>
      </c>
      <c r="L1306" t="str">
        <f>"620000 ОБЛ СВЕРДЛОВСКАЯ   Г ЕКАТЕРИНБУРГ   УЛ МИРА д. 44 стр. А офис 5"</f>
        <v>620000 ОБЛ СВЕРДЛОВСКАЯ   Г ЕКАТЕРИНБУРГ   УЛ МИРА д. 44 стр. А офис 5</v>
      </c>
      <c r="M1306" t="str">
        <f t="shared" si="211"/>
        <v>2019-08-24</v>
      </c>
      <c r="N1306" t="str">
        <f>"ИП МАКАРОВ"</f>
        <v>ИП МАКАРОВ</v>
      </c>
      <c r="O1306" t="str">
        <f>"216400"</f>
        <v>216400</v>
      </c>
      <c r="P1306" t="str">
        <f>"ОБЛ СМОЛЕНСКАЯ"</f>
        <v>ОБЛ СМОЛЕНСКАЯ</v>
      </c>
      <c r="Q1306" t="str">
        <f>""</f>
        <v/>
      </c>
      <c r="R1306" t="str">
        <f>"Г ДЕСНОГОРСК"</f>
        <v>Г ДЕСНОГОРСК</v>
      </c>
      <c r="S1306" t="str">
        <f>""</f>
        <v/>
      </c>
      <c r="T1306" t="str">
        <f>"УЛ МКР 2"</f>
        <v>УЛ МКР 2</v>
      </c>
      <c r="U1306" s="1" t="str">
        <f>"2"</f>
        <v>2</v>
      </c>
      <c r="V1306" s="1" t="str">
        <f>""</f>
        <v/>
      </c>
      <c r="W1306" s="1" t="str">
        <f>""</f>
        <v/>
      </c>
      <c r="X1306" s="1" t="str">
        <f>""</f>
        <v/>
      </c>
      <c r="Y1306" s="1" t="str">
        <f>"2"</f>
        <v>2</v>
      </c>
      <c r="Z1306" t="str">
        <f>"3433003125"</f>
        <v>3433003125</v>
      </c>
      <c r="AA1306" t="str">
        <f>"9292179218"</f>
        <v>9292179218</v>
      </c>
      <c r="AB1306" t="str">
        <f>"9097009991"</f>
        <v>9097009991</v>
      </c>
      <c r="AC1306" t="str">
        <f>"9292179218"</f>
        <v>9292179218</v>
      </c>
      <c r="AD1306" t="str">
        <f>"9097009991"</f>
        <v>9097009991</v>
      </c>
      <c r="AE1306" t="str">
        <f>""</f>
        <v/>
      </c>
    </row>
    <row r="1307" spans="1:31" x14ac:dyDescent="0.45">
      <c r="A1307" t="str">
        <f>"ЛОВЫГИНА АНАСТАСИЯ АЛЕКСАНДРОВНА"</f>
        <v>ЛОВЫГИНА АНАСТАСИЯ АЛЕКСАНДРОВНА</v>
      </c>
      <c r="B1307" t="str">
        <f>"1991-12-26"</f>
        <v>1991-12-26</v>
      </c>
      <c r="C1307" t="str">
        <f>"65 17 471045"</f>
        <v>65 17 471045</v>
      </c>
      <c r="D1307" t="str">
        <f>"4279011653511009"</f>
        <v>4279011653511009</v>
      </c>
      <c r="E1307" t="str">
        <f t="shared" si="214"/>
        <v>2021-05-31</v>
      </c>
      <c r="F1307" t="str">
        <f t="shared" si="216"/>
        <v>+</v>
      </c>
      <c r="G1307" t="str">
        <f>"W"</f>
        <v>W</v>
      </c>
      <c r="H1307" t="str">
        <f>"40817810716991391606"</f>
        <v>40817810716991391606</v>
      </c>
      <c r="I1307" t="str">
        <f>"7003"</f>
        <v>7003</v>
      </c>
      <c r="J1307" t="str">
        <f>"0628"</f>
        <v>0628</v>
      </c>
      <c r="K1307" t="str">
        <f>"88000.00"</f>
        <v>88000.00</v>
      </c>
      <c r="L1307" t="str">
        <f>"624285 ОБЛ СВЕРДЛОВСКАЯ     П РЕФТИНСКИЙ УЛ ПРОМЗОНА д. 1"</f>
        <v>624285 ОБЛ СВЕРДЛОВСКАЯ     П РЕФТИНСКИЙ УЛ ПРОМЗОНА д. 1</v>
      </c>
      <c r="M1307" t="str">
        <f t="shared" si="211"/>
        <v>2019-08-24</v>
      </c>
      <c r="N1307" t="str">
        <f>"ФГУП ВЕДОМСТВЕННАЯ ОХРАНА"</f>
        <v>ФГУП ВЕДОМСТВЕННАЯ ОХРАНА</v>
      </c>
      <c r="O1307" t="str">
        <f>"624285"</f>
        <v>624285</v>
      </c>
      <c r="P1307" t="str">
        <f>"ОБЛ СВЕРДЛОВСКАЯ"</f>
        <v>ОБЛ СВЕРДЛОВСКАЯ</v>
      </c>
      <c r="Q1307" t="str">
        <f>""</f>
        <v/>
      </c>
      <c r="R1307" t="str">
        <f>""</f>
        <v/>
      </c>
      <c r="S1307" t="str">
        <f>"П РЕФТИНСКИЙ"</f>
        <v>П РЕФТИНСКИЙ</v>
      </c>
      <c r="T1307" t="str">
        <f>"УЛ ЭНЕРГОСТРОИТЕЛЕЙ"</f>
        <v>УЛ ЭНЕРГОСТРОИТЕЛЕЙ</v>
      </c>
      <c r="U1307" s="1" t="str">
        <f>"15"</f>
        <v>15</v>
      </c>
      <c r="V1307" s="1" t="str">
        <f>""</f>
        <v/>
      </c>
      <c r="W1307" s="1" t="str">
        <f>""</f>
        <v/>
      </c>
      <c r="X1307" s="1" t="str">
        <f>""</f>
        <v/>
      </c>
      <c r="Y1307" s="1" t="str">
        <f>""</f>
        <v/>
      </c>
      <c r="Z1307" t="str">
        <f>"9126126286"</f>
        <v>9126126286</v>
      </c>
      <c r="AA1307" t="str">
        <f>"9126126286"</f>
        <v>9126126286</v>
      </c>
      <c r="AB1307" t="str">
        <f>"9126126286"</f>
        <v>9126126286</v>
      </c>
      <c r="AC1307" t="str">
        <f>"9126126286"</f>
        <v>9126126286</v>
      </c>
      <c r="AD1307" t="str">
        <f>"9126126286"</f>
        <v>9126126286</v>
      </c>
      <c r="AE1307" t="str">
        <f>"9126126286"</f>
        <v>9126126286</v>
      </c>
    </row>
    <row r="1308" spans="1:31" x14ac:dyDescent="0.45">
      <c r="A1308" t="str">
        <f>"МАКСИМЕНКО ОЛЬГА СЕРГЕЕВНА"</f>
        <v>МАКСИМЕНКО ОЛЬГА СЕРГЕЕВНА</v>
      </c>
      <c r="B1308" t="str">
        <f>"1974-07-08"</f>
        <v>1974-07-08</v>
      </c>
      <c r="C1308" t="str">
        <f>"75 05 895302"</f>
        <v>75 05 895302</v>
      </c>
      <c r="D1308" t="str">
        <f>"4279011658675643"</f>
        <v>4279011658675643</v>
      </c>
      <c r="E1308" t="str">
        <f t="shared" si="214"/>
        <v>2021-05-31</v>
      </c>
      <c r="F1308" t="str">
        <f t="shared" si="216"/>
        <v>+</v>
      </c>
      <c r="G1308" t="str">
        <f t="shared" si="216"/>
        <v>+</v>
      </c>
      <c r="H1308" t="str">
        <f>"40817810916991391626"</f>
        <v>40817810916991391626</v>
      </c>
      <c r="I1308" t="str">
        <f>"8597"</f>
        <v>8597</v>
      </c>
      <c r="J1308" t="str">
        <f>"0234"</f>
        <v>0234</v>
      </c>
      <c r="K1308" t="str">
        <f>"50000.00"</f>
        <v>50000.00</v>
      </c>
      <c r="L1308" t="str">
        <f>"454000 ОБЛ ЧЕЛЯБИНСКАЯ   Г ЧЕЛЯБИНСК   УЛ МОЛОДОГВАРДЕЙЦЕВ д. 2А"</f>
        <v>454000 ОБЛ ЧЕЛЯБИНСКАЯ   Г ЧЕЛЯБИНСК   УЛ МОЛОДОГВАРДЕЙЦЕВ д. 2А</v>
      </c>
      <c r="M1308" t="str">
        <f t="shared" si="211"/>
        <v>2019-08-24</v>
      </c>
      <c r="N1308" t="str">
        <f>"ОАО ХЛЕБПРОМ"</f>
        <v>ОАО ХЛЕБПРОМ</v>
      </c>
      <c r="O1308" t="str">
        <f>"454000"</f>
        <v>454000</v>
      </c>
      <c r="P1308" t="str">
        <f>"ОБЛ ЧЕЛЯБИНСКАЯ"</f>
        <v>ОБЛ ЧЕЛЯБИНСКАЯ</v>
      </c>
      <c r="Q1308" t="str">
        <f>""</f>
        <v/>
      </c>
      <c r="R1308" t="str">
        <f>"Г ЧЕЛЯБИНСК"</f>
        <v>Г ЧЕЛЯБИНСК</v>
      </c>
      <c r="S1308" t="str">
        <f>""</f>
        <v/>
      </c>
      <c r="T1308" t="str">
        <f>"УЛ 250-ЛЕТИЯ ЧЕЛЯБИНСКА"</f>
        <v>УЛ 250-ЛЕТИЯ ЧЕЛЯБИНСКА</v>
      </c>
      <c r="U1308" s="1" t="str">
        <f>"14"</f>
        <v>14</v>
      </c>
      <c r="V1308" s="1" t="str">
        <f>""</f>
        <v/>
      </c>
      <c r="W1308" s="1" t="str">
        <f>""</f>
        <v/>
      </c>
      <c r="X1308" s="1" t="str">
        <f>""</f>
        <v/>
      </c>
      <c r="Y1308" s="1" t="str">
        <f>"16"</f>
        <v>16</v>
      </c>
      <c r="Z1308" t="str">
        <f>"9514448428"</f>
        <v>9514448428</v>
      </c>
      <c r="AA1308" t="str">
        <f>"9514448428"</f>
        <v>9514448428</v>
      </c>
      <c r="AB1308" t="str">
        <f>"9658539208"</f>
        <v>9658539208</v>
      </c>
      <c r="AC1308" t="str">
        <f>"9514448428"</f>
        <v>9514448428</v>
      </c>
      <c r="AD1308" t="str">
        <f>"9658539208"</f>
        <v>9658539208</v>
      </c>
      <c r="AE1308" t="str">
        <f>"9514448428"</f>
        <v>9514448428</v>
      </c>
    </row>
    <row r="1309" spans="1:31" x14ac:dyDescent="0.45">
      <c r="A1309" t="str">
        <f>"ЗЫРЯНОВ АРТЕМ АЛЕКСЕЕВИЧ"</f>
        <v>ЗЫРЯНОВ АРТЕМ АЛЕКСЕЕВИЧ</v>
      </c>
      <c r="B1309" t="str">
        <f>"1983-12-24"</f>
        <v>1983-12-24</v>
      </c>
      <c r="C1309" t="str">
        <f>"65 09 735862"</f>
        <v>65 09 735862</v>
      </c>
      <c r="D1309" t="str">
        <f>"4279011630481243"</f>
        <v>4279011630481243</v>
      </c>
      <c r="E1309" t="str">
        <f t="shared" si="214"/>
        <v>2021-05-31</v>
      </c>
      <c r="F1309" t="str">
        <f t="shared" si="216"/>
        <v>+</v>
      </c>
      <c r="G1309" t="str">
        <f t="shared" si="216"/>
        <v>+</v>
      </c>
      <c r="H1309" t="str">
        <f>"40817810316991391608"</f>
        <v>40817810316991391608</v>
      </c>
      <c r="I1309" t="str">
        <f>"7003"</f>
        <v>7003</v>
      </c>
      <c r="J1309" t="str">
        <f>"0448"</f>
        <v>0448</v>
      </c>
      <c r="K1309" t="str">
        <f>"15000.00"</f>
        <v>15000.00</v>
      </c>
      <c r="L1309" t="str">
        <f>"620000 ОБЛ СВЕРДЛОВСКАЯ   Г ЕКАТЕРИНБУРГ   ТРАКТ ДУБЛЕР СИБИРСКОГО ТРАКТА д. 2"</f>
        <v>620000 ОБЛ СВЕРДЛОВСКАЯ   Г ЕКАТЕРИНБУРГ   ТРАКТ ДУБЛЕР СИБИРСКОГО ТРАКТА д. 2</v>
      </c>
      <c r="M1309" t="str">
        <f t="shared" si="211"/>
        <v>2019-08-24</v>
      </c>
      <c r="N1309" t="str">
        <f>"ООО АЛЬТЕКО"</f>
        <v>ООО АЛЬТЕКО</v>
      </c>
      <c r="O1309" t="str">
        <f>"620000"</f>
        <v>620000</v>
      </c>
      <c r="P1309" t="str">
        <f>"ОБЛ СВЕРДЛОВСКАЯ"</f>
        <v>ОБЛ СВЕРДЛОВСКАЯ</v>
      </c>
      <c r="Q1309" t="str">
        <f>""</f>
        <v/>
      </c>
      <c r="R1309" t="str">
        <f>"Г ЕКАТЕРИНБУРГ"</f>
        <v>Г ЕКАТЕРИНБУРГ</v>
      </c>
      <c r="S1309" t="str">
        <f>""</f>
        <v/>
      </c>
      <c r="T1309" t="str">
        <f>"УЛ ЯСНАЯ"</f>
        <v>УЛ ЯСНАЯ</v>
      </c>
      <c r="U1309" s="1" t="str">
        <f>"1"</f>
        <v>1</v>
      </c>
      <c r="V1309" s="1" t="str">
        <f>""</f>
        <v/>
      </c>
      <c r="W1309" s="1" t="str">
        <f>"3А"</f>
        <v>3А</v>
      </c>
      <c r="X1309" s="1" t="str">
        <f>""</f>
        <v/>
      </c>
      <c r="Y1309" s="1" t="str">
        <f>"501"</f>
        <v>501</v>
      </c>
      <c r="Z1309" t="str">
        <f>""</f>
        <v/>
      </c>
      <c r="AA1309" t="str">
        <f>"9221461004"</f>
        <v>9221461004</v>
      </c>
      <c r="AB1309" t="str">
        <f>"9221461004"</f>
        <v>9221461004</v>
      </c>
      <c r="AC1309" t="str">
        <f>"9221461004"</f>
        <v>9221461004</v>
      </c>
      <c r="AD1309" t="str">
        <f>"9221461004"</f>
        <v>9221461004</v>
      </c>
      <c r="AE1309" t="str">
        <f>""</f>
        <v/>
      </c>
    </row>
    <row r="1310" spans="1:31" x14ac:dyDescent="0.45">
      <c r="A1310" t="str">
        <f>"СУБХАНКУЛОВ ИРИК МАРАТОВИЧ"</f>
        <v>СУБХАНКУЛОВ ИРИК МАРАТОВИЧ</v>
      </c>
      <c r="B1310" t="str">
        <f>"1990-01-22"</f>
        <v>1990-01-22</v>
      </c>
      <c r="C1310" t="str">
        <f>"80 10 007656"</f>
        <v>80 10 007656</v>
      </c>
      <c r="D1310" t="str">
        <f>"4279011650230975"</f>
        <v>4279011650230975</v>
      </c>
      <c r="E1310" t="str">
        <f t="shared" si="214"/>
        <v>2021-05-31</v>
      </c>
      <c r="F1310" t="str">
        <f t="shared" si="216"/>
        <v>+</v>
      </c>
      <c r="G1310" t="str">
        <f t="shared" si="216"/>
        <v>+</v>
      </c>
      <c r="H1310" t="str">
        <f>"40817810016991391597"</f>
        <v>40817810016991391597</v>
      </c>
      <c r="I1310" t="str">
        <f>"8598"</f>
        <v>8598</v>
      </c>
      <c r="J1310" t="str">
        <f>"0120"</f>
        <v>0120</v>
      </c>
      <c r="K1310" t="str">
        <f>"600000.00"</f>
        <v>600000.00</v>
      </c>
      <c r="L1310" t="str">
        <f>"450000 РЕСП БАШКОРТОСТАН   Г УФА   УЛ ФЕРИНА д. 2"</f>
        <v>450000 РЕСП БАШКОРТОСТАН   Г УФА   УЛ ФЕРИНА д. 2</v>
      </c>
      <c r="M1310" t="str">
        <f t="shared" si="211"/>
        <v>2019-08-24</v>
      </c>
      <c r="N1310" t="str">
        <f>"ПАО ОДК УМПО"</f>
        <v>ПАО ОДК УМПО</v>
      </c>
      <c r="O1310" t="str">
        <f>"450043"</f>
        <v>450043</v>
      </c>
      <c r="P1310" t="str">
        <f>"РЕСП БАШКОРТОСТАН"</f>
        <v>РЕСП БАШКОРТОСТАН</v>
      </c>
      <c r="Q1310" t="str">
        <f>""</f>
        <v/>
      </c>
      <c r="R1310" t="str">
        <f>"Г УФА"</f>
        <v>Г УФА</v>
      </c>
      <c r="S1310" t="str">
        <f>""</f>
        <v/>
      </c>
      <c r="T1310" t="str">
        <f>"УЛ Г МУШНИКОВА"</f>
        <v>УЛ Г МУШНИКОВА</v>
      </c>
      <c r="U1310" s="1" t="str">
        <f>"15"</f>
        <v>15</v>
      </c>
      <c r="V1310" s="1" t="str">
        <f>""</f>
        <v/>
      </c>
      <c r="W1310" s="1" t="str">
        <f>""</f>
        <v/>
      </c>
      <c r="X1310" s="1" t="str">
        <f>""</f>
        <v/>
      </c>
      <c r="Y1310" s="1" t="str">
        <f>"98"</f>
        <v>98</v>
      </c>
      <c r="Z1310" t="str">
        <f>"9373359999"</f>
        <v>9373359999</v>
      </c>
      <c r="AA1310" t="str">
        <f>"+7 (937) 3359999"</f>
        <v>+7 (937) 3359999</v>
      </c>
      <c r="AB1310" t="str">
        <f>"+7 (963) 9090001"</f>
        <v>+7 (963) 9090001</v>
      </c>
      <c r="AC1310" t="str">
        <f>"9373359999"</f>
        <v>9373359999</v>
      </c>
      <c r="AD1310" t="str">
        <f>"9373359999"</f>
        <v>9373359999</v>
      </c>
      <c r="AE1310" t="str">
        <f>""</f>
        <v/>
      </c>
    </row>
    <row r="1311" spans="1:31" x14ac:dyDescent="0.45">
      <c r="A1311" t="str">
        <f>"ХИСМАТУЛЛИНА ОЛЬГА СЕРГЕЕВНА"</f>
        <v>ХИСМАТУЛЛИНА ОЛЬГА СЕРГЕЕВНА</v>
      </c>
      <c r="B1311" t="str">
        <f>"1979-05-03"</f>
        <v>1979-05-03</v>
      </c>
      <c r="C1311" t="str">
        <f>"80 04 547424"</f>
        <v>80 04 547424</v>
      </c>
      <c r="D1311" t="str">
        <f>"4279011692148433"</f>
        <v>4279011692148433</v>
      </c>
      <c r="E1311" t="str">
        <f t="shared" si="214"/>
        <v>2021-05-31</v>
      </c>
      <c r="F1311" t="str">
        <f t="shared" si="216"/>
        <v>+</v>
      </c>
      <c r="G1311" t="str">
        <f t="shared" si="216"/>
        <v>+</v>
      </c>
      <c r="H1311" t="str">
        <f>"40817810816991391616"</f>
        <v>40817810816991391616</v>
      </c>
      <c r="I1311" t="str">
        <f>"8598"</f>
        <v>8598</v>
      </c>
      <c r="J1311" t="str">
        <f>"0704"</f>
        <v>0704</v>
      </c>
      <c r="K1311" t="str">
        <f>"10000.00"</f>
        <v>10000.00</v>
      </c>
      <c r="L1311" t="str">
        <f>"450000 РЕСП БАШКОРТОСТАН   Г САЛАВАТ   УЛ КАЛИНИНА д. 89Б"</f>
        <v>450000 РЕСП БАШКОРТОСТАН   Г САЛАВАТ   УЛ КАЛИНИНА д. 89Б</v>
      </c>
      <c r="M1311" t="str">
        <f t="shared" si="211"/>
        <v>2019-08-24</v>
      </c>
      <c r="N1311" t="str">
        <f>"ИП ХИСМАТУЛЛИНА ОЛЬГА СЕРГЕЕВНА"</f>
        <v>ИП ХИСМАТУЛЛИНА ОЛЬГА СЕРГЕЕВНА</v>
      </c>
      <c r="O1311" t="str">
        <f>"450000"</f>
        <v>450000</v>
      </c>
      <c r="P1311" t="str">
        <f>"РЕСП БАШКОРТОСТАН"</f>
        <v>РЕСП БАШКОРТОСТАН</v>
      </c>
      <c r="Q1311" t="str">
        <f>""</f>
        <v/>
      </c>
      <c r="R1311" t="str">
        <f>"Г САЛАВАТ"</f>
        <v>Г САЛАВАТ</v>
      </c>
      <c r="S1311" t="str">
        <f>""</f>
        <v/>
      </c>
      <c r="T1311" t="str">
        <f>"УЛ ЮЛАЕВА"</f>
        <v>УЛ ЮЛАЕВА</v>
      </c>
      <c r="U1311" s="1" t="str">
        <f>"20"</f>
        <v>20</v>
      </c>
      <c r="V1311" s="1" t="str">
        <f>""</f>
        <v/>
      </c>
      <c r="W1311" s="1" t="str">
        <f>""</f>
        <v/>
      </c>
      <c r="X1311" s="1" t="str">
        <f>""</f>
        <v/>
      </c>
      <c r="Y1311" s="1" t="str">
        <f>"131"</f>
        <v>131</v>
      </c>
      <c r="Z1311" t="str">
        <f>""</f>
        <v/>
      </c>
      <c r="AA1311" t="str">
        <f>"9174632806"</f>
        <v>9174632806</v>
      </c>
      <c r="AB1311" t="str">
        <f>"9174632806"</f>
        <v>9174632806</v>
      </c>
      <c r="AC1311" t="str">
        <f>"9174632806"</f>
        <v>9174632806</v>
      </c>
      <c r="AD1311" t="str">
        <f>"9174632806"</f>
        <v>9174632806</v>
      </c>
      <c r="AE1311" t="str">
        <f>""</f>
        <v/>
      </c>
    </row>
    <row r="1312" spans="1:31" x14ac:dyDescent="0.45">
      <c r="A1312" t="str">
        <f>"ВАСИЛЬЕВ АНДРЕЙ ВИКТОРОВИЧ"</f>
        <v>ВАСИЛЬЕВ АНДРЕЙ ВИКТОРОВИЧ</v>
      </c>
      <c r="B1312" t="str">
        <f>"1994-08-06"</f>
        <v>1994-08-06</v>
      </c>
      <c r="C1312" t="str">
        <f>"80 15 034343"</f>
        <v>80 15 034343</v>
      </c>
      <c r="D1312" t="str">
        <f>"4279011620342835"</f>
        <v>4279011620342835</v>
      </c>
      <c r="E1312" t="str">
        <f t="shared" si="214"/>
        <v>2021-05-31</v>
      </c>
      <c r="F1312" t="str">
        <f t="shared" si="216"/>
        <v>+</v>
      </c>
      <c r="G1312" t="str">
        <f t="shared" si="216"/>
        <v>+</v>
      </c>
      <c r="H1312" t="str">
        <f>"40817810416991391595"</f>
        <v>40817810416991391595</v>
      </c>
      <c r="I1312" t="str">
        <f>"8598"</f>
        <v>8598</v>
      </c>
      <c r="J1312" t="str">
        <f>"0197"</f>
        <v>0197</v>
      </c>
      <c r="K1312" t="str">
        <f>"18000.00"</f>
        <v>18000.00</v>
      </c>
      <c r="L1312" t="str">
        <f>"450000 РЕСП БАШКОРТОСТАН   Г УФА   УЛ СВЕРДЛОВА д. 37"</f>
        <v>450000 РЕСП БАШКОРТОСТАН   Г УФА   УЛ СВЕРДЛОВА д. 37</v>
      </c>
      <c r="M1312" t="str">
        <f t="shared" si="211"/>
        <v>2019-08-24</v>
      </c>
      <c r="N1312" t="str">
        <f>"ФКУ УК УФСИН РОССИИ ПО РБ"</f>
        <v>ФКУ УК УФСИН РОССИИ ПО РБ</v>
      </c>
      <c r="O1312" t="str">
        <f>"450000"</f>
        <v>450000</v>
      </c>
      <c r="P1312" t="str">
        <f>"РЕСП БАШКОРТОСТАН"</f>
        <v>РЕСП БАШКОРТОСТАН</v>
      </c>
      <c r="Q1312" t="str">
        <f>""</f>
        <v/>
      </c>
      <c r="R1312" t="str">
        <f>"Г УФА"</f>
        <v>Г УФА</v>
      </c>
      <c r="S1312" t="str">
        <f>""</f>
        <v/>
      </c>
      <c r="T1312" t="str">
        <f>"УЛ КРАСИНА"</f>
        <v>УЛ КРАСИНА</v>
      </c>
      <c r="U1312" s="1" t="str">
        <f>"13"</f>
        <v>13</v>
      </c>
      <c r="V1312" s="1" t="str">
        <f>""</f>
        <v/>
      </c>
      <c r="W1312" s="1" t="str">
        <f>""</f>
        <v/>
      </c>
      <c r="X1312" s="1" t="str">
        <f>""</f>
        <v/>
      </c>
      <c r="Y1312" s="1" t="str">
        <f>"524"</f>
        <v>524</v>
      </c>
      <c r="Z1312" t="str">
        <f>""</f>
        <v/>
      </c>
      <c r="AA1312" t="str">
        <f>"9174593418"</f>
        <v>9174593418</v>
      </c>
      <c r="AB1312" t="str">
        <f>"9373133478"</f>
        <v>9373133478</v>
      </c>
      <c r="AC1312" t="str">
        <f>"9174593418"</f>
        <v>9174593418</v>
      </c>
      <c r="AD1312" t="str">
        <f>"9174593418"</f>
        <v>9174593418</v>
      </c>
      <c r="AE1312" t="str">
        <f>""</f>
        <v/>
      </c>
    </row>
    <row r="1313" spans="1:31" x14ac:dyDescent="0.45">
      <c r="A1313" t="str">
        <f>"УСТЮГОВ ПАВЕЛ ВИТАЛЬЕВИЧ"</f>
        <v>УСТЮГОВ ПАВЕЛ ВИТАЛЬЕВИЧ</v>
      </c>
      <c r="B1313" t="str">
        <f>"1994-11-28"</f>
        <v>1994-11-28</v>
      </c>
      <c r="C1313" t="str">
        <f>"65 14 942255"</f>
        <v>65 14 942255</v>
      </c>
      <c r="D1313" t="str">
        <f>"4279011663954033"</f>
        <v>4279011663954033</v>
      </c>
      <c r="E1313" t="str">
        <f t="shared" si="214"/>
        <v>2021-05-31</v>
      </c>
      <c r="F1313" t="str">
        <f t="shared" si="216"/>
        <v>+</v>
      </c>
      <c r="G1313" t="str">
        <f t="shared" si="216"/>
        <v>+</v>
      </c>
      <c r="H1313" t="str">
        <f>"40817810016991391610"</f>
        <v>40817810016991391610</v>
      </c>
      <c r="I1313" t="str">
        <f>"7003"</f>
        <v>7003</v>
      </c>
      <c r="J1313" t="str">
        <f>"0606"</f>
        <v>0606</v>
      </c>
      <c r="K1313" t="str">
        <f>"50000.00"</f>
        <v>50000.00</v>
      </c>
      <c r="L1313" t="str">
        <f>"624841 ОБЛ СВЕРДЛОВСКАЯ Р-Н КАМЫШЛОВСКИЙ   Д БАРАННИКОВА УЛ ЛЕСНАЯ д. 1"</f>
        <v>624841 ОБЛ СВЕРДЛОВСКАЯ Р-Н КАМЫШЛОВСКИЙ   Д БАРАННИКОВА УЛ ЛЕСНАЯ д. 1</v>
      </c>
      <c r="M1313" t="str">
        <f t="shared" si="211"/>
        <v>2019-08-24</v>
      </c>
      <c r="N1313" t="s">
        <v>86</v>
      </c>
      <c r="O1313" t="str">
        <f>"624843"</f>
        <v>624843</v>
      </c>
      <c r="P1313" t="str">
        <f>"ОБЛ СВЕРДЛОВСКАЯ"</f>
        <v>ОБЛ СВЕРДЛОВСКАЯ</v>
      </c>
      <c r="Q1313" t="str">
        <f>"Р-Н КАМЫШЛОВСКИЙ"</f>
        <v>Р-Н КАМЫШЛОВСКИЙ</v>
      </c>
      <c r="R1313" t="str">
        <f>""</f>
        <v/>
      </c>
      <c r="S1313" t="str">
        <f>"С СКАТИНСКОЕ"</f>
        <v>С СКАТИНСКОЕ</v>
      </c>
      <c r="T1313" t="str">
        <f>"УЛ СОВЕТСКАЯ"</f>
        <v>УЛ СОВЕТСКАЯ</v>
      </c>
      <c r="U1313" s="1" t="str">
        <f>"35"</f>
        <v>35</v>
      </c>
      <c r="V1313" s="1" t="str">
        <f>""</f>
        <v/>
      </c>
      <c r="W1313" s="1" t="str">
        <f>""</f>
        <v/>
      </c>
      <c r="X1313" s="1" t="str">
        <f>""</f>
        <v/>
      </c>
      <c r="Y1313" s="1" t="str">
        <f>""</f>
        <v/>
      </c>
      <c r="Z1313" t="str">
        <f>""</f>
        <v/>
      </c>
      <c r="AA1313" t="str">
        <f>"9530446949"</f>
        <v>9530446949</v>
      </c>
      <c r="AB1313" t="str">
        <f>"9530446949"</f>
        <v>9530446949</v>
      </c>
      <c r="AC1313" t="str">
        <f>"9193983123"</f>
        <v>9193983123</v>
      </c>
      <c r="AD1313" t="str">
        <f>"9126312958"</f>
        <v>9126312958</v>
      </c>
      <c r="AE1313" t="str">
        <f>""</f>
        <v/>
      </c>
    </row>
    <row r="1314" spans="1:31" x14ac:dyDescent="0.45">
      <c r="A1314" t="str">
        <f>"ЕЛИСОВА ВАЛЕРИЯ МИХАЙЛОВНА"</f>
        <v>ЕЛИСОВА ВАЛЕРИЯ МИХАЙЛОВНА</v>
      </c>
      <c r="B1314" t="str">
        <f>"1992-08-30"</f>
        <v>1992-08-30</v>
      </c>
      <c r="C1314" t="str">
        <f>"75 12 142017"</f>
        <v>75 12 142017</v>
      </c>
      <c r="D1314" t="str">
        <f>"4279011694787634"</f>
        <v>4279011694787634</v>
      </c>
      <c r="E1314" t="str">
        <f t="shared" si="214"/>
        <v>2021-05-31</v>
      </c>
      <c r="F1314" t="str">
        <f t="shared" si="216"/>
        <v>+</v>
      </c>
      <c r="G1314" t="str">
        <f t="shared" si="216"/>
        <v>+</v>
      </c>
      <c r="H1314" t="str">
        <f>"40817810116991391604"</f>
        <v>40817810116991391604</v>
      </c>
      <c r="I1314" t="str">
        <f>"8597"</f>
        <v>8597</v>
      </c>
      <c r="J1314" t="str">
        <f>"0556"</f>
        <v>0556</v>
      </c>
      <c r="K1314" t="str">
        <f>"430000.00"</f>
        <v>430000.00</v>
      </c>
      <c r="L1314" t="str">
        <f>"454000 ОБЛ ЧЕЛЯБИНСКАЯ   Г ЧЕЛЯБИНСК   УЛ ЭНТУЗИАСТОВ д. 9А"</f>
        <v>454000 ОБЛ ЧЕЛЯБИНСКАЯ   Г ЧЕЛЯБИНСК   УЛ ЭНТУЗИАСТОВ д. 9А</v>
      </c>
      <c r="M1314" t="str">
        <f t="shared" si="211"/>
        <v>2019-08-24</v>
      </c>
      <c r="N1314" t="str">
        <f>"ПАО СБЕРБАНК"</f>
        <v>ПАО СБЕРБАНК</v>
      </c>
      <c r="O1314" t="str">
        <f>"454016"</f>
        <v>454016</v>
      </c>
      <c r="P1314" t="str">
        <f>"ОБЛ ЧЕЛЯБИНСКАЯ"</f>
        <v>ОБЛ ЧЕЛЯБИНСКАЯ</v>
      </c>
      <c r="Q1314" t="str">
        <f>""</f>
        <v/>
      </c>
      <c r="R1314" t="str">
        <f>"Г ЧЕЛЯБИНСК"</f>
        <v>Г ЧЕЛЯБИНСК</v>
      </c>
      <c r="S1314" t="str">
        <f>""</f>
        <v/>
      </c>
      <c r="T1314" t="str">
        <f>"УЛ ХУДОЖНИКА РУСАКОВА"</f>
        <v>УЛ ХУДОЖНИКА РУСАКОВА</v>
      </c>
      <c r="U1314" s="1" t="str">
        <f>"7Б"</f>
        <v>7Б</v>
      </c>
      <c r="V1314" s="1" t="str">
        <f>""</f>
        <v/>
      </c>
      <c r="W1314" s="1" t="str">
        <f>""</f>
        <v/>
      </c>
      <c r="X1314" s="1" t="str">
        <f>""</f>
        <v/>
      </c>
      <c r="Y1314" s="1" t="str">
        <f>"106"</f>
        <v>106</v>
      </c>
      <c r="Z1314" t="str">
        <f>"9193276555"</f>
        <v>9193276555</v>
      </c>
      <c r="AA1314" t="str">
        <f>"9507317753"</f>
        <v>9507317753</v>
      </c>
      <c r="AB1314" t="str">
        <f>"9507317753"</f>
        <v>9507317753</v>
      </c>
      <c r="AC1314" t="str">
        <f>"9507317753"</f>
        <v>9507317753</v>
      </c>
      <c r="AD1314" t="str">
        <f>"9507317753"</f>
        <v>9507317753</v>
      </c>
      <c r="AE1314" t="str">
        <f>""</f>
        <v/>
      </c>
    </row>
    <row r="1315" spans="1:31" x14ac:dyDescent="0.45">
      <c r="A1315" t="str">
        <f>"КОЗЛОВ СЕРГЕЙ СТЕПАНОВИЧ"</f>
        <v>КОЗЛОВ СЕРГЕЙ СТЕПАНОВИЧ</v>
      </c>
      <c r="B1315" t="str">
        <f>"1957-02-19"</f>
        <v>1957-02-19</v>
      </c>
      <c r="C1315" t="str">
        <f>"80 04 592250"</f>
        <v>80 04 592250</v>
      </c>
      <c r="D1315" t="str">
        <f>"4854630377927002"</f>
        <v>4854630377927002</v>
      </c>
      <c r="E1315" t="str">
        <f>"2021-04-30"</f>
        <v>2021-04-30</v>
      </c>
      <c r="F1315" t="str">
        <f t="shared" si="216"/>
        <v>+</v>
      </c>
      <c r="G1315" t="str">
        <f t="shared" si="216"/>
        <v>+</v>
      </c>
      <c r="H1315" t="str">
        <f>"40817810916991463127"</f>
        <v>40817810916991463127</v>
      </c>
      <c r="I1315" t="str">
        <f>"8598"</f>
        <v>8598</v>
      </c>
      <c r="J1315" t="str">
        <f>"0595"</f>
        <v>0595</v>
      </c>
      <c r="K1315" t="str">
        <f>"40000.00"</f>
        <v>40000.00</v>
      </c>
      <c r="L1315" t="str">
        <f>"450000 РЕСП БАШКОРТОСТАН   Г НЕФТЕКАМСК   УЛ ЮБИЛЕЙНАЯ д. 10 стр. А"</f>
        <v>450000 РЕСП БАШКОРТОСТАН   Г НЕФТЕКАМСК   УЛ ЮБИЛЕЙНАЯ д. 10 стр. А</v>
      </c>
      <c r="M1315" t="str">
        <f t="shared" si="211"/>
        <v>2019-08-24</v>
      </c>
      <c r="N1315" t="str">
        <f>"ПФР"</f>
        <v>ПФР</v>
      </c>
      <c r="O1315" t="str">
        <f>"450000"</f>
        <v>450000</v>
      </c>
      <c r="P1315" t="str">
        <f>"РЕСП БАШКОРТОСТАН"</f>
        <v>РЕСП БАШКОРТОСТАН</v>
      </c>
      <c r="Q1315" t="str">
        <f>"Р-Н КРАСНОКАМСКИЙ"</f>
        <v>Р-Н КРАСНОКАМСКИЙ</v>
      </c>
      <c r="R1315" t="str">
        <f>""</f>
        <v/>
      </c>
      <c r="S1315" t="str">
        <f>"С НИКОЛО-БЕРЕЗОВКА"</f>
        <v>С НИКОЛО-БЕРЕЗОВКА</v>
      </c>
      <c r="T1315" t="str">
        <f>"УЛ СТРОИТЕЛЕЙ"</f>
        <v>УЛ СТРОИТЕЛЕЙ</v>
      </c>
      <c r="U1315" s="1" t="str">
        <f>"43"</f>
        <v>43</v>
      </c>
      <c r="V1315" s="1" t="str">
        <f>""</f>
        <v/>
      </c>
      <c r="W1315" s="1" t="str">
        <f>""</f>
        <v/>
      </c>
      <c r="X1315" s="1" t="str">
        <f>""</f>
        <v/>
      </c>
      <c r="Y1315" s="1" t="str">
        <f>"6"</f>
        <v>6</v>
      </c>
      <c r="Z1315" t="str">
        <f>"9177910438"</f>
        <v>9177910438</v>
      </c>
      <c r="AA1315" t="str">
        <f>"9177910438"</f>
        <v>9177910438</v>
      </c>
      <c r="AB1315" t="str">
        <f>"9177910438"</f>
        <v>9177910438</v>
      </c>
      <c r="AC1315" t="str">
        <f>"9177910438"</f>
        <v>9177910438</v>
      </c>
      <c r="AD1315" t="str">
        <f>"9177910438"</f>
        <v>9177910438</v>
      </c>
      <c r="AE1315" t="str">
        <f>"9177910438"</f>
        <v>9177910438</v>
      </c>
    </row>
    <row r="1316" spans="1:31" x14ac:dyDescent="0.45">
      <c r="A1316" t="str">
        <f>"ДАВЛЕТОВА КАРИНА ФАНИЛЕВНА"</f>
        <v>ДАВЛЕТОВА КАРИНА ФАНИЛЕВНА</v>
      </c>
      <c r="B1316" t="str">
        <f>"1982-04-26"</f>
        <v>1982-04-26</v>
      </c>
      <c r="C1316" t="str">
        <f>"80 10 246428"</f>
        <v>80 10 246428</v>
      </c>
      <c r="D1316" t="str">
        <f>"4854630379874400"</f>
        <v>4854630379874400</v>
      </c>
      <c r="E1316" t="str">
        <f>"2021-04-30"</f>
        <v>2021-04-30</v>
      </c>
      <c r="F1316" t="str">
        <f t="shared" si="216"/>
        <v>+</v>
      </c>
      <c r="G1316" t="str">
        <f t="shared" si="216"/>
        <v>+</v>
      </c>
      <c r="H1316" t="str">
        <f>"40817810216991463128"</f>
        <v>40817810216991463128</v>
      </c>
      <c r="I1316" t="str">
        <f>"8598"</f>
        <v>8598</v>
      </c>
      <c r="J1316" t="str">
        <f>"0158"</f>
        <v>0158</v>
      </c>
      <c r="K1316" t="str">
        <f>"200000.00"</f>
        <v>200000.00</v>
      </c>
      <c r="L1316" t="str">
        <f>"450000 РЕСП БАШКОРТОСТАН Р-Н ХАЙБУЛЛИНСКИЙ   Д ПЕТРОПАВЛОВСКИЙ УЛ ЮБИЛЕЙНАЯ д. 9 корп. 1"</f>
        <v>450000 РЕСП БАШКОРТОСТАН Р-Н ХАЙБУЛЛИНСКИЙ   Д ПЕТРОПАВЛОВСКИЙ УЛ ЮБИЛЕЙНАЯ д. 9 корп. 1</v>
      </c>
      <c r="M1316" t="str">
        <f t="shared" si="211"/>
        <v>2019-08-24</v>
      </c>
      <c r="N1316" t="str">
        <f>"ООО БАШКИРСКАЯ МЕДЬ"</f>
        <v>ООО БАШКИРСКАЯ МЕДЬ</v>
      </c>
      <c r="O1316" t="str">
        <f>"450000"</f>
        <v>450000</v>
      </c>
      <c r="P1316" t="str">
        <f>"РЕСП БАШКОРТОСТАН"</f>
        <v>РЕСП БАШКОРТОСТАН</v>
      </c>
      <c r="Q1316" t="str">
        <f>""</f>
        <v/>
      </c>
      <c r="R1316" t="str">
        <f>"Г УФА"</f>
        <v>Г УФА</v>
      </c>
      <c r="S1316" t="str">
        <f>""</f>
        <v/>
      </c>
      <c r="T1316" t="str">
        <f>"УЛ БАТЫРСКАЯ"</f>
        <v>УЛ БАТЫРСКАЯ</v>
      </c>
      <c r="U1316" s="1" t="str">
        <f>"10"</f>
        <v>10</v>
      </c>
      <c r="V1316" s="1" t="str">
        <f>""</f>
        <v/>
      </c>
      <c r="W1316" s="1" t="str">
        <f>""</f>
        <v/>
      </c>
      <c r="X1316" s="1" t="str">
        <f>""</f>
        <v/>
      </c>
      <c r="Y1316" s="1" t="str">
        <f>"25"</f>
        <v>25</v>
      </c>
      <c r="Z1316" t="str">
        <f>"3472739862"</f>
        <v>3472739862</v>
      </c>
      <c r="AA1316" t="str">
        <f>"3472554582"</f>
        <v>3472554582</v>
      </c>
      <c r="AB1316" t="str">
        <f>"9174990515"</f>
        <v>9174990515</v>
      </c>
      <c r="AC1316" t="str">
        <f>"9872525253"</f>
        <v>9872525253</v>
      </c>
      <c r="AD1316" t="str">
        <f>"9174990515"</f>
        <v>9174990515</v>
      </c>
      <c r="AE1316" t="str">
        <f>""</f>
        <v/>
      </c>
    </row>
    <row r="1317" spans="1:31" x14ac:dyDescent="0.45">
      <c r="A1317" t="str">
        <f>"САМИГУЛЛИНА РИДА НАСИБУЛЛОВНА"</f>
        <v>САМИГУЛЛИНА РИДА НАСИБУЛЛОВНА</v>
      </c>
      <c r="B1317" t="str">
        <f>"1966-06-27"</f>
        <v>1966-06-27</v>
      </c>
      <c r="C1317" t="str">
        <f>"75 10 887651"</f>
        <v>75 10 887651</v>
      </c>
      <c r="D1317" t="str">
        <f>"4854630280878805"</f>
        <v>4854630280878805</v>
      </c>
      <c r="E1317" t="str">
        <f t="shared" ref="E1317:E1323" si="217">"2021-06-30"</f>
        <v>2021-06-30</v>
      </c>
      <c r="F1317" t="str">
        <f t="shared" si="216"/>
        <v>+</v>
      </c>
      <c r="G1317" t="str">
        <f t="shared" si="216"/>
        <v>+</v>
      </c>
      <c r="H1317" t="str">
        <f>"40817810516991463129"</f>
        <v>40817810516991463129</v>
      </c>
      <c r="I1317" t="str">
        <f>"8597"</f>
        <v>8597</v>
      </c>
      <c r="J1317" t="str">
        <f>"0420"</f>
        <v>0420</v>
      </c>
      <c r="K1317" t="str">
        <f>"20000.00"</f>
        <v>20000.00</v>
      </c>
      <c r="L1317" t="str">
        <f>"456730 ОБЛ ЧЕЛЯБИНСКАЯ Р-Н КУНАШАКСКИЙ   С КУНАШАК УЛ ЛЕНИНА д. 82"</f>
        <v>456730 ОБЛ ЧЕЛЯБИНСКАЯ Р-Н КУНАШАКСКИЙ   С КУНАШАК УЛ ЛЕНИНА д. 82</v>
      </c>
      <c r="M1317" t="str">
        <f t="shared" si="211"/>
        <v>2019-08-24</v>
      </c>
      <c r="N1317" t="str">
        <f>"72002224"</f>
        <v>72002224</v>
      </c>
      <c r="O1317" t="str">
        <f>"456720"</f>
        <v>456720</v>
      </c>
      <c r="P1317" t="str">
        <f>"ОБЛ ЧЕЛЯБИНСКАЯ"</f>
        <v>ОБЛ ЧЕЛЯБИНСКАЯ</v>
      </c>
      <c r="Q1317" t="str">
        <f>"Р-Н КУНАШАКСКИЙ"</f>
        <v>Р-Н КУНАШАКСКИЙ</v>
      </c>
      <c r="R1317" t="str">
        <f>""</f>
        <v/>
      </c>
      <c r="S1317" t="str">
        <f>"Ж/Д_СТ МУСЛЮМОВО"</f>
        <v>Ж/Д_СТ МУСЛЮМОВО</v>
      </c>
      <c r="T1317" t="str">
        <f>"УЛ ОКТЯБРЬСКАЯ"</f>
        <v>УЛ ОКТЯБРЬСКАЯ</v>
      </c>
      <c r="U1317" s="1" t="str">
        <f>"33"</f>
        <v>33</v>
      </c>
      <c r="V1317" s="1" t="str">
        <f>""</f>
        <v/>
      </c>
      <c r="W1317" s="1" t="str">
        <f>""</f>
        <v/>
      </c>
      <c r="X1317" s="1" t="str">
        <f>""</f>
        <v/>
      </c>
      <c r="Y1317" s="1" t="str">
        <f>""</f>
        <v/>
      </c>
      <c r="Z1317" t="str">
        <f>""</f>
        <v/>
      </c>
      <c r="AA1317" t="str">
        <f>"9048153174"</f>
        <v>9048153174</v>
      </c>
      <c r="AB1317" t="str">
        <f>"9048048966"</f>
        <v>9048048966</v>
      </c>
      <c r="AC1317" t="str">
        <f>"9048153174"</f>
        <v>9048153174</v>
      </c>
      <c r="AD1317" t="str">
        <f>"9048048966"</f>
        <v>9048048966</v>
      </c>
      <c r="AE1317" t="str">
        <f>""</f>
        <v/>
      </c>
    </row>
    <row r="1318" spans="1:31" x14ac:dyDescent="0.45">
      <c r="A1318" t="str">
        <f>"САЛИМГАРЕЕВ ЕВГЕНИЙ ВИЛЕВИЧ"</f>
        <v>САЛИМГАРЕЕВ ЕВГЕНИЙ ВИЛЕВИЧ</v>
      </c>
      <c r="B1318" t="str">
        <f>"1966-02-04"</f>
        <v>1966-02-04</v>
      </c>
      <c r="C1318" t="str">
        <f>"80 10 224847"</f>
        <v>80 10 224847</v>
      </c>
      <c r="D1318" t="str">
        <f>"4279011668203139"</f>
        <v>4279011668203139</v>
      </c>
      <c r="E1318" t="str">
        <f t="shared" si="217"/>
        <v>2021-06-30</v>
      </c>
      <c r="F1318" t="str">
        <f t="shared" si="216"/>
        <v>+</v>
      </c>
      <c r="G1318" t="str">
        <f t="shared" si="216"/>
        <v>+</v>
      </c>
      <c r="H1318" t="str">
        <f>"40817810416991463180"</f>
        <v>40817810416991463180</v>
      </c>
      <c r="I1318" t="str">
        <f>"8598"</f>
        <v>8598</v>
      </c>
      <c r="J1318" t="str">
        <f>"0160"</f>
        <v>0160</v>
      </c>
      <c r="K1318" t="str">
        <f>"120000.00"</f>
        <v>120000.00</v>
      </c>
      <c r="L1318" t="str">
        <f>"450000 РЕСП БАШКОРТОСТАН   Г УФА   ПР-КТ ОКТЯБРЯ д. 57 корп. 3 кв. 88"</f>
        <v>450000 РЕСП БАШКОРТОСТАН   Г УФА   ПР-КТ ОКТЯБРЯ д. 57 корп. 3 кв. 88</v>
      </c>
      <c r="M1318" t="str">
        <f t="shared" si="211"/>
        <v>2019-08-24</v>
      </c>
      <c r="N1318" t="str">
        <f>"ООО ГЕОТЕХНОЛОГИЯ"</f>
        <v>ООО ГЕОТЕХНОЛОГИЯ</v>
      </c>
      <c r="O1318" t="str">
        <f>"450000"</f>
        <v>450000</v>
      </c>
      <c r="P1318" t="str">
        <f>"РЕСП БАШКОРТОСТАН"</f>
        <v>РЕСП БАШКОРТОСТАН</v>
      </c>
      <c r="Q1318" t="str">
        <f>""</f>
        <v/>
      </c>
      <c r="R1318" t="str">
        <f>"Г УФА"</f>
        <v>Г УФА</v>
      </c>
      <c r="S1318" t="str">
        <f>""</f>
        <v/>
      </c>
      <c r="T1318" t="str">
        <f>"ПР-КТ ОКТЯБРЯ"</f>
        <v>ПР-КТ ОКТЯБРЯ</v>
      </c>
      <c r="U1318" s="1" t="str">
        <f>"57"</f>
        <v>57</v>
      </c>
      <c r="V1318" s="1" t="str">
        <f>""</f>
        <v/>
      </c>
      <c r="W1318" s="1" t="str">
        <f>"3"</f>
        <v>3</v>
      </c>
      <c r="X1318" s="1" t="str">
        <f>""</f>
        <v/>
      </c>
      <c r="Y1318" s="1" t="str">
        <f>"88"</f>
        <v>88</v>
      </c>
      <c r="Z1318" t="str">
        <f>""</f>
        <v/>
      </c>
      <c r="AA1318" t="str">
        <f>"9177587207"</f>
        <v>9177587207</v>
      </c>
      <c r="AB1318" t="str">
        <f>"9177587207"</f>
        <v>9177587207</v>
      </c>
      <c r="AC1318" t="str">
        <f>"9177587207"</f>
        <v>9177587207</v>
      </c>
      <c r="AD1318" t="str">
        <f>"9177587207"</f>
        <v>9177587207</v>
      </c>
      <c r="AE1318" t="str">
        <f>""</f>
        <v/>
      </c>
    </row>
    <row r="1319" spans="1:31" x14ac:dyDescent="0.45">
      <c r="A1319" t="str">
        <f>"ЗАРИПОВ АЛЕКСАНДР ЯРХАМОВИЧ"</f>
        <v>ЗАРИПОВ АЛЕКСАНДР ЯРХАМОВИЧ</v>
      </c>
      <c r="B1319" t="str">
        <f>"1975-05-19"</f>
        <v>1975-05-19</v>
      </c>
      <c r="C1319" t="str">
        <f>"65 05 732642"</f>
        <v>65 05 732642</v>
      </c>
      <c r="D1319" t="str">
        <f>"4279011655843913"</f>
        <v>4279011655843913</v>
      </c>
      <c r="E1319" t="str">
        <f t="shared" si="217"/>
        <v>2021-06-30</v>
      </c>
      <c r="F1319" t="str">
        <f t="shared" si="216"/>
        <v>+</v>
      </c>
      <c r="G1319" t="str">
        <f t="shared" si="216"/>
        <v>+</v>
      </c>
      <c r="H1319" t="str">
        <f>"40817810016991463182"</f>
        <v>40817810016991463182</v>
      </c>
      <c r="I1319" t="str">
        <f>"7003"</f>
        <v>7003</v>
      </c>
      <c r="J1319" t="str">
        <f>"0560"</f>
        <v>0560</v>
      </c>
      <c r="K1319" t="str">
        <f>"200000.00"</f>
        <v>200000.00</v>
      </c>
      <c r="L1319" t="str">
        <f>"624300 ОБЛ СВЕРДЛОВСКАЯ Р-Н КУШВИНСКИЙ Г КУШВА НП ГОРОД УЛ ТРАКТОВАЯ д. 22 корп. А"</f>
        <v>624300 ОБЛ СВЕРДЛОВСКАЯ Р-Н КУШВИНСКИЙ Г КУШВА НП ГОРОД УЛ ТРАКТОВАЯ д. 22 корп. А</v>
      </c>
      <c r="M1319" t="str">
        <f t="shared" si="211"/>
        <v>2019-08-24</v>
      </c>
      <c r="N1319" t="str">
        <f>"ИП ЯКОВЕНКО"</f>
        <v>ИП ЯКОВЕНКО</v>
      </c>
      <c r="O1319" t="str">
        <f>"624300"</f>
        <v>624300</v>
      </c>
      <c r="P1319" t="str">
        <f>"ОБЛ СВЕРДЛОВСКАЯ"</f>
        <v>ОБЛ СВЕРДЛОВСКАЯ</v>
      </c>
      <c r="Q1319" t="str">
        <f>"Р-Н КУШВИНСКИЙ"</f>
        <v>Р-Н КУШВИНСКИЙ</v>
      </c>
      <c r="R1319" t="str">
        <f>"Г КУШВА"</f>
        <v>Г КУШВА</v>
      </c>
      <c r="S1319" t="str">
        <f>"Г КУШВА"</f>
        <v>Г КУШВА</v>
      </c>
      <c r="T1319" t="str">
        <f>"УЛ ПЕРВОМАЙСКАЯ"</f>
        <v>УЛ ПЕРВОМАЙСКАЯ</v>
      </c>
      <c r="U1319" s="1" t="str">
        <f>"24"</f>
        <v>24</v>
      </c>
      <c r="V1319" s="1" t="str">
        <f>""</f>
        <v/>
      </c>
      <c r="W1319" s="1" t="str">
        <f>""</f>
        <v/>
      </c>
      <c r="X1319" s="1" t="str">
        <f>""</f>
        <v/>
      </c>
      <c r="Y1319" s="1" t="str">
        <f>"3"</f>
        <v>3</v>
      </c>
      <c r="Z1319" t="str">
        <f>"3434424922"</f>
        <v>3434424922</v>
      </c>
      <c r="AA1319" t="str">
        <f>"9506558470"</f>
        <v>9506558470</v>
      </c>
      <c r="AB1319" t="str">
        <f>"9506558470"</f>
        <v>9506558470</v>
      </c>
      <c r="AC1319" t="str">
        <f>"9506558470"</f>
        <v>9506558470</v>
      </c>
      <c r="AD1319" t="str">
        <f>"9655107057"</f>
        <v>9655107057</v>
      </c>
      <c r="AE1319" t="str">
        <f>"3434424922"</f>
        <v>3434424922</v>
      </c>
    </row>
    <row r="1320" spans="1:31" x14ac:dyDescent="0.45">
      <c r="A1320" t="str">
        <f>"ЕЛИЗАРОВ АЛЕКСАНДР БОРИСОВИЧ"</f>
        <v>ЕЛИЗАРОВ АЛЕКСАНДР БОРИСОВИЧ</v>
      </c>
      <c r="B1320" t="str">
        <f>"1975-09-28"</f>
        <v>1975-09-28</v>
      </c>
      <c r="C1320" t="str">
        <f>"65 03 013034"</f>
        <v>65 03 013034</v>
      </c>
      <c r="D1320" t="str">
        <f>"4279011669039896"</f>
        <v>4279011669039896</v>
      </c>
      <c r="E1320" t="str">
        <f t="shared" si="217"/>
        <v>2021-06-30</v>
      </c>
      <c r="F1320" t="str">
        <f t="shared" ref="F1320:G1328" si="218">"+"</f>
        <v>+</v>
      </c>
      <c r="G1320" t="str">
        <f t="shared" si="218"/>
        <v>+</v>
      </c>
      <c r="H1320" t="str">
        <f>"40817810316991463183"</f>
        <v>40817810316991463183</v>
      </c>
      <c r="I1320" t="str">
        <f>"7003"</f>
        <v>7003</v>
      </c>
      <c r="J1320" t="str">
        <f>"0875"</f>
        <v>0875</v>
      </c>
      <c r="K1320" t="str">
        <f>"60000.00"</f>
        <v>60000.00</v>
      </c>
      <c r="L1320" t="str">
        <f>"620000 ОБЛ СВЕРДЛОВСКАЯ   Г ЕКАТЕРИНБУРГ   УЛ ТАГАНСКАЯ д. 79"</f>
        <v>620000 ОБЛ СВЕРДЛОВСКАЯ   Г ЕКАТЕРИНБУРГ   УЛ ТАГАНСКАЯ д. 79</v>
      </c>
      <c r="M1320" t="str">
        <f t="shared" si="211"/>
        <v>2019-08-24</v>
      </c>
      <c r="N1320" t="str">
        <f>"ИП ЦВЕТКОВ"</f>
        <v>ИП ЦВЕТКОВ</v>
      </c>
      <c r="O1320" t="str">
        <f>"620000"</f>
        <v>620000</v>
      </c>
      <c r="P1320" t="str">
        <f>"ОБЛ СВЕРДЛОВСКАЯ"</f>
        <v>ОБЛ СВЕРДЛОВСКАЯ</v>
      </c>
      <c r="Q1320" t="str">
        <f>""</f>
        <v/>
      </c>
      <c r="R1320" t="str">
        <f>"Г ЕКАТЕРИНБУРГ"</f>
        <v>Г ЕКАТЕРИНБУРГ</v>
      </c>
      <c r="S1320" t="str">
        <f>""</f>
        <v/>
      </c>
      <c r="T1320" t="str">
        <f>"УЛ ОКРАИННАЯ"</f>
        <v>УЛ ОКРАИННАЯ</v>
      </c>
      <c r="U1320" s="1" t="str">
        <f>"15"</f>
        <v>15</v>
      </c>
      <c r="V1320" s="1" t="str">
        <f>""</f>
        <v/>
      </c>
      <c r="W1320" s="1" t="str">
        <f>""</f>
        <v/>
      </c>
      <c r="X1320" s="1" t="str">
        <f>""</f>
        <v/>
      </c>
      <c r="Y1320" s="1" t="str">
        <f>"3"</f>
        <v>3</v>
      </c>
      <c r="Z1320" t="str">
        <f>""</f>
        <v/>
      </c>
      <c r="AA1320" t="str">
        <f>"9221282940"</f>
        <v>9221282940</v>
      </c>
      <c r="AB1320" t="str">
        <f>"9221282940"</f>
        <v>9221282940</v>
      </c>
      <c r="AC1320" t="str">
        <f>"9221282940"</f>
        <v>9221282940</v>
      </c>
      <c r="AD1320" t="str">
        <f>"9221282940"</f>
        <v>9221282940</v>
      </c>
      <c r="AE1320" t="str">
        <f>""</f>
        <v/>
      </c>
    </row>
    <row r="1321" spans="1:31" x14ac:dyDescent="0.45">
      <c r="A1321" t="str">
        <f>"ШУМКОВА ЕЛЕНА ЮРЬЕВНА"</f>
        <v>ШУМКОВА ЕЛЕНА ЮРЬЕВНА</v>
      </c>
      <c r="B1321" t="str">
        <f>"1982-07-03"</f>
        <v>1982-07-03</v>
      </c>
      <c r="C1321" t="str">
        <f>"65 05 358083"</f>
        <v>65 05 358083</v>
      </c>
      <c r="D1321" t="str">
        <f>"4279011674318285"</f>
        <v>4279011674318285</v>
      </c>
      <c r="E1321" t="str">
        <f t="shared" si="217"/>
        <v>2021-06-30</v>
      </c>
      <c r="F1321" t="str">
        <f t="shared" si="218"/>
        <v>+</v>
      </c>
      <c r="G1321" t="str">
        <f t="shared" si="218"/>
        <v>+</v>
      </c>
      <c r="H1321" t="str">
        <f>"40817810616991463184"</f>
        <v>40817810616991463184</v>
      </c>
      <c r="I1321" t="str">
        <f>"7003"</f>
        <v>7003</v>
      </c>
      <c r="J1321" t="str">
        <f>"0393"</f>
        <v>0393</v>
      </c>
      <c r="K1321" t="str">
        <f>"45000.00"</f>
        <v>45000.00</v>
      </c>
      <c r="L1321" t="str">
        <f>"620000 ОБЛ СВЕРДЛОВСКАЯ   Г ЕКАТЕРИНБУРГ   УЛ СИБИРСКИЙ ТРАКТ д. 57"</f>
        <v>620000 ОБЛ СВЕРДЛОВСКАЯ   Г ЕКАТЕРИНБУРГ   УЛ СИБИРСКИЙ ТРАКТ д. 57</v>
      </c>
      <c r="M1321" t="str">
        <f t="shared" si="211"/>
        <v>2019-08-24</v>
      </c>
      <c r="N1321" t="str">
        <f>"ТД ЕВРАЗИЯ"</f>
        <v>ТД ЕВРАЗИЯ</v>
      </c>
      <c r="O1321" t="str">
        <f>"620000"</f>
        <v>620000</v>
      </c>
      <c r="P1321" t="str">
        <f>"ОБЛ СВЕРДЛОВСКАЯ"</f>
        <v>ОБЛ СВЕРДЛОВСКАЯ</v>
      </c>
      <c r="Q1321" t="str">
        <f>""</f>
        <v/>
      </c>
      <c r="R1321" t="str">
        <f>"Г ЕКАТЕРИНБУРГ"</f>
        <v>Г ЕКАТЕРИНБУРГ</v>
      </c>
      <c r="S1321" t="str">
        <f>""</f>
        <v/>
      </c>
      <c r="T1321" t="str">
        <f>"УЛ ПЕХОТИНЦЕВ"</f>
        <v>УЛ ПЕХОТИНЦЕВ</v>
      </c>
      <c r="U1321" s="1" t="str">
        <f>"18"</f>
        <v>18</v>
      </c>
      <c r="V1321" s="1" t="str">
        <f>""</f>
        <v/>
      </c>
      <c r="W1321" s="1" t="str">
        <f>""</f>
        <v/>
      </c>
      <c r="X1321" s="1" t="str">
        <f>""</f>
        <v/>
      </c>
      <c r="Y1321" s="1" t="str">
        <f>"13"</f>
        <v>13</v>
      </c>
      <c r="Z1321" t="str">
        <f>""</f>
        <v/>
      </c>
      <c r="AA1321" t="str">
        <f>"9506528968"</f>
        <v>9506528968</v>
      </c>
      <c r="AB1321" t="str">
        <f>"9045498960"</f>
        <v>9045498960</v>
      </c>
      <c r="AC1321" t="str">
        <f>"9506528968"</f>
        <v>9506528968</v>
      </c>
      <c r="AD1321" t="str">
        <f>"9045498960"</f>
        <v>9045498960</v>
      </c>
      <c r="AE1321" t="str">
        <f>""</f>
        <v/>
      </c>
    </row>
    <row r="1322" spans="1:31" x14ac:dyDescent="0.45">
      <c r="A1322" t="str">
        <f>"СУЛЕЙМАНОВА ВЕРОНИКА ВАСИЛЬЕВНА"</f>
        <v>СУЛЕЙМАНОВА ВЕРОНИКА ВАСИЛЬЕВНА</v>
      </c>
      <c r="B1322" t="str">
        <f>"1977-10-17"</f>
        <v>1977-10-17</v>
      </c>
      <c r="C1322" t="str">
        <f>"80 05 326100"</f>
        <v>80 05 326100</v>
      </c>
      <c r="D1322" t="str">
        <f>"4276011682802570"</f>
        <v>4276011682802570</v>
      </c>
      <c r="E1322" t="str">
        <f t="shared" si="217"/>
        <v>2021-06-30</v>
      </c>
      <c r="F1322" t="str">
        <f t="shared" si="218"/>
        <v>+</v>
      </c>
      <c r="G1322" t="str">
        <f t="shared" si="218"/>
        <v>+</v>
      </c>
      <c r="H1322" t="str">
        <f>"40817810216991463186"</f>
        <v>40817810216991463186</v>
      </c>
      <c r="I1322" t="str">
        <f>"8598"</f>
        <v>8598</v>
      </c>
      <c r="J1322" t="str">
        <f>"0226"</f>
        <v>0226</v>
      </c>
      <c r="K1322" t="str">
        <f>"100000.00"</f>
        <v>100000.00</v>
      </c>
      <c r="L1322" t="str">
        <f>"453431 РЕСП БАШКОРТОСТАН   Г БЛАГОВЕЩЕНСК   УЛ ДЕМЬЯНА БЕДНОГО д. 70 стр. 2 кв. 5"</f>
        <v>453431 РЕСП БАШКОРТОСТАН   Г БЛАГОВЕЩЕНСК   УЛ ДЕМЬЯНА БЕДНОГО д. 70 стр. 2 кв. 5</v>
      </c>
      <c r="M1322" t="str">
        <f t="shared" si="211"/>
        <v>2019-08-24</v>
      </c>
      <c r="N1322" t="str">
        <f>"ИП СУЛЕЙМАНОВА ВЕРОНИКА ВАСИЛЬЕВНА"</f>
        <v>ИП СУЛЕЙМАНОВА ВЕРОНИКА ВАСИЛЬЕВНА</v>
      </c>
      <c r="O1322" t="str">
        <f>"453431"</f>
        <v>453431</v>
      </c>
      <c r="P1322" t="str">
        <f>"РЕСП БАШКОРТОСТАН"</f>
        <v>РЕСП БАШКОРТОСТАН</v>
      </c>
      <c r="Q1322" t="str">
        <f>""</f>
        <v/>
      </c>
      <c r="R1322" t="str">
        <f>"Г БЛАГОВЕЩЕНСК"</f>
        <v>Г БЛАГОВЕЩЕНСК</v>
      </c>
      <c r="S1322" t="str">
        <f>""</f>
        <v/>
      </c>
      <c r="T1322" t="str">
        <f>"УЛ ДЕМЬЯНА БЕДНОГО"</f>
        <v>УЛ ДЕМЬЯНА БЕДНОГО</v>
      </c>
      <c r="U1322" s="1" t="str">
        <f>"70"</f>
        <v>70</v>
      </c>
      <c r="V1322" s="1" t="str">
        <f>""</f>
        <v/>
      </c>
      <c r="W1322" s="1" t="str">
        <f>"2"</f>
        <v>2</v>
      </c>
      <c r="X1322" s="1" t="str">
        <f>""</f>
        <v/>
      </c>
      <c r="Y1322" s="1" t="str">
        <f>"5"</f>
        <v>5</v>
      </c>
      <c r="Z1322" t="str">
        <f>""</f>
        <v/>
      </c>
      <c r="AA1322" t="str">
        <f>"3476633561"</f>
        <v>3476633561</v>
      </c>
      <c r="AB1322" t="str">
        <f>"9872491510"</f>
        <v>9872491510</v>
      </c>
      <c r="AC1322" t="str">
        <f>""</f>
        <v/>
      </c>
      <c r="AD1322" t="str">
        <f>"9872491510"</f>
        <v>9872491510</v>
      </c>
      <c r="AE1322" t="str">
        <f>""</f>
        <v/>
      </c>
    </row>
    <row r="1323" spans="1:31" x14ac:dyDescent="0.45">
      <c r="A1323" t="str">
        <f>"ИВАНЕНКО АНДРЕЙ ВИКТОРОВИЧ"</f>
        <v>ИВАНЕНКО АНДРЕЙ ВИКТОРОВИЧ</v>
      </c>
      <c r="B1323" t="str">
        <f>"1969-06-15"</f>
        <v>1969-06-15</v>
      </c>
      <c r="C1323" t="str">
        <f>"75 13 436444"</f>
        <v>75 13 436444</v>
      </c>
      <c r="D1323" t="str">
        <f>"4279011618914553"</f>
        <v>4279011618914553</v>
      </c>
      <c r="E1323" t="str">
        <f t="shared" si="217"/>
        <v>2021-06-30</v>
      </c>
      <c r="F1323" t="str">
        <f t="shared" si="218"/>
        <v>+</v>
      </c>
      <c r="G1323" t="str">
        <f t="shared" si="218"/>
        <v>+</v>
      </c>
      <c r="H1323" t="str">
        <f>"40817810516991463187"</f>
        <v>40817810516991463187</v>
      </c>
      <c r="I1323" t="str">
        <f>"8597"</f>
        <v>8597</v>
      </c>
      <c r="J1323" t="str">
        <f>"0455"</f>
        <v>0455</v>
      </c>
      <c r="K1323" t="str">
        <f>"100000.00"</f>
        <v>100000.00</v>
      </c>
      <c r="L1323" t="str">
        <f>"454000 ОБЛ ЧЕЛЯБИНСКАЯ   Г ЧЕЛЯБИНСК   Ш КОПЕЙСКОЕ д. 1Д"</f>
        <v>454000 ОБЛ ЧЕЛЯБИНСКАЯ   Г ЧЕЛЯБИНСК   Ш КОПЕЙСКОЕ д. 1Д</v>
      </c>
      <c r="M1323" t="str">
        <f t="shared" si="211"/>
        <v>2019-08-24</v>
      </c>
      <c r="N1323" t="s">
        <v>87</v>
      </c>
      <c r="O1323" t="str">
        <f>"454000"</f>
        <v>454000</v>
      </c>
      <c r="P1323" t="str">
        <f>"ОБЛ ЧЕЛЯБИНСКАЯ"</f>
        <v>ОБЛ ЧЕЛЯБИНСКАЯ</v>
      </c>
      <c r="Q1323" t="str">
        <f>""</f>
        <v/>
      </c>
      <c r="R1323" t="str">
        <f>"Г ЮЖНОУРАЛЬСК"</f>
        <v>Г ЮЖНОУРАЛЬСК</v>
      </c>
      <c r="S1323" t="str">
        <f>""</f>
        <v/>
      </c>
      <c r="T1323" t="str">
        <f>"УЛ ЭНЕРГЕТИКОВ"</f>
        <v>УЛ ЭНЕРГЕТИКОВ</v>
      </c>
      <c r="U1323" s="1" t="str">
        <f>"4"</f>
        <v>4</v>
      </c>
      <c r="V1323" s="1" t="str">
        <f>""</f>
        <v/>
      </c>
      <c r="W1323" s="1" t="str">
        <f>""</f>
        <v/>
      </c>
      <c r="X1323" s="1" t="str">
        <f>""</f>
        <v/>
      </c>
      <c r="Y1323" s="1" t="str">
        <f>"2"</f>
        <v>2</v>
      </c>
      <c r="Z1323" t="str">
        <f>""</f>
        <v/>
      </c>
      <c r="AA1323" t="str">
        <f>"9512543141"</f>
        <v>9512543141</v>
      </c>
      <c r="AB1323" t="str">
        <f>"9512543141"</f>
        <v>9512543141</v>
      </c>
      <c r="AC1323" t="str">
        <f>"9512543141"</f>
        <v>9512543141</v>
      </c>
      <c r="AD1323" t="str">
        <f>"9512543141"</f>
        <v>9512543141</v>
      </c>
      <c r="AE1323" t="str">
        <f>""</f>
        <v/>
      </c>
    </row>
    <row r="1324" spans="1:31" x14ac:dyDescent="0.45">
      <c r="A1324" t="str">
        <f>"ШУБИН АЛЕКСАНДР ИВАНОВИЧ"</f>
        <v>ШУБИН АЛЕКСАНДР ИВАНОВИЧ</v>
      </c>
      <c r="B1324" t="str">
        <f>"1954-01-02"</f>
        <v>1954-01-02</v>
      </c>
      <c r="C1324" t="str">
        <f>"67 05 558938"</f>
        <v>67 05 558938</v>
      </c>
      <c r="D1324" t="str">
        <f>"5313100731200720"</f>
        <v>5313100731200720</v>
      </c>
      <c r="E1324" t="str">
        <f>"2021-03-31"</f>
        <v>2021-03-31</v>
      </c>
      <c r="F1324" t="str">
        <f t="shared" si="218"/>
        <v>+</v>
      </c>
      <c r="G1324" t="str">
        <f t="shared" si="218"/>
        <v>+</v>
      </c>
      <c r="H1324" t="str">
        <f>"40817810716992652085"</f>
        <v>40817810716992652085</v>
      </c>
      <c r="I1324" t="str">
        <f>"5940"</f>
        <v>5940</v>
      </c>
      <c r="J1324" t="str">
        <f>"0104"</f>
        <v>0104</v>
      </c>
      <c r="K1324" t="str">
        <f>"100000.00"</f>
        <v>100000.00</v>
      </c>
      <c r="L1324" t="str">
        <f>"628300 ОБЛ ТЮМЕНСКАЯ   Г ПЫТЬ-ЯХ   УЛ СОВЕТСКАЯ д. 56 кв. 3"</f>
        <v>628300 ОБЛ ТЮМЕНСКАЯ   Г ПЫТЬ-ЯХ   УЛ СОВЕТСКАЯ д. 56 кв. 3</v>
      </c>
      <c r="M1324" t="str">
        <f t="shared" si="211"/>
        <v>2019-08-24</v>
      </c>
      <c r="N1324" t="str">
        <f>"ПЕНСИОНЕР"</f>
        <v>ПЕНСИОНЕР</v>
      </c>
      <c r="O1324" t="str">
        <f>"628300"</f>
        <v>628300</v>
      </c>
      <c r="P1324" t="str">
        <f t="shared" ref="P1324:P1338" si="219">"ОБЛ ТЮМЕНСКАЯ"</f>
        <v>ОБЛ ТЮМЕНСКАЯ</v>
      </c>
      <c r="Q1324" t="str">
        <f>""</f>
        <v/>
      </c>
      <c r="R1324" t="str">
        <f>"Г ПЫТЬ-ЯХ"</f>
        <v>Г ПЫТЬ-ЯХ</v>
      </c>
      <c r="S1324" t="str">
        <f>""</f>
        <v/>
      </c>
      <c r="T1324" t="str">
        <f>"УЛ СОВЕТСКАЯ"</f>
        <v>УЛ СОВЕТСКАЯ</v>
      </c>
      <c r="U1324" s="1" t="str">
        <f>"56"</f>
        <v>56</v>
      </c>
      <c r="V1324" s="1" t="str">
        <f>""</f>
        <v/>
      </c>
      <c r="W1324" s="1" t="str">
        <f>""</f>
        <v/>
      </c>
      <c r="X1324" s="1" t="str">
        <f>""</f>
        <v/>
      </c>
      <c r="Y1324" s="1" t="str">
        <f>"3"</f>
        <v>3</v>
      </c>
      <c r="Z1324" t="str">
        <f>"9227841017"</f>
        <v>9227841017</v>
      </c>
      <c r="AA1324" t="str">
        <f>"9224401257"</f>
        <v>9224401257</v>
      </c>
      <c r="AB1324" t="str">
        <f>"9224401257"</f>
        <v>9224401257</v>
      </c>
      <c r="AC1324" t="str">
        <f>"9224401257"</f>
        <v>9224401257</v>
      </c>
      <c r="AD1324" t="str">
        <f>"9224401257"</f>
        <v>9224401257</v>
      </c>
      <c r="AE1324" t="str">
        <f>"9227841017"</f>
        <v>9227841017</v>
      </c>
    </row>
    <row r="1325" spans="1:31" x14ac:dyDescent="0.45">
      <c r="A1325" t="str">
        <f>"ЛИТВИНЕНКО НАТАЛЬЯ АЛЕКСАНДРОВНА"</f>
        <v>ЛИТВИНЕНКО НАТАЛЬЯ АЛЕКСАНДРОВНА</v>
      </c>
      <c r="B1325" t="str">
        <f>"1971-06-27"</f>
        <v>1971-06-27</v>
      </c>
      <c r="C1325" t="str">
        <f>"71 16 240347"</f>
        <v>71 16 240347</v>
      </c>
      <c r="D1325" t="str">
        <f>"5484016707478756"</f>
        <v>5484016707478756</v>
      </c>
      <c r="E1325" t="str">
        <f t="shared" ref="E1325:E1343" si="220">"2021-05-31"</f>
        <v>2021-05-31</v>
      </c>
      <c r="F1325" t="str">
        <f t="shared" si="218"/>
        <v>+</v>
      </c>
      <c r="G1325" t="str">
        <f t="shared" si="218"/>
        <v>+</v>
      </c>
      <c r="H1325" t="str">
        <f>"40817810316992655547"</f>
        <v>40817810316992655547</v>
      </c>
      <c r="I1325" t="str">
        <f>"8647"</f>
        <v>8647</v>
      </c>
      <c r="J1325" t="str">
        <f>"7770"</f>
        <v>7770</v>
      </c>
      <c r="K1325" t="str">
        <f>"10000.00"</f>
        <v>10000.00</v>
      </c>
      <c r="L1325" t="str">
        <f>"625000 ОБЛ ТЮМЕНСКАЯ   Г ТЮМЕНЬ   УЛ КОТОВСКОГО д. 55"</f>
        <v>625000 ОБЛ ТЮМЕНСКАЯ   Г ТЮМЕНЬ   УЛ КОТОВСКОГО д. 55</v>
      </c>
      <c r="M1325" t="str">
        <f t="shared" si="211"/>
        <v>2019-08-24</v>
      </c>
      <c r="N1325" t="str">
        <f>"ГБУЗ ТО ОКБ №1"</f>
        <v>ГБУЗ ТО ОКБ №1</v>
      </c>
      <c r="O1325" t="str">
        <f>"625000"</f>
        <v>625000</v>
      </c>
      <c r="P1325" t="str">
        <f t="shared" si="219"/>
        <v>ОБЛ ТЮМЕНСКАЯ</v>
      </c>
      <c r="Q1325" t="str">
        <f>""</f>
        <v/>
      </c>
      <c r="R1325" t="str">
        <f>"Г ТЮМЕНЬ"</f>
        <v>Г ТЮМЕНЬ</v>
      </c>
      <c r="S1325" t="str">
        <f>""</f>
        <v/>
      </c>
      <c r="T1325" t="str">
        <f>"УЛ ВОРОВСКОГО"</f>
        <v>УЛ ВОРОВСКОГО</v>
      </c>
      <c r="U1325" s="1" t="str">
        <f>"23"</f>
        <v>23</v>
      </c>
      <c r="V1325" s="1" t="str">
        <f>""</f>
        <v/>
      </c>
      <c r="W1325" s="1" t="str">
        <f>""</f>
        <v/>
      </c>
      <c r="X1325" s="1" t="str">
        <f>""</f>
        <v/>
      </c>
      <c r="Y1325" s="1" t="str">
        <f>"19"</f>
        <v>19</v>
      </c>
      <c r="Z1325" t="str">
        <f>"3452560010"</f>
        <v>3452560010</v>
      </c>
      <c r="AA1325" t="str">
        <f>"9044617128"</f>
        <v>9044617128</v>
      </c>
      <c r="AB1325" t="str">
        <f>"9044617128"</f>
        <v>9044617128</v>
      </c>
      <c r="AC1325" t="str">
        <f>"9044617128"</f>
        <v>9044617128</v>
      </c>
      <c r="AD1325" t="str">
        <f>"9044617128"</f>
        <v>9044617128</v>
      </c>
      <c r="AE1325" t="str">
        <f>"3452560010"</f>
        <v>3452560010</v>
      </c>
    </row>
    <row r="1326" spans="1:31" x14ac:dyDescent="0.45">
      <c r="A1326" t="str">
        <f>"САЛМИН РОМАН СЕРГЕЕВИЧ"</f>
        <v>САЛМИН РОМАН СЕРГЕЕВИЧ</v>
      </c>
      <c r="B1326" t="str">
        <f>"1994-05-04"</f>
        <v>1994-05-04</v>
      </c>
      <c r="C1326" t="str">
        <f>"71 14 068439"</f>
        <v>71 14 068439</v>
      </c>
      <c r="D1326" t="str">
        <f>"5484016706242831"</f>
        <v>5484016706242831</v>
      </c>
      <c r="E1326" t="str">
        <f t="shared" si="220"/>
        <v>2021-05-31</v>
      </c>
      <c r="F1326" t="str">
        <f t="shared" si="218"/>
        <v>+</v>
      </c>
      <c r="G1326" t="str">
        <f t="shared" si="218"/>
        <v>+</v>
      </c>
      <c r="H1326" t="str">
        <f>"40817810616992655629"</f>
        <v>40817810616992655629</v>
      </c>
      <c r="I1326" t="str">
        <f>"8647"</f>
        <v>8647</v>
      </c>
      <c r="J1326" t="str">
        <f>"7770"</f>
        <v>7770</v>
      </c>
      <c r="K1326" t="str">
        <f>"50000.00"</f>
        <v>50000.00</v>
      </c>
      <c r="L1326" t="str">
        <f>"625062 ОБЛ ТЮМЕНСКАЯ   Г ТЮМЕНЬ   УЛ ФЕДЮНИНСКОГО д. 51/2"</f>
        <v>625062 ОБЛ ТЮМЕНСКАЯ   Г ТЮМЕНЬ   УЛ ФЕДЮНИНСКОГО д. 51/2</v>
      </c>
      <c r="M1326" t="str">
        <f t="shared" si="211"/>
        <v>2019-08-24</v>
      </c>
      <c r="N1326" t="str">
        <f>"АВТО-ДИНА"</f>
        <v>АВТО-ДИНА</v>
      </c>
      <c r="O1326" t="str">
        <f>"625053"</f>
        <v>625053</v>
      </c>
      <c r="P1326" t="str">
        <f t="shared" si="219"/>
        <v>ОБЛ ТЮМЕНСКАЯ</v>
      </c>
      <c r="Q1326" t="str">
        <f>""</f>
        <v/>
      </c>
      <c r="R1326" t="str">
        <f>"Г ТЮМЕНЬ"</f>
        <v>Г ТЮМЕНЬ</v>
      </c>
      <c r="S1326" t="str">
        <f>""</f>
        <v/>
      </c>
      <c r="T1326" t="str">
        <f>"УЛ ЦВЕТОЧНАЯ"</f>
        <v>УЛ ЦВЕТОЧНАЯ</v>
      </c>
      <c r="U1326" s="1" t="str">
        <f>"12"</f>
        <v>12</v>
      </c>
      <c r="V1326" s="1" t="str">
        <f>""</f>
        <v/>
      </c>
      <c r="W1326" s="1" t="str">
        <f>""</f>
        <v/>
      </c>
      <c r="X1326" s="1" t="str">
        <f>""</f>
        <v/>
      </c>
      <c r="Y1326" s="1" t="str">
        <f>""</f>
        <v/>
      </c>
      <c r="Z1326" t="str">
        <f>"3452522300"</f>
        <v>3452522300</v>
      </c>
      <c r="AA1326" t="str">
        <f>"9612018331"</f>
        <v>9612018331</v>
      </c>
      <c r="AB1326" t="str">
        <f>"9612018331"</f>
        <v>9612018331</v>
      </c>
      <c r="AC1326" t="str">
        <f>"9612018331"</f>
        <v>9612018331</v>
      </c>
      <c r="AD1326" t="str">
        <f>"9612018331"</f>
        <v>9612018331</v>
      </c>
      <c r="AE1326" t="str">
        <f>"3452522300"</f>
        <v>3452522300</v>
      </c>
    </row>
    <row r="1327" spans="1:31" x14ac:dyDescent="0.45">
      <c r="A1327" t="str">
        <f>"СБРОДОВА ЕВА ВЛАДИМИРОВНА"</f>
        <v>СБРОДОВА ЕВА ВЛАДИМИРОВНА</v>
      </c>
      <c r="B1327" t="str">
        <f>"1972-06-23"</f>
        <v>1972-06-23</v>
      </c>
      <c r="C1327" t="str">
        <f>"71 17 289737"</f>
        <v>71 17 289737</v>
      </c>
      <c r="D1327" t="str">
        <f>"5484016704894674"</f>
        <v>5484016704894674</v>
      </c>
      <c r="E1327" t="str">
        <f t="shared" si="220"/>
        <v>2021-05-31</v>
      </c>
      <c r="F1327" t="str">
        <f t="shared" si="218"/>
        <v>+</v>
      </c>
      <c r="G1327" t="str">
        <f t="shared" si="218"/>
        <v>+</v>
      </c>
      <c r="H1327" t="str">
        <f>"40817810416992300909"</f>
        <v>40817810416992300909</v>
      </c>
      <c r="I1327" t="str">
        <f>"8647"</f>
        <v>8647</v>
      </c>
      <c r="J1327" t="str">
        <f>"7770"</f>
        <v>7770</v>
      </c>
      <c r="K1327" t="str">
        <f>"200000.00"</f>
        <v>200000.00</v>
      </c>
      <c r="L1327" t="str">
        <f>"625000 ОБЛ ТЮМЕНСКАЯ   Г ТЮМЕНЬ   УЛ ЮРИЯ СЕМОВСКИХ д. 10"</f>
        <v>625000 ОБЛ ТЮМЕНСКАЯ   Г ТЮМЕНЬ   УЛ ЮРИЯ СЕМОВСКИХ д. 10</v>
      </c>
      <c r="M1327" t="str">
        <f t="shared" si="211"/>
        <v>2019-08-24</v>
      </c>
      <c r="N1327" t="str">
        <f>"ОКБ № 1"</f>
        <v>ОКБ № 1</v>
      </c>
      <c r="O1327" t="str">
        <f>"625000"</f>
        <v>625000</v>
      </c>
      <c r="P1327" t="str">
        <f t="shared" si="219"/>
        <v>ОБЛ ТЮМЕНСКАЯ</v>
      </c>
      <c r="Q1327" t="str">
        <f>""</f>
        <v/>
      </c>
      <c r="R1327" t="str">
        <f>"Г ТЮМЕНЬ"</f>
        <v>Г ТЮМЕНЬ</v>
      </c>
      <c r="S1327" t="str">
        <f>""</f>
        <v/>
      </c>
      <c r="T1327" t="str">
        <f>"УЛ 50 ЛЕТ ОКТЯБРЯ"</f>
        <v>УЛ 50 ЛЕТ ОКТЯБРЯ</v>
      </c>
      <c r="U1327" s="1" t="str">
        <f>"21А"</f>
        <v>21А</v>
      </c>
      <c r="V1327" s="1" t="str">
        <f>""</f>
        <v/>
      </c>
      <c r="W1327" s="1" t="str">
        <f>""</f>
        <v/>
      </c>
      <c r="X1327" s="1" t="str">
        <f>""</f>
        <v/>
      </c>
      <c r="Y1327" s="1" t="str">
        <f>"162"</f>
        <v>162</v>
      </c>
      <c r="Z1327" t="str">
        <f>"3452560010"</f>
        <v>3452560010</v>
      </c>
      <c r="AA1327" t="str">
        <f>"9224882590"</f>
        <v>9224882590</v>
      </c>
      <c r="AB1327" t="str">
        <f>"9224882590"</f>
        <v>9224882590</v>
      </c>
      <c r="AC1327" t="str">
        <f>"9224882590"</f>
        <v>9224882590</v>
      </c>
      <c r="AD1327" t="str">
        <f>"9224882590"</f>
        <v>9224882590</v>
      </c>
      <c r="AE1327" t="str">
        <f>"3452560010"</f>
        <v>3452560010</v>
      </c>
    </row>
    <row r="1328" spans="1:31" x14ac:dyDescent="0.45">
      <c r="A1328" t="str">
        <f>"ЕФИМОВА АЛЕНА ИГОРЕВНА"</f>
        <v>ЕФИМОВА АЛЕНА ИГОРЕВНА</v>
      </c>
      <c r="B1328" t="str">
        <f>"1997-01-24"</f>
        <v>1997-01-24</v>
      </c>
      <c r="C1328" t="str">
        <f>"67 16 614020"</f>
        <v>67 16 614020</v>
      </c>
      <c r="D1328" t="str">
        <f>"5484016703409664"</f>
        <v>5484016703409664</v>
      </c>
      <c r="E1328" t="str">
        <f t="shared" si="220"/>
        <v>2021-05-31</v>
      </c>
      <c r="F1328" t="str">
        <f t="shared" si="218"/>
        <v>+</v>
      </c>
      <c r="G1328" t="str">
        <f t="shared" si="218"/>
        <v>+</v>
      </c>
      <c r="H1328" t="str">
        <f>"40817810816992300965"</f>
        <v>40817810816992300965</v>
      </c>
      <c r="I1328" t="str">
        <f>"5940"</f>
        <v>5940</v>
      </c>
      <c r="J1328" t="str">
        <f>"7770"</f>
        <v>7770</v>
      </c>
      <c r="K1328" t="str">
        <f>"22000.00"</f>
        <v>22000.00</v>
      </c>
      <c r="L1328" t="str">
        <f>"628400 ОБЛ ТЮМЕНСКАЯ     Г СУРГУТ УЛ УНИВЕРСИТЕТСКАЯ д. 21/2"</f>
        <v>628400 ОБЛ ТЮМЕНСКАЯ     Г СУРГУТ УЛ УНИВЕРСИТЕТСКАЯ д. 21/2</v>
      </c>
      <c r="M1328" t="str">
        <f t="shared" si="211"/>
        <v>2019-08-24</v>
      </c>
      <c r="N1328" t="str">
        <f>"МАОУДОД СДЮСШОР ОЛИМП"</f>
        <v>МАОУДОД СДЮСШОР ОЛИМП</v>
      </c>
      <c r="O1328" t="str">
        <f>"628400"</f>
        <v>628400</v>
      </c>
      <c r="P1328" t="str">
        <f t="shared" si="219"/>
        <v>ОБЛ ТЮМЕНСКАЯ</v>
      </c>
      <c r="Q1328" t="str">
        <f>"АО ХМАО"</f>
        <v>АО ХМАО</v>
      </c>
      <c r="R1328" t="str">
        <f>"Г СУРГУТ"</f>
        <v>Г СУРГУТ</v>
      </c>
      <c r="S1328" t="str">
        <f>"СНТ СТ №20 МАГИСТРАЛЬ"</f>
        <v>СНТ СТ №20 МАГИСТРАЛЬ</v>
      </c>
      <c r="T1328" t="str">
        <f>""</f>
        <v/>
      </c>
      <c r="U1328" s="1" t="str">
        <f>"УЧ 7"</f>
        <v>УЧ 7</v>
      </c>
      <c r="V1328" s="1" t="str">
        <f>""</f>
        <v/>
      </c>
      <c r="W1328" s="1" t="str">
        <f>""</f>
        <v/>
      </c>
      <c r="X1328" s="1" t="str">
        <f>""</f>
        <v/>
      </c>
      <c r="Y1328" s="1" t="str">
        <f>""</f>
        <v/>
      </c>
      <c r="Z1328" t="str">
        <f>"3462940522"</f>
        <v>3462940522</v>
      </c>
      <c r="AA1328" t="str">
        <f>"9825253577"</f>
        <v>9825253577</v>
      </c>
      <c r="AB1328" t="str">
        <f>"9825253577"</f>
        <v>9825253577</v>
      </c>
      <c r="AC1328" t="str">
        <f>"9825253577"</f>
        <v>9825253577</v>
      </c>
      <c r="AD1328" t="str">
        <f>"9825253577"</f>
        <v>9825253577</v>
      </c>
      <c r="AE1328" t="str">
        <f>"3462940522"</f>
        <v>3462940522</v>
      </c>
    </row>
    <row r="1329" spans="1:31" x14ac:dyDescent="0.45">
      <c r="A1329" t="str">
        <f>"ШВАРЦМАН ЛЮБОВЬ МИХАЙЛОВНА"</f>
        <v>ШВАРЦМАН ЛЮБОВЬ МИХАЙЛОВНА</v>
      </c>
      <c r="B1329" t="str">
        <f>"1961-05-22"</f>
        <v>1961-05-22</v>
      </c>
      <c r="C1329" t="str">
        <f>"67 05 609850"</f>
        <v>67 05 609850</v>
      </c>
      <c r="D1329" t="str">
        <f>"4276016705847320"</f>
        <v>4276016705847320</v>
      </c>
      <c r="E1329" t="str">
        <f t="shared" si="220"/>
        <v>2021-05-31</v>
      </c>
      <c r="F1329" t="str">
        <f>"Q"</f>
        <v>Q</v>
      </c>
      <c r="G1329" t="str">
        <f>"Q"</f>
        <v>Q</v>
      </c>
      <c r="H1329" t="str">
        <f>"40817810467720692978"</f>
        <v>40817810467720692978</v>
      </c>
      <c r="I1329" t="str">
        <f>"1791"</f>
        <v>1791</v>
      </c>
      <c r="J1329" t="str">
        <f>"0081"</f>
        <v>0081</v>
      </c>
      <c r="K1329" t="str">
        <f t="shared" ref="K1329:K1331" si="221">"0.00"</f>
        <v>0.00</v>
      </c>
      <c r="L1329" t="str">
        <f>"628285 ОБЛ ТЮМЕНСКАЯ   Г УРАЙ   МКР 2 д. 24 кв. 1"</f>
        <v>628285 ОБЛ ТЮМЕНСКАЯ   Г УРАЙ   МКР 2 д. 24 кв. 1</v>
      </c>
      <c r="M1329" t="str">
        <f t="shared" si="211"/>
        <v>2019-08-24</v>
      </c>
      <c r="N1329" t="str">
        <f>"ПФР"</f>
        <v>ПФР</v>
      </c>
      <c r="O1329" t="str">
        <f>"628285"</f>
        <v>628285</v>
      </c>
      <c r="P1329" t="str">
        <f t="shared" si="219"/>
        <v>ОБЛ ТЮМЕНСКАЯ</v>
      </c>
      <c r="Q1329" t="str">
        <f>""</f>
        <v/>
      </c>
      <c r="R1329" t="str">
        <f>"Г УРАЙ"</f>
        <v>Г УРАЙ</v>
      </c>
      <c r="S1329" t="str">
        <f>""</f>
        <v/>
      </c>
      <c r="T1329" t="str">
        <f>"МКР 2"</f>
        <v>МКР 2</v>
      </c>
      <c r="U1329" s="1" t="str">
        <f>"93"</f>
        <v>93</v>
      </c>
      <c r="V1329" s="1" t="str">
        <f>""</f>
        <v/>
      </c>
      <c r="W1329" s="1" t="str">
        <f>""</f>
        <v/>
      </c>
      <c r="X1329" s="1" t="str">
        <f>""</f>
        <v/>
      </c>
      <c r="Y1329" s="1" t="str">
        <f>"20"</f>
        <v>20</v>
      </c>
      <c r="Z1329" t="str">
        <f>"3467623316"</f>
        <v>3467623316</v>
      </c>
      <c r="AA1329" t="str">
        <f>"9505278011"</f>
        <v>9505278011</v>
      </c>
      <c r="AB1329" t="str">
        <f>"9505278011"</f>
        <v>9505278011</v>
      </c>
      <c r="AC1329" t="str">
        <f>"9505278011"</f>
        <v>9505278011</v>
      </c>
      <c r="AD1329" t="str">
        <f>"9505278011"</f>
        <v>9505278011</v>
      </c>
      <c r="AE1329" t="str">
        <f>"3467623316"</f>
        <v>3467623316</v>
      </c>
    </row>
    <row r="1330" spans="1:31" x14ac:dyDescent="0.45">
      <c r="A1330" t="str">
        <f>"СОФИЯН НАТАЛИЯ ИВАНОВНА"</f>
        <v>СОФИЯН НАТАЛИЯ ИВАНОВНА</v>
      </c>
      <c r="B1330" t="str">
        <f>"1955-08-29"</f>
        <v>1955-08-29</v>
      </c>
      <c r="C1330" t="str">
        <f>"67 07 722642"</f>
        <v>67 07 722642</v>
      </c>
      <c r="D1330" t="str">
        <f>"4279016717809109"</f>
        <v>4279016717809109</v>
      </c>
      <c r="E1330" t="str">
        <f t="shared" si="220"/>
        <v>2021-05-31</v>
      </c>
      <c r="F1330" t="str">
        <f>"K"</f>
        <v>K</v>
      </c>
      <c r="G1330" t="str">
        <f>"Q"</f>
        <v>Q</v>
      </c>
      <c r="H1330" t="str">
        <f>"40817810216992097315"</f>
        <v>40817810216992097315</v>
      </c>
      <c r="I1330" t="str">
        <f>"5940"</f>
        <v>5940</v>
      </c>
      <c r="J1330" t="str">
        <f>"0066"</f>
        <v>0066</v>
      </c>
      <c r="K1330" t="str">
        <f t="shared" si="221"/>
        <v>0.00</v>
      </c>
      <c r="L1330" t="str">
        <f>"628447 ОБЛ ТЮМЕНСКАЯ Р-Н СУРГУТСКИЙ   П НИЖНЕСОРТЫМСКИЙ УЛ СОТРТЫМСКАЯ д. 3 кв. 22"</f>
        <v>628447 ОБЛ ТЮМЕНСКАЯ Р-Н СУРГУТСКИЙ   П НИЖНЕСОРТЫМСКИЙ УЛ СОТРТЫМСКАЯ д. 3 кв. 22</v>
      </c>
      <c r="M1330" t="str">
        <f t="shared" si="211"/>
        <v>2019-08-24</v>
      </c>
      <c r="N1330" t="str">
        <f>"ПЕНСИОНЕР"</f>
        <v>ПЕНСИОНЕР</v>
      </c>
      <c r="O1330" t="str">
        <f>"628447"</f>
        <v>628447</v>
      </c>
      <c r="P1330" t="str">
        <f t="shared" si="219"/>
        <v>ОБЛ ТЮМЕНСКАЯ</v>
      </c>
      <c r="Q1330" t="str">
        <f>"Р-Н СУРГУТСКИЙ"</f>
        <v>Р-Н СУРГУТСКИЙ</v>
      </c>
      <c r="R1330" t="str">
        <f>""</f>
        <v/>
      </c>
      <c r="S1330" t="str">
        <f>"П НИЖНЕСОРТЫМСКИЙ"</f>
        <v>П НИЖНЕСОРТЫМСКИЙ</v>
      </c>
      <c r="T1330" t="str">
        <f>"УЛ СОРТЫМСКАЯ"</f>
        <v>УЛ СОРТЫМСКАЯ</v>
      </c>
      <c r="U1330" s="1" t="str">
        <f>"3"</f>
        <v>3</v>
      </c>
      <c r="V1330" s="1" t="str">
        <f>""</f>
        <v/>
      </c>
      <c r="W1330" s="1" t="str">
        <f>""</f>
        <v/>
      </c>
      <c r="X1330" s="1" t="str">
        <f>""</f>
        <v/>
      </c>
      <c r="Y1330" s="1" t="str">
        <f>"22"</f>
        <v>22</v>
      </c>
      <c r="Z1330" t="str">
        <f>""</f>
        <v/>
      </c>
      <c r="AA1330" t="str">
        <f>"+7 (3463) 873546"</f>
        <v>+7 (3463) 873546</v>
      </c>
      <c r="AB1330" t="str">
        <f>"+7 (912) 8129204"</f>
        <v>+7 (912) 8129204</v>
      </c>
      <c r="AC1330" t="str">
        <f>"3463873546"</f>
        <v>3463873546</v>
      </c>
      <c r="AD1330" t="str">
        <f>"9128129204"</f>
        <v>9128129204</v>
      </c>
      <c r="AE1330" t="str">
        <f>""</f>
        <v/>
      </c>
    </row>
    <row r="1331" spans="1:31" x14ac:dyDescent="0.45">
      <c r="A1331" t="str">
        <f>"ЛЕВАШКИНА НАТАЛЬЯ ВЛАДИМИРОВНА"</f>
        <v>ЛЕВАШКИНА НАТАЛЬЯ ВЛАДИМИРОВНА</v>
      </c>
      <c r="B1331" t="str">
        <f>"1979-04-27"</f>
        <v>1979-04-27</v>
      </c>
      <c r="C1331" t="str">
        <f>"37 01 281418"</f>
        <v>37 01 281418</v>
      </c>
      <c r="D1331" t="str">
        <f>"5484016706391430"</f>
        <v>5484016706391430</v>
      </c>
      <c r="E1331" t="str">
        <f t="shared" si="220"/>
        <v>2021-05-31</v>
      </c>
      <c r="F1331" t="str">
        <f>"Q"</f>
        <v>Q</v>
      </c>
      <c r="G1331" t="str">
        <f>"Q"</f>
        <v>Q</v>
      </c>
      <c r="H1331" t="str">
        <f>"40817810916992301097"</f>
        <v>40817810916992301097</v>
      </c>
      <c r="I1331" t="str">
        <f>"8647"</f>
        <v>8647</v>
      </c>
      <c r="J1331" t="str">
        <f>"7770"</f>
        <v>7770</v>
      </c>
      <c r="K1331" t="str">
        <f t="shared" si="221"/>
        <v>0.00</v>
      </c>
      <c r="L1331" t="str">
        <f>"625000 ОБЛ ТЮМЕНСКАЯ   Г ТЮМЕНЬ   УЛ ЮРИЯ СЕМОВСКИХ д. 10"</f>
        <v>625000 ОБЛ ТЮМЕНСКАЯ   Г ТЮМЕНЬ   УЛ ЮРИЯ СЕМОВСКИХ д. 10</v>
      </c>
      <c r="M1331" t="str">
        <f t="shared" si="211"/>
        <v>2019-08-24</v>
      </c>
      <c r="N1331" t="str">
        <f>"ОКБ 1"</f>
        <v>ОКБ 1</v>
      </c>
      <c r="O1331" t="str">
        <f>"625000"</f>
        <v>625000</v>
      </c>
      <c r="P1331" t="str">
        <f t="shared" si="219"/>
        <v>ОБЛ ТЮМЕНСКАЯ</v>
      </c>
      <c r="Q1331" t="str">
        <f>""</f>
        <v/>
      </c>
      <c r="R1331" t="str">
        <f>"Г ТЮМЕНЬ"</f>
        <v>Г ТЮМЕНЬ</v>
      </c>
      <c r="S1331" t="str">
        <f>""</f>
        <v/>
      </c>
      <c r="T1331" t="str">
        <f>"УЛ ЧЕРВИШЕВСКИЙ ТРАКТ"</f>
        <v>УЛ ЧЕРВИШЕВСКИЙ ТРАКТ</v>
      </c>
      <c r="U1331" s="1" t="str">
        <f>"45"</f>
        <v>45</v>
      </c>
      <c r="V1331" s="1" t="str">
        <f>""</f>
        <v/>
      </c>
      <c r="W1331" s="1" t="str">
        <f>""</f>
        <v/>
      </c>
      <c r="X1331" s="1" t="str">
        <f>""</f>
        <v/>
      </c>
      <c r="Y1331" s="1" t="str">
        <f>"62"</f>
        <v>62</v>
      </c>
      <c r="Z1331" t="str">
        <f>"3452294444"</f>
        <v>3452294444</v>
      </c>
      <c r="AA1331" t="str">
        <f>"9526712991"</f>
        <v>9526712991</v>
      </c>
      <c r="AB1331" t="str">
        <f>"9526712991"</f>
        <v>9526712991</v>
      </c>
      <c r="AC1331" t="str">
        <f>"9526712991"</f>
        <v>9526712991</v>
      </c>
      <c r="AD1331" t="str">
        <f>"9526712991"</f>
        <v>9526712991</v>
      </c>
      <c r="AE1331" t="str">
        <f>"3452294444"</f>
        <v>3452294444</v>
      </c>
    </row>
    <row r="1332" spans="1:31" x14ac:dyDescent="0.45">
      <c r="A1332" t="str">
        <f>"КОЛОЗНИКОВА ЛЮБОВЬ ЮРЬЕВНА"</f>
        <v>КОЛОЗНИКОВА ЛЮБОВЬ ЮРЬЕВНА</v>
      </c>
      <c r="B1332" t="str">
        <f>"1972-04-25"</f>
        <v>1972-04-25</v>
      </c>
      <c r="C1332" t="str">
        <f>"71 17 278548"</f>
        <v>71 17 278548</v>
      </c>
      <c r="D1332" t="str">
        <f>"4279016713336701"</f>
        <v>4279016713336701</v>
      </c>
      <c r="E1332" t="str">
        <f t="shared" si="220"/>
        <v>2021-05-31</v>
      </c>
      <c r="F1332" t="str">
        <f t="shared" ref="F1332:G1337" si="222">"+"</f>
        <v>+</v>
      </c>
      <c r="G1332" t="str">
        <f t="shared" si="222"/>
        <v>+</v>
      </c>
      <c r="H1332" t="str">
        <f>"40817810516992351081"</f>
        <v>40817810516992351081</v>
      </c>
      <c r="I1332" t="str">
        <f>"8647"</f>
        <v>8647</v>
      </c>
      <c r="J1332" t="str">
        <f>"0178"</f>
        <v>0178</v>
      </c>
      <c r="K1332" t="str">
        <f>"130000.00"</f>
        <v>130000.00</v>
      </c>
      <c r="L1332" t="str">
        <f>"625000 ОБЛ ТЮМЕНСКАЯ   Г ТЮМЕНЬ   УЛ ПРОЕЗД СОЛНЕЧНЫЙ д. 22 кв. 136"</f>
        <v>625000 ОБЛ ТЮМЕНСКАЯ   Г ТЮМЕНЬ   УЛ ПРОЕЗД СОЛНЕЧНЫЙ д. 22 кв. 136</v>
      </c>
      <c r="M1332" t="str">
        <f t="shared" si="211"/>
        <v>2019-08-24</v>
      </c>
      <c r="N1332" t="str">
        <f>"НЕ РАБОТАЕТ"</f>
        <v>НЕ РАБОТАЕТ</v>
      </c>
      <c r="O1332" t="str">
        <f>"625000"</f>
        <v>625000</v>
      </c>
      <c r="P1332" t="str">
        <f t="shared" si="219"/>
        <v>ОБЛ ТЮМЕНСКАЯ</v>
      </c>
      <c r="Q1332" t="str">
        <f>""</f>
        <v/>
      </c>
      <c r="R1332" t="str">
        <f>"Г ТЮМЕНЬ"</f>
        <v>Г ТЮМЕНЬ</v>
      </c>
      <c r="S1332" t="str">
        <f>""</f>
        <v/>
      </c>
      <c r="T1332" t="str">
        <f>"УЛ ПРОЕЗД СОЛНЕЧНЫЙ"</f>
        <v>УЛ ПРОЕЗД СОЛНЕЧНЫЙ</v>
      </c>
      <c r="U1332" s="1" t="str">
        <f>"22"</f>
        <v>22</v>
      </c>
      <c r="V1332" s="1" t="str">
        <f>""</f>
        <v/>
      </c>
      <c r="W1332" s="1" t="str">
        <f>""</f>
        <v/>
      </c>
      <c r="X1332" s="1" t="str">
        <f>""</f>
        <v/>
      </c>
      <c r="Y1332" s="1" t="str">
        <f>"136"</f>
        <v>136</v>
      </c>
      <c r="Z1332" t="str">
        <f>""</f>
        <v/>
      </c>
      <c r="AA1332" t="str">
        <f>"3452669850"</f>
        <v>3452669850</v>
      </c>
      <c r="AB1332" t="str">
        <f>"9224031715"</f>
        <v>9224031715</v>
      </c>
      <c r="AC1332" t="str">
        <f>"3452669850"</f>
        <v>3452669850</v>
      </c>
      <c r="AD1332" t="str">
        <f>"9224031715"</f>
        <v>9224031715</v>
      </c>
      <c r="AE1332" t="str">
        <f>""</f>
        <v/>
      </c>
    </row>
    <row r="1333" spans="1:31" x14ac:dyDescent="0.45">
      <c r="A1333" t="str">
        <f>"ЮЖАКОВА ЕЛЕНА АНАТОЛЬЕВНА"</f>
        <v>ЮЖАКОВА ЕЛЕНА АНАТОЛЬЕВНА</v>
      </c>
      <c r="B1333" t="str">
        <f>"1974-05-03"</f>
        <v>1974-05-03</v>
      </c>
      <c r="C1333" t="str">
        <f>"71 03 989161"</f>
        <v>71 03 989161</v>
      </c>
      <c r="D1333" t="str">
        <f>"5484016701695330"</f>
        <v>5484016701695330</v>
      </c>
      <c r="E1333" t="str">
        <f t="shared" si="220"/>
        <v>2021-05-31</v>
      </c>
      <c r="F1333" t="str">
        <f t="shared" si="222"/>
        <v>+</v>
      </c>
      <c r="G1333" t="str">
        <f t="shared" si="222"/>
        <v>+</v>
      </c>
      <c r="H1333" t="str">
        <f>"40817810716992351153"</f>
        <v>40817810716992351153</v>
      </c>
      <c r="I1333" t="str">
        <f>"8647"</f>
        <v>8647</v>
      </c>
      <c r="J1333" t="str">
        <f>"7770"</f>
        <v>7770</v>
      </c>
      <c r="K1333" t="str">
        <f>"53000.00"</f>
        <v>53000.00</v>
      </c>
      <c r="L1333" t="str">
        <f>"625000 ОБЛ ТЮМЕНСКАЯ   Г ТЮМЕНЬ   УЛ ЮРИЯ СЕМОВСКИХ д. 10"</f>
        <v>625000 ОБЛ ТЮМЕНСКАЯ   Г ТЮМЕНЬ   УЛ ЮРИЯ СЕМОВСКИХ д. 10</v>
      </c>
      <c r="M1333" t="str">
        <f t="shared" si="211"/>
        <v>2019-08-24</v>
      </c>
      <c r="N1333" t="str">
        <f>"ОКБ № 1"</f>
        <v>ОКБ № 1</v>
      </c>
      <c r="O1333" t="str">
        <f>"625031"</f>
        <v>625031</v>
      </c>
      <c r="P1333" t="str">
        <f t="shared" si="219"/>
        <v>ОБЛ ТЮМЕНСКАЯ</v>
      </c>
      <c r="Q1333" t="str">
        <f>""</f>
        <v/>
      </c>
      <c r="R1333" t="str">
        <f>"Г ТЮМЕНЬ"</f>
        <v>Г ТЮМЕНЬ</v>
      </c>
      <c r="S1333" t="str">
        <f>""</f>
        <v/>
      </c>
      <c r="T1333" t="str">
        <f>"УЛ НОВОГОДНЯЯ"</f>
        <v>УЛ НОВОГОДНЯЯ</v>
      </c>
      <c r="U1333" s="1" t="str">
        <f>"51"</f>
        <v>51</v>
      </c>
      <c r="V1333" s="1" t="str">
        <f>""</f>
        <v/>
      </c>
      <c r="W1333" s="1" t="str">
        <f>""</f>
        <v/>
      </c>
      <c r="X1333" s="1" t="str">
        <f>""</f>
        <v/>
      </c>
      <c r="Y1333" s="1" t="str">
        <f>""</f>
        <v/>
      </c>
      <c r="Z1333" t="str">
        <f>"3452294124"</f>
        <v>3452294124</v>
      </c>
      <c r="AA1333" t="str">
        <f>"9612052710"</f>
        <v>9612052710</v>
      </c>
      <c r="AB1333" t="str">
        <f>"9612052710"</f>
        <v>9612052710</v>
      </c>
      <c r="AC1333" t="str">
        <f>"9612052710"</f>
        <v>9612052710</v>
      </c>
      <c r="AD1333" t="str">
        <f>"9612052710"</f>
        <v>9612052710</v>
      </c>
      <c r="AE1333" t="str">
        <f>"3452294124"</f>
        <v>3452294124</v>
      </c>
    </row>
    <row r="1334" spans="1:31" x14ac:dyDescent="0.45">
      <c r="A1334" t="str">
        <f>"МОСКАЛЕНКО СЕРГЕЙ СЕРГЕЕВИЧ"</f>
        <v>МОСКАЛЕНКО СЕРГЕЙ СЕРГЕЕВИЧ</v>
      </c>
      <c r="B1334" t="str">
        <f>"1965-11-29"</f>
        <v>1965-11-29</v>
      </c>
      <c r="C1334" t="str">
        <f>"67 10 072629"</f>
        <v>67 10 072629</v>
      </c>
      <c r="D1334" t="str">
        <f>"4279016718898440"</f>
        <v>4279016718898440</v>
      </c>
      <c r="E1334" t="str">
        <f t="shared" si="220"/>
        <v>2021-05-31</v>
      </c>
      <c r="F1334" t="str">
        <f t="shared" si="222"/>
        <v>+</v>
      </c>
      <c r="G1334" t="str">
        <f t="shared" si="222"/>
        <v>+</v>
      </c>
      <c r="H1334" t="str">
        <f>"40817810516992351214"</f>
        <v>40817810516992351214</v>
      </c>
      <c r="I1334" t="str">
        <f>"5940"</f>
        <v>5940</v>
      </c>
      <c r="J1334" t="str">
        <f>"0099"</f>
        <v>0099</v>
      </c>
      <c r="K1334" t="str">
        <f>"100000.00"</f>
        <v>100000.00</v>
      </c>
      <c r="L1334" t="str">
        <f>"628380 ОБЛ ТЮМЕНСКАЯ АО ХМАО Г НЕФТЕЮГАНСК   УЛ СУ 62 д. 0 кв. 0"</f>
        <v>628380 ОБЛ ТЮМЕНСКАЯ АО ХМАО Г НЕФТЕЮГАНСК   УЛ СУ 62 д. 0 кв. 0</v>
      </c>
      <c r="M1334" t="str">
        <f t="shared" si="211"/>
        <v>2019-08-24</v>
      </c>
      <c r="N1334" t="str">
        <f>"ООО ЛАМОР-ЮГРА"</f>
        <v>ООО ЛАМОР-ЮГРА</v>
      </c>
      <c r="O1334" t="str">
        <f>"628380"</f>
        <v>628380</v>
      </c>
      <c r="P1334" t="str">
        <f t="shared" si="219"/>
        <v>ОБЛ ТЮМЕНСКАЯ</v>
      </c>
      <c r="Q1334" t="str">
        <f>"АО ХАНТЫ-МАНСИЙСКИЙ"</f>
        <v>АО ХАНТЫ-МАНСИЙСКИЙ</v>
      </c>
      <c r="R1334" t="str">
        <f>"Г ПЫТЬ-ЯХ"</f>
        <v>Г ПЫТЬ-ЯХ</v>
      </c>
      <c r="S1334" t="str">
        <f>""</f>
        <v/>
      </c>
      <c r="T1334" t="str">
        <f>"УЛ ЖЕЛЕЗНОДОРОЖНАЯ"</f>
        <v>УЛ ЖЕЛЕЗНОДОРОЖНАЯ</v>
      </c>
      <c r="U1334" s="1" t="str">
        <f>"6"</f>
        <v>6</v>
      </c>
      <c r="V1334" s="1" t="str">
        <f>""</f>
        <v/>
      </c>
      <c r="W1334" s="1" t="str">
        <f>""</f>
        <v/>
      </c>
      <c r="X1334" s="1" t="str">
        <f>""</f>
        <v/>
      </c>
      <c r="Y1334" s="1" t="str">
        <f>"2"</f>
        <v>2</v>
      </c>
      <c r="Z1334" t="str">
        <f>""</f>
        <v/>
      </c>
      <c r="AA1334" t="str">
        <f>""</f>
        <v/>
      </c>
      <c r="AB1334" t="str">
        <f>"9923500896"</f>
        <v>9923500896</v>
      </c>
      <c r="AC1334" t="str">
        <f>"9324275740"</f>
        <v>9324275740</v>
      </c>
      <c r="AD1334" t="str">
        <f>"9324275740"</f>
        <v>9324275740</v>
      </c>
      <c r="AE1334" t="str">
        <f>""</f>
        <v/>
      </c>
    </row>
    <row r="1335" spans="1:31" x14ac:dyDescent="0.45">
      <c r="A1335" t="str">
        <f>"ДУРАЛЕНКО АЛЕКСЕЙ АЛЕКСАНДРОВИЧ"</f>
        <v>ДУРАЛЕНКО АЛЕКСЕЙ АЛЕКСАНДРОВИЧ</v>
      </c>
      <c r="B1335" t="str">
        <f>"1978-05-04"</f>
        <v>1978-05-04</v>
      </c>
      <c r="C1335" t="str">
        <f>"71 01 337251"</f>
        <v>71 01 337251</v>
      </c>
      <c r="D1335" t="str">
        <f>"5484016702543760"</f>
        <v>5484016702543760</v>
      </c>
      <c r="E1335" t="str">
        <f t="shared" si="220"/>
        <v>2021-05-31</v>
      </c>
      <c r="F1335" t="str">
        <f t="shared" si="222"/>
        <v>+</v>
      </c>
      <c r="G1335" t="str">
        <f t="shared" si="222"/>
        <v>+</v>
      </c>
      <c r="H1335" t="str">
        <f>"40817810316992351281"</f>
        <v>40817810316992351281</v>
      </c>
      <c r="I1335" t="str">
        <f>"8647"</f>
        <v>8647</v>
      </c>
      <c r="J1335" t="str">
        <f>"7770"</f>
        <v>7770</v>
      </c>
      <c r="K1335" t="str">
        <f>"45000.00"</f>
        <v>45000.00</v>
      </c>
      <c r="L1335" t="str">
        <f>"625000 ОБЛ ТЮМЕНСКАЯ   Г ТЮМЕНЬ   УЛ ГЕРЦЕНА д. 53"</f>
        <v>625000 ОБЛ ТЮМЕНСКАЯ   Г ТЮМЕНЬ   УЛ ГЕРЦЕНА д. 53</v>
      </c>
      <c r="M1335" t="str">
        <f t="shared" si="211"/>
        <v>2019-08-24</v>
      </c>
      <c r="N1335" t="str">
        <f>"ООО ТЕЛЕСЕТИ"</f>
        <v>ООО ТЕЛЕСЕТИ</v>
      </c>
      <c r="O1335" t="str">
        <f>"625000"</f>
        <v>625000</v>
      </c>
      <c r="P1335" t="str">
        <f t="shared" si="219"/>
        <v>ОБЛ ТЮМЕНСКАЯ</v>
      </c>
      <c r="Q1335" t="str">
        <f>"Р-Н ТЮМЕНСКИ"</f>
        <v>Р-Н ТЮМЕНСКИ</v>
      </c>
      <c r="R1335" t="str">
        <f>"П МАРАЙ"</f>
        <v>П МАРАЙ</v>
      </c>
      <c r="S1335" t="str">
        <f>"СНТ КРАСНАЯ ГОРКА"</f>
        <v>СНТ КРАСНАЯ ГОРКА</v>
      </c>
      <c r="T1335" t="str">
        <f>"УЛ ЗЕМЛЯНИЧНАЯ"</f>
        <v>УЛ ЗЕМЛЯНИЧНАЯ</v>
      </c>
      <c r="U1335" s="1" t="str">
        <f>"УЧ 93"</f>
        <v>УЧ 93</v>
      </c>
      <c r="V1335" s="1" t="str">
        <f>""</f>
        <v/>
      </c>
      <c r="W1335" s="1" t="str">
        <f>""</f>
        <v/>
      </c>
      <c r="X1335" s="1" t="str">
        <f>""</f>
        <v/>
      </c>
      <c r="Y1335" s="1" t="str">
        <f>""</f>
        <v/>
      </c>
      <c r="Z1335" t="str">
        <f>"3452515575"</f>
        <v>3452515575</v>
      </c>
      <c r="AA1335" t="str">
        <f>"9324702322"</f>
        <v>9324702322</v>
      </c>
      <c r="AB1335" t="str">
        <f>"9324702322"</f>
        <v>9324702322</v>
      </c>
      <c r="AC1335" t="str">
        <f>"9324702322"</f>
        <v>9324702322</v>
      </c>
      <c r="AD1335" t="str">
        <f>"9324702322"</f>
        <v>9324702322</v>
      </c>
      <c r="AE1335" t="str">
        <f>"3452515575"</f>
        <v>3452515575</v>
      </c>
    </row>
    <row r="1336" spans="1:31" x14ac:dyDescent="0.45">
      <c r="A1336" t="str">
        <f>"ПАСТЕРНАК ИГОРЬ ЯРОСЛАВОВИЧ"</f>
        <v>ПАСТЕРНАК ИГОРЬ ЯРОСЛАВОВИЧ</v>
      </c>
      <c r="B1336" t="str">
        <f>"1976-09-14"</f>
        <v>1976-09-14</v>
      </c>
      <c r="C1336" t="str">
        <f>"63 03 209335"</f>
        <v>63 03 209335</v>
      </c>
      <c r="D1336" t="str">
        <f>"4279016720427238"</f>
        <v>4279016720427238</v>
      </c>
      <c r="E1336" t="str">
        <f t="shared" si="220"/>
        <v>2021-05-31</v>
      </c>
      <c r="F1336" t="str">
        <f t="shared" si="222"/>
        <v>+</v>
      </c>
      <c r="G1336" t="str">
        <f t="shared" si="222"/>
        <v>+</v>
      </c>
      <c r="H1336" t="str">
        <f>"40817810116992098391"</f>
        <v>40817810116992098391</v>
      </c>
      <c r="I1336" t="str">
        <f>"5940"</f>
        <v>5940</v>
      </c>
      <c r="J1336" t="str">
        <f>"0100"</f>
        <v>0100</v>
      </c>
      <c r="K1336" t="str">
        <f>"70000.00"</f>
        <v>70000.00</v>
      </c>
      <c r="L1336" t="str">
        <f>"628310 ОБЛ ТЮМЕНСКАЯ   Г НЕФТЕЮГАНСК   УЛ МИРА стр. 9"</f>
        <v>628310 ОБЛ ТЮМЕНСКАЯ   Г НЕФТЕЮГАНСК   УЛ МИРА стр. 9</v>
      </c>
      <c r="M1336" t="str">
        <f t="shared" si="211"/>
        <v>2019-08-24</v>
      </c>
      <c r="N1336" t="str">
        <f>"ООО М ВИДЕО"</f>
        <v>ООО М ВИДЕО</v>
      </c>
      <c r="O1336" t="str">
        <f>"628310"</f>
        <v>628310</v>
      </c>
      <c r="P1336" t="str">
        <f t="shared" si="219"/>
        <v>ОБЛ ТЮМЕНСКАЯ</v>
      </c>
      <c r="Q1336" t="str">
        <f>""</f>
        <v/>
      </c>
      <c r="R1336" t="str">
        <f>"Г НЕФТЕЮГАНСК"</f>
        <v>Г НЕФТЕЮГАНСК</v>
      </c>
      <c r="S1336" t="str">
        <f>""</f>
        <v/>
      </c>
      <c r="T1336" t="str">
        <f>"МКР 16"</f>
        <v>МКР 16</v>
      </c>
      <c r="U1336" s="1" t="str">
        <f>"7"</f>
        <v>7</v>
      </c>
      <c r="V1336" s="1" t="str">
        <f>""</f>
        <v/>
      </c>
      <c r="W1336" s="1" t="str">
        <f>""</f>
        <v/>
      </c>
      <c r="X1336" s="1" t="str">
        <f>""</f>
        <v/>
      </c>
      <c r="Y1336" s="1" t="str">
        <f>"12"</f>
        <v>12</v>
      </c>
      <c r="Z1336" t="str">
        <f>"9634901666"</f>
        <v>9634901666</v>
      </c>
      <c r="AA1336" t="str">
        <f>"9641795606"</f>
        <v>9641795606</v>
      </c>
      <c r="AB1336" t="str">
        <f>"9634901666"</f>
        <v>9634901666</v>
      </c>
      <c r="AC1336" t="str">
        <f>"9641795606"</f>
        <v>9641795606</v>
      </c>
      <c r="AD1336" t="str">
        <f>"9634901666"</f>
        <v>9634901666</v>
      </c>
      <c r="AE1336" t="str">
        <f>"9634901666"</f>
        <v>9634901666</v>
      </c>
    </row>
    <row r="1337" spans="1:31" x14ac:dyDescent="0.45">
      <c r="A1337" t="str">
        <f>"РЖАНОВА ОЛЕСЯ ВАСИЛЬЕВНА"</f>
        <v>РЖАНОВА ОЛЕСЯ ВАСИЛЬЕВНА</v>
      </c>
      <c r="B1337" t="str">
        <f>"1982-03-14"</f>
        <v>1982-03-14</v>
      </c>
      <c r="C1337" t="str">
        <f>"67 14 402505"</f>
        <v>67 14 402505</v>
      </c>
      <c r="D1337" t="str">
        <f>"4279016741405767"</f>
        <v>4279016741405767</v>
      </c>
      <c r="E1337" t="str">
        <f t="shared" si="220"/>
        <v>2021-05-31</v>
      </c>
      <c r="F1337" t="str">
        <f t="shared" si="222"/>
        <v>+</v>
      </c>
      <c r="G1337" t="str">
        <f t="shared" si="222"/>
        <v>+</v>
      </c>
      <c r="H1337" t="str">
        <f>"40817810516992098247"</f>
        <v>40817810516992098247</v>
      </c>
      <c r="I1337" t="str">
        <f>"1791"</f>
        <v>1791</v>
      </c>
      <c r="J1337" t="str">
        <f>"0054"</f>
        <v>0054</v>
      </c>
      <c r="K1337" t="str">
        <f>"26000.00"</f>
        <v>26000.00</v>
      </c>
      <c r="L1337" t="str">
        <f>"628000 ОБЛ ТЮМЕНСКАЯ     П БАТОВО УЛ ЦЕНТРАЛЬНАЯ д. 50"</f>
        <v>628000 ОБЛ ТЮМЕНСКАЯ     П БАТОВО УЛ ЦЕНТРАЛЬНАЯ д. 50</v>
      </c>
      <c r="M1337" t="str">
        <f t="shared" si="211"/>
        <v>2019-08-24</v>
      </c>
      <c r="N1337" t="str">
        <f>"МБОУ ХМР СОШ С. БАТОВО"</f>
        <v>МБОУ ХМР СОШ С. БАТОВО</v>
      </c>
      <c r="O1337" t="str">
        <f>"628000"</f>
        <v>628000</v>
      </c>
      <c r="P1337" t="str">
        <f t="shared" si="219"/>
        <v>ОБЛ ТЮМЕНСКАЯ</v>
      </c>
      <c r="Q1337" t="str">
        <f>""</f>
        <v/>
      </c>
      <c r="R1337" t="str">
        <f>""</f>
        <v/>
      </c>
      <c r="S1337" t="str">
        <f>"С БАТОВО"</f>
        <v>С БАТОВО</v>
      </c>
      <c r="T1337" t="str">
        <f>"УЛ НАБЕРЕЖНАЯ"</f>
        <v>УЛ НАБЕРЕЖНАЯ</v>
      </c>
      <c r="U1337" s="1" t="str">
        <f>"16"</f>
        <v>16</v>
      </c>
      <c r="V1337" s="1" t="str">
        <f>""</f>
        <v/>
      </c>
      <c r="W1337" s="1" t="str">
        <f>"А"</f>
        <v>А</v>
      </c>
      <c r="X1337" s="1" t="str">
        <f>""</f>
        <v/>
      </c>
      <c r="Y1337" s="1" t="str">
        <f>""</f>
        <v/>
      </c>
      <c r="Z1337" t="str">
        <f>"9519737272"</f>
        <v>9519737272</v>
      </c>
      <c r="AA1337" t="str">
        <f>"9505048245"</f>
        <v>9505048245</v>
      </c>
      <c r="AB1337" t="str">
        <f>"9505048245"</f>
        <v>9505048245</v>
      </c>
      <c r="AC1337" t="str">
        <f>"9505048245"</f>
        <v>9505048245</v>
      </c>
      <c r="AD1337" t="str">
        <f>"9505048245"</f>
        <v>9505048245</v>
      </c>
      <c r="AE1337" t="str">
        <f>"9519737272"</f>
        <v>9519737272</v>
      </c>
    </row>
    <row r="1338" spans="1:31" x14ac:dyDescent="0.45">
      <c r="A1338" t="str">
        <f>"КОРНЕЛЮК ВИТАЛИЙ АЛЕКСАНДРОВИЧ"</f>
        <v>КОРНЕЛЮК ВИТАЛИЙ АЛЕКСАНДРОВИЧ</v>
      </c>
      <c r="B1338" t="str">
        <f>"1995-04-30"</f>
        <v>1995-04-30</v>
      </c>
      <c r="C1338" t="str">
        <f>"71 15 144169"</f>
        <v>71 15 144169</v>
      </c>
      <c r="D1338" t="str">
        <f>"4276016716034462"</f>
        <v>4276016716034462</v>
      </c>
      <c r="E1338" t="str">
        <f t="shared" si="220"/>
        <v>2021-05-31</v>
      </c>
      <c r="F1338" t="str">
        <f>"Y"</f>
        <v>Y</v>
      </c>
      <c r="G1338" t="str">
        <f>"Q"</f>
        <v>Q</v>
      </c>
      <c r="H1338" t="str">
        <f>"40817810316992098175"</f>
        <v>40817810316992098175</v>
      </c>
      <c r="I1338" t="str">
        <f>"8647"</f>
        <v>8647</v>
      </c>
      <c r="J1338" t="str">
        <f>"0095"</f>
        <v>0095</v>
      </c>
      <c r="K1338" t="str">
        <f>"0.00"</f>
        <v>0.00</v>
      </c>
      <c r="L1338" t="str">
        <f>"625000 ОБЛ ТЮМЕНСКАЯ   Г ТЮМЕНЬ   УЛ ВОЛОДАРСКОГО д. 14 кв. 706"</f>
        <v>625000 ОБЛ ТЮМЕНСКАЯ   Г ТЮМЕНЬ   УЛ ВОЛОДАРСКОГО д. 14 кв. 706</v>
      </c>
      <c r="M1338" t="str">
        <f t="shared" si="211"/>
        <v>2019-08-24</v>
      </c>
      <c r="N1338" t="str">
        <f>"ООО ТЮМЕНЬ ТЕСС"</f>
        <v>ООО ТЮМЕНЬ ТЕСС</v>
      </c>
      <c r="O1338" t="str">
        <f>"625043"</f>
        <v>625043</v>
      </c>
      <c r="P1338" t="str">
        <f t="shared" si="219"/>
        <v>ОБЛ ТЮМЕНСКАЯ</v>
      </c>
      <c r="Q1338" t="str">
        <f>""</f>
        <v/>
      </c>
      <c r="R1338" t="str">
        <f>"Г ТЮМЕНЬ"</f>
        <v>Г ТЮМЕНЬ</v>
      </c>
      <c r="S1338" t="str">
        <f>""</f>
        <v/>
      </c>
      <c r="T1338" t="str">
        <f>"УЛ ПАВЛОВА"</f>
        <v>УЛ ПАВЛОВА</v>
      </c>
      <c r="U1338" s="1" t="str">
        <f>"73"</f>
        <v>73</v>
      </c>
      <c r="V1338" s="1" t="str">
        <f>""</f>
        <v/>
      </c>
      <c r="W1338" s="1" t="str">
        <f>""</f>
        <v/>
      </c>
      <c r="X1338" s="1" t="str">
        <f>""</f>
        <v/>
      </c>
      <c r="Y1338" s="1" t="str">
        <f>""</f>
        <v/>
      </c>
      <c r="Z1338" t="str">
        <f>""</f>
        <v/>
      </c>
      <c r="AA1338" t="str">
        <f>"9129988348"</f>
        <v>9129988348</v>
      </c>
      <c r="AB1338" t="str">
        <f>"9995480771"</f>
        <v>9995480771</v>
      </c>
      <c r="AC1338" t="str">
        <f>"9129988348"</f>
        <v>9129988348</v>
      </c>
      <c r="AD1338" t="str">
        <f>"9995480771"</f>
        <v>9995480771</v>
      </c>
      <c r="AE1338" t="str">
        <f>""</f>
        <v/>
      </c>
    </row>
    <row r="1339" spans="1:31" x14ac:dyDescent="0.45">
      <c r="A1339" t="str">
        <f>"МАТЮТО ВАЛЕРИЙ ВАСИЛЬЕВИЧ"</f>
        <v>МАТЮТО ВАЛЕРИЙ ВАСИЛЬЕВИЧ</v>
      </c>
      <c r="B1339" t="str">
        <f>"1975-01-26"</f>
        <v>1975-01-26</v>
      </c>
      <c r="C1339" t="str">
        <f>"75 02 804963"</f>
        <v>75 02 804963</v>
      </c>
      <c r="D1339" t="str">
        <f>"4279016742934559"</f>
        <v>4279016742934559</v>
      </c>
      <c r="E1339" t="str">
        <f t="shared" si="220"/>
        <v>2021-05-31</v>
      </c>
      <c r="F1339" t="str">
        <f t="shared" ref="F1339:G1341" si="223">"+"</f>
        <v>+</v>
      </c>
      <c r="G1339" t="str">
        <f t="shared" si="223"/>
        <v>+</v>
      </c>
      <c r="H1339" t="str">
        <f>"40817810916992098368"</f>
        <v>40817810916992098368</v>
      </c>
      <c r="I1339" t="str">
        <f>"5940"</f>
        <v>5940</v>
      </c>
      <c r="J1339" t="str">
        <f>"0070"</f>
        <v>0070</v>
      </c>
      <c r="K1339" t="str">
        <f>"37000.00"</f>
        <v>37000.00</v>
      </c>
      <c r="L1339" t="str">
        <f>"628400 АО ХАНТЫ-МАНСИЙСКИЙ АВТОНОМНЫЙ ОКРУГ-ЮГРА   Г СУРГУТ   УЛ ЭНЕРГОСТРОИТЕЛЕЙ д. 13 корп. 3"</f>
        <v>628400 АО ХАНТЫ-МАНСИЙСКИЙ АВТОНОМНЫЙ ОКРУГ-ЮГРА   Г СУРГУТ   УЛ ЭНЕРГОСТРОИТЕЛЕЙ д. 13 корп. 3</v>
      </c>
      <c r="M1339" t="str">
        <f t="shared" si="211"/>
        <v>2019-08-24</v>
      </c>
      <c r="N1339" t="str">
        <f>"ООО ПСКМАРМИТЕКС"</f>
        <v>ООО ПСКМАРМИТЕКС</v>
      </c>
      <c r="O1339" t="str">
        <f>"628400"</f>
        <v>628400</v>
      </c>
      <c r="P1339" t="str">
        <f>"АО ХАНТЫ-МАНСИЙСКИЙ АВТОНОМНЫЙ ОКРУГ-ЮГРА"</f>
        <v>АО ХАНТЫ-МАНСИЙСКИЙ АВТОНОМНЫЙ ОКРУГ-ЮГРА</v>
      </c>
      <c r="Q1339" t="str">
        <f>""</f>
        <v/>
      </c>
      <c r="R1339" t="str">
        <f>"Г СУРГУТ"</f>
        <v>Г СУРГУТ</v>
      </c>
      <c r="S1339" t="str">
        <f>""</f>
        <v/>
      </c>
      <c r="T1339" t="str">
        <f>"УЛ РЕСПУБЛИКИ"</f>
        <v>УЛ РЕСПУБЛИКИ</v>
      </c>
      <c r="U1339" s="1" t="str">
        <f>"65"</f>
        <v>65</v>
      </c>
      <c r="V1339" s="1" t="str">
        <f>""</f>
        <v/>
      </c>
      <c r="W1339" s="1" t="str">
        <f>""</f>
        <v/>
      </c>
      <c r="X1339" s="1" t="str">
        <f>""</f>
        <v/>
      </c>
      <c r="Y1339" s="1" t="str">
        <f>"14"</f>
        <v>14</v>
      </c>
      <c r="Z1339" t="str">
        <f>"3462381601"</f>
        <v>3462381601</v>
      </c>
      <c r="AA1339" t="str">
        <f>"9825963422"</f>
        <v>9825963422</v>
      </c>
      <c r="AB1339" t="str">
        <f>"9825963422"</f>
        <v>9825963422</v>
      </c>
      <c r="AC1339" t="str">
        <f>"9825963422"</f>
        <v>9825963422</v>
      </c>
      <c r="AD1339" t="str">
        <f>"9825963422"</f>
        <v>9825963422</v>
      </c>
      <c r="AE1339" t="str">
        <f>"9527079235"</f>
        <v>9527079235</v>
      </c>
    </row>
    <row r="1340" spans="1:31" x14ac:dyDescent="0.45">
      <c r="A1340" t="str">
        <f>"СКЛЯРОВ ДМИТРИЙ ИВАНОВИЧ"</f>
        <v>СКЛЯРОВ ДМИТРИЙ ИВАНОВИЧ</v>
      </c>
      <c r="B1340" t="str">
        <f>"1990-10-03"</f>
        <v>1990-10-03</v>
      </c>
      <c r="C1340" t="str">
        <f>"07 10 451989"</f>
        <v>07 10 451989</v>
      </c>
      <c r="D1340" t="str">
        <f>"4279016736545759"</f>
        <v>4279016736545759</v>
      </c>
      <c r="E1340" t="str">
        <f t="shared" si="220"/>
        <v>2021-05-31</v>
      </c>
      <c r="F1340" t="str">
        <f t="shared" si="223"/>
        <v>+</v>
      </c>
      <c r="G1340" t="str">
        <f t="shared" si="223"/>
        <v>+</v>
      </c>
      <c r="H1340" t="str">
        <f>"40817810616992098396"</f>
        <v>40817810616992098396</v>
      </c>
      <c r="I1340" t="str">
        <f>"8647"</f>
        <v>8647</v>
      </c>
      <c r="J1340" t="str">
        <f>"0102"</f>
        <v>0102</v>
      </c>
      <c r="K1340" t="str">
        <f>"150000.00"</f>
        <v>150000.00</v>
      </c>
      <c r="L1340" t="str">
        <f>"625000 ОБЛ ТЮМЕНСКАЯ   Г ТЮМЕНЬ   УЛ АМУРСКАЯ д. 75"</f>
        <v>625000 ОБЛ ТЮМЕНСКАЯ   Г ТЮМЕНЬ   УЛ АМУРСКАЯ д. 75</v>
      </c>
      <c r="M1340" t="str">
        <f t="shared" si="211"/>
        <v>2019-08-24</v>
      </c>
      <c r="N1340" t="str">
        <f>"МВД"</f>
        <v>МВД</v>
      </c>
      <c r="O1340" t="str">
        <f>"625000"</f>
        <v>625000</v>
      </c>
      <c r="P1340" t="str">
        <f>"КРАЙ СТАВРОПОЛЬСКИЙ"</f>
        <v>КРАЙ СТАВРОПОЛЬСКИЙ</v>
      </c>
      <c r="Q1340" t="str">
        <f>"Р-Н АНДРОПОВСКИЙ"</f>
        <v>Р-Н АНДРОПОВСКИЙ</v>
      </c>
      <c r="R1340" t="str">
        <f>""</f>
        <v/>
      </c>
      <c r="S1340" t="str">
        <f>"С КАЗИНКА"</f>
        <v>С КАЗИНКА</v>
      </c>
      <c r="T1340" t="str">
        <f>"УЛ СОВЕТСКАЯ"</f>
        <v>УЛ СОВЕТСКАЯ</v>
      </c>
      <c r="U1340" s="1" t="str">
        <f>"22"</f>
        <v>22</v>
      </c>
      <c r="V1340" s="1" t="str">
        <f>""</f>
        <v/>
      </c>
      <c r="W1340" s="1" t="str">
        <f>""</f>
        <v/>
      </c>
      <c r="X1340" s="1" t="str">
        <f>""</f>
        <v/>
      </c>
      <c r="Y1340" s="1" t="str">
        <f>"1"</f>
        <v>1</v>
      </c>
      <c r="Z1340" t="str">
        <f>""</f>
        <v/>
      </c>
      <c r="AA1340" t="str">
        <f>"9064633465"</f>
        <v>9064633465</v>
      </c>
      <c r="AB1340" t="str">
        <f>"9292518640"</f>
        <v>9292518640</v>
      </c>
      <c r="AC1340" t="str">
        <f>"9064633465"</f>
        <v>9064633465</v>
      </c>
      <c r="AD1340" t="str">
        <f>"9292518640"</f>
        <v>9292518640</v>
      </c>
      <c r="AE1340" t="str">
        <f>""</f>
        <v/>
      </c>
    </row>
    <row r="1341" spans="1:31" x14ac:dyDescent="0.45">
      <c r="A1341" t="str">
        <f>"КАЮКОВА АЛЕКСАНДРА ИГОРЕВНА"</f>
        <v>КАЮКОВА АЛЕКСАНДРА ИГОРЕВНА</v>
      </c>
      <c r="B1341" t="str">
        <f>"1987-12-14"</f>
        <v>1987-12-14</v>
      </c>
      <c r="C1341" t="str">
        <f>"74 07 633076"</f>
        <v>74 07 633076</v>
      </c>
      <c r="D1341" t="str">
        <f>"5484016705278570"</f>
        <v>5484016705278570</v>
      </c>
      <c r="E1341" t="str">
        <f t="shared" si="220"/>
        <v>2021-05-31</v>
      </c>
      <c r="F1341" t="str">
        <f t="shared" si="223"/>
        <v>+</v>
      </c>
      <c r="G1341" t="str">
        <f t="shared" si="223"/>
        <v>+</v>
      </c>
      <c r="H1341" t="str">
        <f>"40817810916992403500"</f>
        <v>40817810916992403500</v>
      </c>
      <c r="I1341" t="str">
        <f>"8647"</f>
        <v>8647</v>
      </c>
      <c r="J1341" t="str">
        <f>"7770"</f>
        <v>7770</v>
      </c>
      <c r="K1341" t="str">
        <f>"140000.00"</f>
        <v>140000.00</v>
      </c>
      <c r="L1341" t="str">
        <f>"625000 ОБЛ ТЮМЕНСКАЯ   Г ТЮМЕНЬ   УЛ ЮРИЯ СЕМОВСКИХ д. 10"</f>
        <v>625000 ОБЛ ТЮМЕНСКАЯ   Г ТЮМЕНЬ   УЛ ЮРИЯ СЕМОВСКИХ д. 10</v>
      </c>
      <c r="M1341" t="str">
        <f t="shared" si="211"/>
        <v>2019-08-24</v>
      </c>
      <c r="N1341" t="str">
        <f>"ОКБ 1"</f>
        <v>ОКБ 1</v>
      </c>
      <c r="O1341" t="str">
        <f>"629705"</f>
        <v>629705</v>
      </c>
      <c r="P1341" t="str">
        <f>"ОБЛ ТЮМЕНСКАЯ"</f>
        <v>ОБЛ ТЮМЕНСКАЯ</v>
      </c>
      <c r="Q1341" t="str">
        <f>"АО ЯМАЛО-НЕНЕЦКИЙ"</f>
        <v>АО ЯМАЛО-НЕНЕЦКИЙ</v>
      </c>
      <c r="R1341" t="str">
        <f>"Р-Н ЯМАЛЬСКИЙ"</f>
        <v>Р-Н ЯМАЛЬСКИЙ</v>
      </c>
      <c r="S1341" t="str">
        <f>"С СЕЯХА"</f>
        <v>С СЕЯХА</v>
      </c>
      <c r="T1341" t="str">
        <f>"УЛ ГЕОФИЗИКОВ"</f>
        <v>УЛ ГЕОФИЗИКОВ</v>
      </c>
      <c r="U1341" s="1" t="str">
        <f>"1"</f>
        <v>1</v>
      </c>
      <c r="V1341" s="1" t="str">
        <f>""</f>
        <v/>
      </c>
      <c r="W1341" s="1" t="str">
        <f>""</f>
        <v/>
      </c>
      <c r="X1341" s="1" t="str">
        <f>""</f>
        <v/>
      </c>
      <c r="Y1341" s="1" t="str">
        <f>"2"</f>
        <v>2</v>
      </c>
      <c r="Z1341" t="str">
        <f>"3452294531"</f>
        <v>3452294531</v>
      </c>
      <c r="AA1341" t="str">
        <f>"9504906106"</f>
        <v>9504906106</v>
      </c>
      <c r="AB1341" t="str">
        <f>"9504906106"</f>
        <v>9504906106</v>
      </c>
      <c r="AC1341" t="str">
        <f>"9504906106"</f>
        <v>9504906106</v>
      </c>
      <c r="AD1341" t="str">
        <f>"9504906106"</f>
        <v>9504906106</v>
      </c>
      <c r="AE1341" t="str">
        <f>"3452294531"</f>
        <v>3452294531</v>
      </c>
    </row>
    <row r="1342" spans="1:31" x14ac:dyDescent="0.45">
      <c r="A1342" t="str">
        <f>"УШАНОВА ОЛЕСЯ АНАТОЛЬЕВНА"</f>
        <v>УШАНОВА ОЛЕСЯ АНАТОЛЬЕВНА</v>
      </c>
      <c r="B1342" t="str">
        <f>"1981-04-10"</f>
        <v>1981-04-10</v>
      </c>
      <c r="C1342" t="str">
        <f>"47 01 327929"</f>
        <v>47 01 327929</v>
      </c>
      <c r="D1342" t="str">
        <f>"5484016708889779"</f>
        <v>5484016708889779</v>
      </c>
      <c r="E1342" t="str">
        <f t="shared" si="220"/>
        <v>2021-05-31</v>
      </c>
      <c r="F1342" t="str">
        <f>"Q"</f>
        <v>Q</v>
      </c>
      <c r="G1342" t="str">
        <f>"Q"</f>
        <v>Q</v>
      </c>
      <c r="H1342" t="str">
        <f>"40817810967720693286"</f>
        <v>40817810967720693286</v>
      </c>
      <c r="I1342" t="str">
        <f>"5940"</f>
        <v>5940</v>
      </c>
      <c r="J1342" t="str">
        <f>"7770"</f>
        <v>7770</v>
      </c>
      <c r="K1342" t="str">
        <f>"0.00"</f>
        <v>0.00</v>
      </c>
      <c r="L1342" t="str">
        <f>"628400 ОБЛ ТЮМЕНСКАЯ   Г СУРГУТ   УЛ 30 ЛЕТ ПОБЕДЫ д. 22А"</f>
        <v>628400 ОБЛ ТЮМЕНСКАЯ   Г СУРГУТ   УЛ 30 ЛЕТ ПОБЕДЫ д. 22А</v>
      </c>
      <c r="M1342" t="str">
        <f t="shared" si="211"/>
        <v>2019-08-24</v>
      </c>
      <c r="N1342" t="str">
        <f>"МАОУДОД СДЮСШОР ОЛИМП"</f>
        <v>МАОУДОД СДЮСШОР ОЛИМП</v>
      </c>
      <c r="O1342" t="str">
        <f>"628400"</f>
        <v>628400</v>
      </c>
      <c r="P1342" t="str">
        <f>"ОБЛ ТЮМЕНСКАЯ"</f>
        <v>ОБЛ ТЮМЕНСКАЯ</v>
      </c>
      <c r="Q1342" t="str">
        <f>""</f>
        <v/>
      </c>
      <c r="R1342" t="str">
        <f>"Г СУРГУТ"</f>
        <v>Г СУРГУТ</v>
      </c>
      <c r="S1342" t="str">
        <f>""</f>
        <v/>
      </c>
      <c r="T1342" t="str">
        <f>"УЛ ГЕНЕРАЛА ИВАНОВА"</f>
        <v>УЛ ГЕНЕРАЛА ИВАНОВА</v>
      </c>
      <c r="U1342" s="1" t="str">
        <f>"3/1"</f>
        <v>3/1</v>
      </c>
      <c r="V1342" s="1" t="str">
        <f>""</f>
        <v/>
      </c>
      <c r="W1342" s="1" t="str">
        <f>""</f>
        <v/>
      </c>
      <c r="X1342" s="1" t="str">
        <f>""</f>
        <v/>
      </c>
      <c r="Y1342" s="1" t="str">
        <f>"246"</f>
        <v>246</v>
      </c>
      <c r="Z1342" t="str">
        <f>"3462243025"</f>
        <v>3462243025</v>
      </c>
      <c r="AA1342" t="str">
        <f>"9124185438"</f>
        <v>9124185438</v>
      </c>
      <c r="AB1342" t="str">
        <f>"9124185438"</f>
        <v>9124185438</v>
      </c>
      <c r="AC1342" t="str">
        <f>"9124185438"</f>
        <v>9124185438</v>
      </c>
      <c r="AD1342" t="str">
        <f>"9124185438"</f>
        <v>9124185438</v>
      </c>
      <c r="AE1342" t="str">
        <f>"3462243025"</f>
        <v>3462243025</v>
      </c>
    </row>
    <row r="1343" spans="1:31" x14ac:dyDescent="0.45">
      <c r="A1343" t="str">
        <f>"КОСТИНА КСЕНИЯ АЛЕКСАНДРОВНА"</f>
        <v>КОСТИНА КСЕНИЯ АЛЕКСАНДРОВНА</v>
      </c>
      <c r="B1343" t="str">
        <f>"1992-10-26"</f>
        <v>1992-10-26</v>
      </c>
      <c r="C1343" t="str">
        <f>"67 12 245520"</f>
        <v>67 12 245520</v>
      </c>
      <c r="D1343" t="str">
        <f>"4276016703787056"</f>
        <v>4276016703787056</v>
      </c>
      <c r="E1343" t="str">
        <f t="shared" si="220"/>
        <v>2021-05-31</v>
      </c>
      <c r="F1343" t="str">
        <f>"+"</f>
        <v>+</v>
      </c>
      <c r="G1343" t="str">
        <f>"+"</f>
        <v>+</v>
      </c>
      <c r="H1343" t="str">
        <f>"40817810716992099842"</f>
        <v>40817810716992099842</v>
      </c>
      <c r="I1343" t="str">
        <f>"5940"</f>
        <v>5940</v>
      </c>
      <c r="J1343" t="str">
        <f>"0041"</f>
        <v>0041</v>
      </c>
      <c r="K1343" t="str">
        <f>"50000.00"</f>
        <v>50000.00</v>
      </c>
      <c r="L1343" t="str">
        <f>"628400 АО ХАНТЫ-МАНСИЙСКИЙ   Г СУРГУТ   ПР-КТ КОМСОЛЬСКИЙ д. 19"</f>
        <v>628400 АО ХАНТЫ-МАНСИЙСКИЙ   Г СУРГУТ   ПР-КТ КОМСОЛЬСКИЙ д. 19</v>
      </c>
      <c r="M1343" t="str">
        <f t="shared" si="211"/>
        <v>2019-08-24</v>
      </c>
      <c r="N1343" t="str">
        <f>"МАГАЗИН ТВОЁ"</f>
        <v>МАГАЗИН ТВОЁ</v>
      </c>
      <c r="O1343" t="str">
        <f>"628400"</f>
        <v>628400</v>
      </c>
      <c r="P1343" t="str">
        <f>"ОБЛ ТЮМЕНСКАЯ"</f>
        <v>ОБЛ ТЮМЕНСКАЯ</v>
      </c>
      <c r="Q1343" t="str">
        <f>""</f>
        <v/>
      </c>
      <c r="R1343" t="str">
        <f>"Г СУРГУТ"</f>
        <v>Г СУРГУТ</v>
      </c>
      <c r="S1343" t="str">
        <f>""</f>
        <v/>
      </c>
      <c r="T1343" t="str">
        <f>"ПР-КТ ПРОЛЕТАРСКИЙ"</f>
        <v>ПР-КТ ПРОЛЕТАРСКИЙ</v>
      </c>
      <c r="U1343" s="1" t="str">
        <f>"28"</f>
        <v>28</v>
      </c>
      <c r="V1343" s="1" t="str">
        <f>""</f>
        <v/>
      </c>
      <c r="W1343" s="1" t="str">
        <f>""</f>
        <v/>
      </c>
      <c r="X1343" s="1" t="str">
        <f>""</f>
        <v/>
      </c>
      <c r="Y1343" s="1" t="str">
        <f>"63"</f>
        <v>63</v>
      </c>
      <c r="Z1343" t="str">
        <f>"3462212224"</f>
        <v>3462212224</v>
      </c>
      <c r="AA1343" t="str">
        <f>"9028564549"</f>
        <v>9028564549</v>
      </c>
      <c r="AB1343" t="str">
        <f>"9028564549"</f>
        <v>9028564549</v>
      </c>
      <c r="AC1343" t="str">
        <f>""</f>
        <v/>
      </c>
      <c r="AD1343" t="str">
        <f>"9028564549"</f>
        <v>9028564549</v>
      </c>
      <c r="AE1343" t="str">
        <f>"3462212224"</f>
        <v>3462212224</v>
      </c>
    </row>
    <row r="1344" spans="1:31" x14ac:dyDescent="0.45">
      <c r="A1344" t="str">
        <f>"САФИУЛЛИН РУСЛАН РАМИЛЕВИЧ"</f>
        <v>САФИУЛЛИН РУСЛАН РАМИЛЕВИЧ</v>
      </c>
      <c r="B1344" t="str">
        <f>"1988-08-04"</f>
        <v>1988-08-04</v>
      </c>
      <c r="C1344" t="str">
        <f>"80 08 605085"</f>
        <v>80 08 605085</v>
      </c>
      <c r="D1344" t="str">
        <f>"5313100337593619"</f>
        <v>5313100337593619</v>
      </c>
      <c r="E1344" t="str">
        <f>"2020-11-30"</f>
        <v>2020-11-30</v>
      </c>
      <c r="F1344" t="str">
        <f>"+"</f>
        <v>+</v>
      </c>
      <c r="G1344" t="str">
        <f>"+"</f>
        <v>+</v>
      </c>
      <c r="H1344" t="str">
        <f>"40817810516991391301"</f>
        <v>40817810516991391301</v>
      </c>
      <c r="I1344" t="str">
        <f>"8598"</f>
        <v>8598</v>
      </c>
      <c r="J1344" t="str">
        <f>"0644"</f>
        <v>0644</v>
      </c>
      <c r="K1344" t="str">
        <f>"30000.00"</f>
        <v>30000.00</v>
      </c>
      <c r="L1344" t="str">
        <f>"452774 РЕСП БАШКОРТОСТАН Р-Н ТУЙМАЗИНСКИЙ   С СУБХАНКУЛОВО УЛ СТРОИТЕЛЬНАЯ д. 1"</f>
        <v>452774 РЕСП БАШКОРТОСТАН Р-Н ТУЙМАЗИНСКИЙ   С СУБХАНКУЛОВО УЛ СТРОИТЕЛЬНАЯ д. 1</v>
      </c>
      <c r="M1344" t="str">
        <f t="shared" si="211"/>
        <v>2019-08-24</v>
      </c>
      <c r="N1344" t="str">
        <f>"БАШНЕФТЬ"</f>
        <v>БАШНЕФТЬ</v>
      </c>
      <c r="O1344" t="str">
        <f>"452752"</f>
        <v>452752</v>
      </c>
      <c r="P1344" t="str">
        <f>"РЕСП БАШКОРТОСТАН"</f>
        <v>РЕСП БАШКОРТОСТАН</v>
      </c>
      <c r="Q1344" t="str">
        <f>"Р-Н ТУЙМАЗИНСКИЙ"</f>
        <v>Р-Н ТУЙМАЗИНСКИЙ</v>
      </c>
      <c r="R1344" t="str">
        <f>""</f>
        <v/>
      </c>
      <c r="S1344" t="str">
        <f>"С РАЙМАНОВО"</f>
        <v>С РАЙМАНОВО</v>
      </c>
      <c r="T1344" t="str">
        <f>"УЛ ШКОЛЬНАЯ"</f>
        <v>УЛ ШКОЛЬНАЯ</v>
      </c>
      <c r="U1344" s="1" t="str">
        <f>"19"</f>
        <v>19</v>
      </c>
      <c r="V1344" s="1" t="str">
        <f>""</f>
        <v/>
      </c>
      <c r="W1344" s="1" t="str">
        <f>""</f>
        <v/>
      </c>
      <c r="X1344" s="1" t="str">
        <f>""</f>
        <v/>
      </c>
      <c r="Y1344" s="1" t="str">
        <f>""</f>
        <v/>
      </c>
      <c r="Z1344" t="str">
        <f>""</f>
        <v/>
      </c>
      <c r="AA1344" t="str">
        <f>"9374979345"</f>
        <v>9374979345</v>
      </c>
      <c r="AB1344" t="str">
        <f>"9374979345"</f>
        <v>9374979345</v>
      </c>
      <c r="AC1344" t="str">
        <f>"3478200000"</f>
        <v>3478200000</v>
      </c>
      <c r="AD1344" t="str">
        <f>"9374979345"</f>
        <v>9374979345</v>
      </c>
      <c r="AE1344" t="str">
        <f>""</f>
        <v/>
      </c>
    </row>
    <row r="1345" spans="1:31" x14ac:dyDescent="0.45">
      <c r="A1345" t="str">
        <f>"ПОЛИНОВ ВЛАДИМИР ВЛАДИМИРОВИЧ"</f>
        <v>ПОЛИНОВ ВЛАДИМИР ВЛАДИМИРОВИЧ</v>
      </c>
      <c r="B1345" t="str">
        <f>"1960-01-20"</f>
        <v>1960-01-20</v>
      </c>
      <c r="C1345" t="str">
        <f>"75 04 499050"</f>
        <v>75 04 499050</v>
      </c>
      <c r="D1345" t="str">
        <f>"4854630012982701"</f>
        <v>4854630012982701</v>
      </c>
      <c r="E1345" t="str">
        <f>"2020-11-30"</f>
        <v>2020-11-30</v>
      </c>
      <c r="F1345" t="str">
        <f>"K"</f>
        <v>K</v>
      </c>
      <c r="G1345" t="str">
        <f>"+"</f>
        <v>+</v>
      </c>
      <c r="H1345" t="str">
        <f>"40817810816991391302"</f>
        <v>40817810816991391302</v>
      </c>
      <c r="I1345" t="str">
        <f>"8597"</f>
        <v>8597</v>
      </c>
      <c r="J1345" t="str">
        <f>"0307"</f>
        <v>0307</v>
      </c>
      <c r="K1345" t="str">
        <f>"58000.00"</f>
        <v>58000.00</v>
      </c>
      <c r="L1345" t="str">
        <f>"454000 ОБЛ ЧЕЛЯБИНСКАЯ   Г ЧЕЛЯБИНСК   ПР-КТ СВЕРДЛОВСКИЙ д. 6"</f>
        <v>454000 ОБЛ ЧЕЛЯБИНСКАЯ   Г ЧЕЛЯБИНСК   ПР-КТ СВЕРДЛОВСКИЙ д. 6</v>
      </c>
      <c r="M1345" t="str">
        <f t="shared" si="211"/>
        <v>2019-08-24</v>
      </c>
      <c r="N1345" t="str">
        <f>"ИП ОВЧИННИКОВ СЕРГЕЙ ВАСИЛЬЕВИЧ"</f>
        <v>ИП ОВЧИННИКОВ СЕРГЕЙ ВАСИЛЬЕВИЧ</v>
      </c>
      <c r="O1345" t="str">
        <f>"456609"</f>
        <v>456609</v>
      </c>
      <c r="P1345" t="str">
        <f>"ОБЛ ЧЕЛЯБИНСКАЯ"</f>
        <v>ОБЛ ЧЕЛЯБИНСКАЯ</v>
      </c>
      <c r="Q1345" t="str">
        <f>""</f>
        <v/>
      </c>
      <c r="R1345" t="str">
        <f>"Г КОПЕЙСК"</f>
        <v>Г КОПЕЙСК</v>
      </c>
      <c r="S1345" t="str">
        <f>""</f>
        <v/>
      </c>
      <c r="T1345" t="str">
        <f>"УЛ ВАХТАНГОВА"</f>
        <v>УЛ ВАХТАНГОВА</v>
      </c>
      <c r="U1345" s="1" t="str">
        <f>"36"</f>
        <v>36</v>
      </c>
      <c r="V1345" s="1" t="str">
        <f>""</f>
        <v/>
      </c>
      <c r="W1345" s="1" t="str">
        <f>""</f>
        <v/>
      </c>
      <c r="X1345" s="1" t="str">
        <f>""</f>
        <v/>
      </c>
      <c r="Y1345" s="1" t="str">
        <f>""</f>
        <v/>
      </c>
      <c r="Z1345" t="str">
        <f>""</f>
        <v/>
      </c>
      <c r="AA1345" t="str">
        <f>"+7 (951) 4685374"</f>
        <v>+7 (951) 4685374</v>
      </c>
      <c r="AB1345" t="str">
        <f>"+7 (922) 7265621"</f>
        <v>+7 (922) 7265621</v>
      </c>
      <c r="AC1345" t="str">
        <f>"9514685374"</f>
        <v>9514685374</v>
      </c>
      <c r="AD1345" t="str">
        <f>"9227265621"</f>
        <v>9227265621</v>
      </c>
      <c r="AE1345" t="str">
        <f>""</f>
        <v/>
      </c>
    </row>
    <row r="1346" spans="1:31" x14ac:dyDescent="0.45">
      <c r="A1346" t="str">
        <f>"БЕЛОЗЕРОВА ОЛЬГА ЮРЬЕВНА"</f>
        <v>БЕЛОЗЕРОВА ОЛЬГА ЮРЬЕВНА</v>
      </c>
      <c r="B1346" t="str">
        <f>"1974-09-06"</f>
        <v>1974-09-06</v>
      </c>
      <c r="C1346" t="str">
        <f>"67 08 856904"</f>
        <v>67 08 856904</v>
      </c>
      <c r="D1346" t="str">
        <f>"4854630195924678"</f>
        <v>4854630195924678</v>
      </c>
      <c r="E1346" t="str">
        <f>"2020-11-30"</f>
        <v>2020-11-30</v>
      </c>
      <c r="F1346" t="str">
        <f>"+"</f>
        <v>+</v>
      </c>
      <c r="G1346" t="str">
        <f>"+"</f>
        <v>+</v>
      </c>
      <c r="H1346" t="str">
        <f>"40817810616992450769"</f>
        <v>40817810616992450769</v>
      </c>
      <c r="I1346" t="str">
        <f>"5940"</f>
        <v>5940</v>
      </c>
      <c r="J1346" t="str">
        <f>"0082"</f>
        <v>0082</v>
      </c>
      <c r="K1346" t="str">
        <f>"15000.00"</f>
        <v>15000.00</v>
      </c>
      <c r="L1346" t="str">
        <f>"628400 ОБЛ ТЮМЕНСКАЯ   Г САЙГАТИНА   УЛ 1"</f>
        <v>628400 ОБЛ ТЮМЕНСКАЯ   Г САЙГАТИНА   УЛ 1</v>
      </c>
      <c r="M1346" t="str">
        <f t="shared" ref="M1346:M1409" si="224">"2019-08-24"</f>
        <v>2019-08-24</v>
      </c>
      <c r="N1346" t="str">
        <f>"ГАЗПРОМПЕРЕРАБОТКА"</f>
        <v>ГАЗПРОМПЕРЕРАБОТКА</v>
      </c>
      <c r="O1346" t="str">
        <f>"628400"</f>
        <v>628400</v>
      </c>
      <c r="P1346" t="str">
        <f>"ОБЛ ТЮМЕНСКАЯ"</f>
        <v>ОБЛ ТЮМЕНСКАЯ</v>
      </c>
      <c r="Q1346" t="str">
        <f>""</f>
        <v/>
      </c>
      <c r="R1346" t="str">
        <f>"Г СУРГУТ"</f>
        <v>Г СУРГУТ</v>
      </c>
      <c r="S1346" t="str">
        <f>""</f>
        <v/>
      </c>
      <c r="T1346" t="str">
        <f>"УЛ ПРОСВЕЩЕНИЯ"</f>
        <v>УЛ ПРОСВЕЩЕНИЯ</v>
      </c>
      <c r="U1346" s="1" t="str">
        <f>"49"</f>
        <v>49</v>
      </c>
      <c r="V1346" s="1" t="str">
        <f>""</f>
        <v/>
      </c>
      <c r="W1346" s="1" t="str">
        <f>""</f>
        <v/>
      </c>
      <c r="X1346" s="1" t="str">
        <f>""</f>
        <v/>
      </c>
      <c r="Y1346" s="1" t="str">
        <f>"36"</f>
        <v>36</v>
      </c>
      <c r="Z1346" t="str">
        <f>""</f>
        <v/>
      </c>
      <c r="AA1346" t="str">
        <f>"9222530061"</f>
        <v>9222530061</v>
      </c>
      <c r="AB1346" t="str">
        <f>"9227972294"</f>
        <v>9227972294</v>
      </c>
      <c r="AC1346" t="str">
        <f>"9222530061"</f>
        <v>9222530061</v>
      </c>
      <c r="AD1346" t="str">
        <f>"9227972294"</f>
        <v>9227972294</v>
      </c>
      <c r="AE1346" t="str">
        <f>""</f>
        <v/>
      </c>
    </row>
    <row r="1347" spans="1:31" x14ac:dyDescent="0.45">
      <c r="A1347" t="str">
        <f>"ДЕГТЯРЕВА ГАЛИНА ГРИГОРЬЕВНА"</f>
        <v>ДЕГТЯРЕВА ГАЛИНА ГРИГОРЬЕВНА</v>
      </c>
      <c r="B1347" t="str">
        <f>"1952-10-19"</f>
        <v>1952-10-19</v>
      </c>
      <c r="C1347" t="str">
        <f>"75 03 573361"</f>
        <v>75 03 573361</v>
      </c>
      <c r="D1347" t="str">
        <f>"4854630423293193"</f>
        <v>4854630423293193</v>
      </c>
      <c r="E1347" t="str">
        <f>"2020-11-30"</f>
        <v>2020-11-30</v>
      </c>
      <c r="F1347" t="str">
        <f>"+"</f>
        <v>+</v>
      </c>
      <c r="G1347" t="str">
        <f>"+"</f>
        <v>+</v>
      </c>
      <c r="H1347" t="str">
        <f>"40817810416991391320"</f>
        <v>40817810416991391320</v>
      </c>
      <c r="I1347" t="str">
        <f>"8597"</f>
        <v>8597</v>
      </c>
      <c r="J1347" t="str">
        <f>"0364"</f>
        <v>0364</v>
      </c>
      <c r="K1347" t="str">
        <f>"25000.00"</f>
        <v>25000.00</v>
      </c>
      <c r="L1347" t="str">
        <f>"455000 ОБЛ ЧЕЛЯБИНСКАЯ   Г МАГНИТОГОРСК   УЛ ТРУДА д. 38 корп. 1 кв. 57"</f>
        <v>455000 ОБЛ ЧЕЛЯБИНСКАЯ   Г МАГНИТОГОРСК   УЛ ТРУДА д. 38 корп. 1 кв. 57</v>
      </c>
      <c r="M1347" t="str">
        <f t="shared" si="224"/>
        <v>2019-08-24</v>
      </c>
      <c r="N1347" t="str">
        <f>"ПЕНСИОНЕР"</f>
        <v>ПЕНСИОНЕР</v>
      </c>
      <c r="O1347" t="str">
        <f>"455000"</f>
        <v>455000</v>
      </c>
      <c r="P1347" t="str">
        <f>"ОБЛ ЧЕЛЯБИНСКАЯ"</f>
        <v>ОБЛ ЧЕЛЯБИНСКАЯ</v>
      </c>
      <c r="Q1347" t="str">
        <f>""</f>
        <v/>
      </c>
      <c r="R1347" t="str">
        <f>"Г МАГНИТОГОРСК"</f>
        <v>Г МАГНИТОГОРСК</v>
      </c>
      <c r="S1347" t="str">
        <f>""</f>
        <v/>
      </c>
      <c r="T1347" t="str">
        <f>"УЛ ТРУДА"</f>
        <v>УЛ ТРУДА</v>
      </c>
      <c r="U1347" s="1" t="str">
        <f>"59"</f>
        <v>59</v>
      </c>
      <c r="V1347" s="1" t="str">
        <f>""</f>
        <v/>
      </c>
      <c r="W1347" s="1" t="str">
        <f>"1"</f>
        <v>1</v>
      </c>
      <c r="X1347" s="1" t="str">
        <f>""</f>
        <v/>
      </c>
      <c r="Y1347" s="1" t="str">
        <f>"42"</f>
        <v>42</v>
      </c>
      <c r="Z1347" t="str">
        <f>""</f>
        <v/>
      </c>
      <c r="AA1347" t="str">
        <f>"9068505677"</f>
        <v>9068505677</v>
      </c>
      <c r="AB1347" t="str">
        <f>"9068505677"</f>
        <v>9068505677</v>
      </c>
      <c r="AC1347" t="str">
        <f>"9068505677"</f>
        <v>9068505677</v>
      </c>
      <c r="AD1347" t="str">
        <f>"9068505677"</f>
        <v>9068505677</v>
      </c>
      <c r="AE1347" t="str">
        <f>""</f>
        <v/>
      </c>
    </row>
    <row r="1348" spans="1:31" x14ac:dyDescent="0.45">
      <c r="A1348" t="str">
        <f>"ГИЛЬМАНОВ ЗИНЕР РАИСОВИЧ"</f>
        <v>ГИЛЬМАНОВ ЗИНЕР РАИСОВИЧ</v>
      </c>
      <c r="B1348" t="str">
        <f>"1963-02-28"</f>
        <v>1963-02-28</v>
      </c>
      <c r="C1348" t="str">
        <f>"80 07 485983"</f>
        <v>80 07 485983</v>
      </c>
      <c r="D1348" t="str">
        <f>"5313100725149891"</f>
        <v>5313100725149891</v>
      </c>
      <c r="E1348" t="str">
        <f>"2020-07-31"</f>
        <v>2020-07-31</v>
      </c>
      <c r="F1348" t="str">
        <f>"Q"</f>
        <v>Q</v>
      </c>
      <c r="G1348" t="str">
        <f>"Q"</f>
        <v>Q</v>
      </c>
      <c r="H1348" t="str">
        <f>"40817810816991391328"</f>
        <v>40817810816991391328</v>
      </c>
      <c r="I1348" t="str">
        <f>"8598"</f>
        <v>8598</v>
      </c>
      <c r="J1348" t="str">
        <f>"0122"</f>
        <v>0122</v>
      </c>
      <c r="K1348" t="str">
        <f>"0.00"</f>
        <v>0.00</v>
      </c>
      <c r="L1348" t="str">
        <f>"450000 РЕСП БАШКОРТОСТАН   Г УФА   УЛ ПР. ОКТЯБРЯ д. 43/3"</f>
        <v>450000 РЕСП БАШКОРТОСТАН   Г УФА   УЛ ПР. ОКТЯБРЯ д. 43/3</v>
      </c>
      <c r="M1348" t="str">
        <f t="shared" si="224"/>
        <v>2019-08-24</v>
      </c>
      <c r="N1348" t="str">
        <f>"ООО ПСФ ЛЕДУМ"</f>
        <v>ООО ПСФ ЛЕДУМ</v>
      </c>
      <c r="O1348" t="str">
        <f>"450000"</f>
        <v>450000</v>
      </c>
      <c r="P1348" t="str">
        <f>"РЕСП БАШКОРТОСТАН"</f>
        <v>РЕСП БАШКОРТОСТАН</v>
      </c>
      <c r="Q1348" t="str">
        <f>""</f>
        <v/>
      </c>
      <c r="R1348" t="str">
        <f>"Г УФА"</f>
        <v>Г УФА</v>
      </c>
      <c r="S1348" t="str">
        <f>""</f>
        <v/>
      </c>
      <c r="T1348" t="str">
        <f>"УЛ КОЛЬЦЕВАЯ"</f>
        <v>УЛ КОЛЬЦЕВАЯ</v>
      </c>
      <c r="U1348" s="1" t="str">
        <f>"66"</f>
        <v>66</v>
      </c>
      <c r="V1348" s="1" t="str">
        <f>""</f>
        <v/>
      </c>
      <c r="W1348" s="1" t="str">
        <f>""</f>
        <v/>
      </c>
      <c r="X1348" s="1" t="str">
        <f>""</f>
        <v/>
      </c>
      <c r="Y1348" s="1" t="str">
        <f>"9"</f>
        <v>9</v>
      </c>
      <c r="Z1348" t="str">
        <f>"9174191616"</f>
        <v>9174191616</v>
      </c>
      <c r="AA1348" t="str">
        <f>"9174191616"</f>
        <v>9174191616</v>
      </c>
      <c r="AB1348" t="str">
        <f>"9174191616"</f>
        <v>9174191616</v>
      </c>
      <c r="AC1348" t="str">
        <f>"9174191616"</f>
        <v>9174191616</v>
      </c>
      <c r="AD1348" t="str">
        <f>"9174191616"</f>
        <v>9174191616</v>
      </c>
      <c r="AE1348" t="str">
        <f>"9174191616"</f>
        <v>9174191616</v>
      </c>
    </row>
    <row r="1349" spans="1:31" x14ac:dyDescent="0.45">
      <c r="A1349" t="str">
        <f>"КАЗАКОВ АЛЕКСАНДР НИКОЛАЕВИЧ"</f>
        <v>КАЗАКОВ АЛЕКСАНДР НИКОЛАЕВИЧ</v>
      </c>
      <c r="B1349" t="str">
        <f>"1956-10-31"</f>
        <v>1956-10-31</v>
      </c>
      <c r="C1349" t="str">
        <f>"65 05 451739"</f>
        <v>65 05 451739</v>
      </c>
      <c r="D1349" t="str">
        <f>"4276011660138583"</f>
        <v>4276011660138583</v>
      </c>
      <c r="E1349" t="str">
        <f>"2022-05-31"</f>
        <v>2022-05-31</v>
      </c>
      <c r="F1349" t="str">
        <f>"Y"</f>
        <v>Y</v>
      </c>
      <c r="G1349" t="str">
        <f t="shared" ref="G1349:G1360" si="225">"+"</f>
        <v>+</v>
      </c>
      <c r="H1349" t="str">
        <f>"40817810316991391349"</f>
        <v>40817810316991391349</v>
      </c>
      <c r="I1349" t="str">
        <f>"7003"</f>
        <v>7003</v>
      </c>
      <c r="J1349" t="str">
        <f>"0306"</f>
        <v>0306</v>
      </c>
      <c r="K1349" t="str">
        <f>"50000.00"</f>
        <v>50000.00</v>
      </c>
      <c r="L1349" t="str">
        <f>"620000 ОБЛ СВЕРДЛОВСКАЯ     Г ЕКАТЕРИНБУРГ УЛ МАШИНОСТРОИТЕЛЕЙ д. 57 кв. 17"</f>
        <v>620000 ОБЛ СВЕРДЛОВСКАЯ     Г ЕКАТЕРИНБУРГ УЛ МАШИНОСТРОИТЕЛЕЙ д. 57 кв. 17</v>
      </c>
      <c r="M1349" t="str">
        <f t="shared" si="224"/>
        <v>2019-08-24</v>
      </c>
      <c r="N1349" t="str">
        <f>"ПЕНСИОНЕР"</f>
        <v>ПЕНСИОНЕР</v>
      </c>
      <c r="O1349" t="str">
        <f>"620000"</f>
        <v>620000</v>
      </c>
      <c r="P1349" t="str">
        <f>"ОБЛ СВЕРДЛОВСКАЯ"</f>
        <v>ОБЛ СВЕРДЛОВСКАЯ</v>
      </c>
      <c r="Q1349" t="str">
        <f>""</f>
        <v/>
      </c>
      <c r="R1349" t="str">
        <f>""</f>
        <v/>
      </c>
      <c r="S1349" t="str">
        <f>"Г ЕКАТЕРИНБУРГ"</f>
        <v>Г ЕКАТЕРИНБУРГ</v>
      </c>
      <c r="T1349" t="str">
        <f>"УЛ МАШИНОСТРОИТЕЛЕЙ"</f>
        <v>УЛ МАШИНОСТРОИТЕЛЕЙ</v>
      </c>
      <c r="U1349" s="1" t="str">
        <f>"57"</f>
        <v>57</v>
      </c>
      <c r="V1349" s="1" t="str">
        <f>""</f>
        <v/>
      </c>
      <c r="W1349" s="1" t="str">
        <f>""</f>
        <v/>
      </c>
      <c r="X1349" s="1" t="str">
        <f>""</f>
        <v/>
      </c>
      <c r="Y1349" s="1" t="str">
        <f>"17"</f>
        <v>17</v>
      </c>
      <c r="Z1349" t="str">
        <f>"+7 (343) 3366590"</f>
        <v>+7 (343) 3366590</v>
      </c>
      <c r="AA1349" t="str">
        <f>"+7 (902) 8766209"</f>
        <v>+7 (902) 8766209</v>
      </c>
      <c r="AB1349" t="str">
        <f>"+7 (902) 8766209"</f>
        <v>+7 (902) 8766209</v>
      </c>
      <c r="AC1349" t="str">
        <f>"9028766209"</f>
        <v>9028766209</v>
      </c>
      <c r="AD1349" t="str">
        <f>"9028766209"</f>
        <v>9028766209</v>
      </c>
      <c r="AE1349" t="str">
        <f>"9028766209"</f>
        <v>9028766209</v>
      </c>
    </row>
    <row r="1350" spans="1:31" x14ac:dyDescent="0.45">
      <c r="A1350" t="str">
        <f>"МУРОДОВ ОЯТУЛЛО МАХМАДСАФАРОВИЧ"</f>
        <v>МУРОДОВ ОЯТУЛЛО МАХМАДСАФАРОВИЧ</v>
      </c>
      <c r="B1350" t="str">
        <f>"1981-03-08"</f>
        <v>1981-03-08</v>
      </c>
      <c r="C1350" t="str">
        <f>"75 18 154157"</f>
        <v>75 18 154157</v>
      </c>
      <c r="D1350" t="str">
        <f>"5313100699906342"</f>
        <v>5313100699906342</v>
      </c>
      <c r="E1350" t="str">
        <f>"2020-09-30"</f>
        <v>2020-09-30</v>
      </c>
      <c r="F1350" t="str">
        <f t="shared" ref="F1350:F1360" si="226">"+"</f>
        <v>+</v>
      </c>
      <c r="G1350" t="str">
        <f t="shared" si="225"/>
        <v>+</v>
      </c>
      <c r="H1350" t="str">
        <f>"40817810716991391350"</f>
        <v>40817810716991391350</v>
      </c>
      <c r="I1350" t="str">
        <f>"8597"</f>
        <v>8597</v>
      </c>
      <c r="J1350" t="str">
        <f>"0242"</f>
        <v>0242</v>
      </c>
      <c r="K1350" t="str">
        <f>"22000.00"</f>
        <v>22000.00</v>
      </c>
      <c r="L1350" t="str">
        <f>"454000 ОБЛ ЧЕЛЯБИНСКАЯ   Г ЧЕЛЯБИНСК   УЛ ПЕТИ КАЛМЫКОВА д. 19А кв. 10"</f>
        <v>454000 ОБЛ ЧЕЛЯБИНСКАЯ   Г ЧЕЛЯБИНСК   УЛ ПЕТИ КАЛМЫКОВА д. 19А кв. 10</v>
      </c>
      <c r="M1350" t="str">
        <f t="shared" si="224"/>
        <v>2019-08-24</v>
      </c>
      <c r="N1350" t="str">
        <f>"НЕ РАБОТАЕТ"</f>
        <v>НЕ РАБОТАЕТ</v>
      </c>
      <c r="O1350" t="str">
        <f>"454000"</f>
        <v>454000</v>
      </c>
      <c r="P1350" t="str">
        <f>"ОБЛ ЧЕЛЯБИНСКАЯ"</f>
        <v>ОБЛ ЧЕЛЯБИНСКАЯ</v>
      </c>
      <c r="Q1350" t="str">
        <f>""</f>
        <v/>
      </c>
      <c r="R1350" t="str">
        <f>"Г ЧЕЛЯБИНСК"</f>
        <v>Г ЧЕЛЯБИНСК</v>
      </c>
      <c r="S1350" t="str">
        <f>""</f>
        <v/>
      </c>
      <c r="T1350" t="str">
        <f>"УЛ ПЕТИ КАЛМЫКОВА"</f>
        <v>УЛ ПЕТИ КАЛМЫКОВА</v>
      </c>
      <c r="U1350" s="1" t="str">
        <f>"19А"</f>
        <v>19А</v>
      </c>
      <c r="V1350" s="1" t="str">
        <f>""</f>
        <v/>
      </c>
      <c r="W1350" s="1" t="str">
        <f>""</f>
        <v/>
      </c>
      <c r="X1350" s="1" t="str">
        <f>""</f>
        <v/>
      </c>
      <c r="Y1350" s="1" t="str">
        <f>"10"</f>
        <v>10</v>
      </c>
      <c r="Z1350" t="str">
        <f>"9226954011"</f>
        <v>9226954011</v>
      </c>
      <c r="AA1350" t="str">
        <f>"9080552232"</f>
        <v>9080552232</v>
      </c>
      <c r="AB1350" t="str">
        <f>"9080552232"</f>
        <v>9080552232</v>
      </c>
      <c r="AC1350" t="str">
        <f>"9080552232"</f>
        <v>9080552232</v>
      </c>
      <c r="AD1350" t="str">
        <f>"9080552232"</f>
        <v>9080552232</v>
      </c>
      <c r="AE1350" t="str">
        <f>"9226954011"</f>
        <v>9226954011</v>
      </c>
    </row>
    <row r="1351" spans="1:31" x14ac:dyDescent="0.45">
      <c r="A1351" t="str">
        <f>"ТЕМНИКОВ СЕРГЕЙ ЮРЬЕВИЧ"</f>
        <v>ТЕМНИКОВ СЕРГЕЙ ЮРЬЕВИЧ</v>
      </c>
      <c r="B1351" t="str">
        <f>"1984-05-06"</f>
        <v>1984-05-06</v>
      </c>
      <c r="C1351" t="str">
        <f>"65 05 171665"</f>
        <v>65 05 171665</v>
      </c>
      <c r="D1351" t="str">
        <f>"4279011620031214"</f>
        <v>4279011620031214</v>
      </c>
      <c r="E1351" t="str">
        <f t="shared" ref="E1351:E1371" si="227">"2021-05-31"</f>
        <v>2021-05-31</v>
      </c>
      <c r="F1351" t="str">
        <f t="shared" si="226"/>
        <v>+</v>
      </c>
      <c r="G1351" t="str">
        <f t="shared" si="225"/>
        <v>+</v>
      </c>
      <c r="H1351" t="str">
        <f>"40817810516991391372"</f>
        <v>40817810516991391372</v>
      </c>
      <c r="I1351" t="str">
        <f>"7003"</f>
        <v>7003</v>
      </c>
      <c r="J1351" t="str">
        <f>"0884"</f>
        <v>0884</v>
      </c>
      <c r="K1351" t="str">
        <f>"95000.00"</f>
        <v>95000.00</v>
      </c>
      <c r="L1351" t="str">
        <f>"622018 ОБЛ СВЕРДЛОВСКАЯ   Г НИЖНИЙ ТАГИЛ   УЛ ЮНОСТИ д. 4Б"</f>
        <v>622018 ОБЛ СВЕРДЛОВСКАЯ   Г НИЖНИЙ ТАГИЛ   УЛ ЮНОСТИ д. 4Б</v>
      </c>
      <c r="M1351" t="str">
        <f t="shared" si="224"/>
        <v>2019-08-24</v>
      </c>
      <c r="N1351" t="str">
        <f>"ООО АВТОЛАВКА"</f>
        <v>ООО АВТОЛАВКА</v>
      </c>
      <c r="O1351" t="str">
        <f>"622012"</f>
        <v>622012</v>
      </c>
      <c r="P1351" t="str">
        <f>"ОБЛ СВЕРДЛОВСКАЯ"</f>
        <v>ОБЛ СВЕРДЛОВСКАЯ</v>
      </c>
      <c r="Q1351" t="str">
        <f>""</f>
        <v/>
      </c>
      <c r="R1351" t="str">
        <f>"Г НИЖНИЙ ТАГИЛ"</f>
        <v>Г НИЖНИЙ ТАГИЛ</v>
      </c>
      <c r="S1351" t="str">
        <f>""</f>
        <v/>
      </c>
      <c r="T1351" t="str">
        <f>"УЛ ДНЕПРОВСКАЯ"</f>
        <v>УЛ ДНЕПРОВСКАЯ</v>
      </c>
      <c r="U1351" s="1" t="str">
        <f>"5"</f>
        <v>5</v>
      </c>
      <c r="V1351" s="1" t="str">
        <f>""</f>
        <v/>
      </c>
      <c r="W1351" s="1" t="str">
        <f>""</f>
        <v/>
      </c>
      <c r="X1351" s="1" t="str">
        <f>""</f>
        <v/>
      </c>
      <c r="Y1351" s="1" t="str">
        <f>"32"</f>
        <v>32</v>
      </c>
      <c r="Z1351" t="str">
        <f>"3435230330"</f>
        <v>3435230330</v>
      </c>
      <c r="AA1351" t="str">
        <f>"9617685788"</f>
        <v>9617685788</v>
      </c>
      <c r="AB1351" t="str">
        <f>"9126560788"</f>
        <v>9126560788</v>
      </c>
      <c r="AC1351" t="str">
        <f>"9617685788"</f>
        <v>9617685788</v>
      </c>
      <c r="AD1351" t="str">
        <f>"9126560788"</f>
        <v>9126560788</v>
      </c>
      <c r="AE1351" t="str">
        <f>"3435230330"</f>
        <v>3435230330</v>
      </c>
    </row>
    <row r="1352" spans="1:31" x14ac:dyDescent="0.45">
      <c r="A1352" t="str">
        <f>"РУБЦОВ АНДРЕЙ ВАСИЛЬЕВИЧ"</f>
        <v>РУБЦОВ АНДРЕЙ ВАСИЛЬЕВИЧ</v>
      </c>
      <c r="B1352" t="str">
        <f>"1968-09-22"</f>
        <v>1968-09-22</v>
      </c>
      <c r="C1352" t="str">
        <f>"80 13 821460"</f>
        <v>80 13 821460</v>
      </c>
      <c r="D1352" t="str">
        <f>"4279011679059215"</f>
        <v>4279011679059215</v>
      </c>
      <c r="E1352" t="str">
        <f t="shared" si="227"/>
        <v>2021-05-31</v>
      </c>
      <c r="F1352" t="str">
        <f t="shared" si="226"/>
        <v>+</v>
      </c>
      <c r="G1352" t="str">
        <f t="shared" si="225"/>
        <v>+</v>
      </c>
      <c r="H1352" t="str">
        <f>"40817810816991391373"</f>
        <v>40817810816991391373</v>
      </c>
      <c r="I1352" t="str">
        <f>"8598"</f>
        <v>8598</v>
      </c>
      <c r="J1352" t="str">
        <f>"0122"</f>
        <v>0122</v>
      </c>
      <c r="K1352" t="str">
        <f>"40000.00"</f>
        <v>40000.00</v>
      </c>
      <c r="L1352" t="str">
        <f>"450000 РЕСП БАШКОРТОСТАН   Г УФА   УЛ МЕНДЕЛЕЕВА д. 5 корп. 1 кв. 143"</f>
        <v>450000 РЕСП БАШКОРТОСТАН   Г УФА   УЛ МЕНДЕЛЕЕВА д. 5 корп. 1 кв. 143</v>
      </c>
      <c r="M1352" t="str">
        <f t="shared" si="224"/>
        <v>2019-08-24</v>
      </c>
      <c r="N1352" t="str">
        <f>"ИП РУБЦОВ АВ"</f>
        <v>ИП РУБЦОВ АВ</v>
      </c>
      <c r="O1352" t="str">
        <f>"450000"</f>
        <v>450000</v>
      </c>
      <c r="P1352" t="str">
        <f>"РЕСП БАШКОРТОСТАН"</f>
        <v>РЕСП БАШКОРТОСТАН</v>
      </c>
      <c r="Q1352" t="str">
        <f>""</f>
        <v/>
      </c>
      <c r="R1352" t="str">
        <f>"Г УФА"</f>
        <v>Г УФА</v>
      </c>
      <c r="S1352" t="str">
        <f>""</f>
        <v/>
      </c>
      <c r="T1352" t="str">
        <f>"УЛ МЕНДЕЛЕЕВА"</f>
        <v>УЛ МЕНДЕЛЕЕВА</v>
      </c>
      <c r="U1352" s="1" t="str">
        <f>"5"</f>
        <v>5</v>
      </c>
      <c r="V1352" s="1" t="str">
        <f>""</f>
        <v/>
      </c>
      <c r="W1352" s="1" t="str">
        <f>"1"</f>
        <v>1</v>
      </c>
      <c r="X1352" s="1" t="str">
        <f>""</f>
        <v/>
      </c>
      <c r="Y1352" s="1" t="str">
        <f>"143"</f>
        <v>143</v>
      </c>
      <c r="Z1352" t="str">
        <f>""</f>
        <v/>
      </c>
      <c r="AA1352" t="str">
        <f>"9273440500"</f>
        <v>9273440500</v>
      </c>
      <c r="AB1352" t="str">
        <f>"9273440500"</f>
        <v>9273440500</v>
      </c>
      <c r="AC1352" t="str">
        <f>"9273440500"</f>
        <v>9273440500</v>
      </c>
      <c r="AD1352" t="str">
        <f>"9273440500"</f>
        <v>9273440500</v>
      </c>
      <c r="AE1352" t="str">
        <f>""</f>
        <v/>
      </c>
    </row>
    <row r="1353" spans="1:31" x14ac:dyDescent="0.45">
      <c r="A1353" t="str">
        <f>"ЮСУПОВА АЛЬФИЯ АДЫЛЬШАЕВНА"</f>
        <v>ЮСУПОВА АЛЬФИЯ АДЫЛЬШАЕВНА</v>
      </c>
      <c r="B1353" t="str">
        <f>"1965-05-04"</f>
        <v>1965-05-04</v>
      </c>
      <c r="C1353" t="str">
        <f>"80 10 071800"</f>
        <v>80 10 071800</v>
      </c>
      <c r="D1353" t="str">
        <f>"4279011654142218"</f>
        <v>4279011654142218</v>
      </c>
      <c r="E1353" t="str">
        <f t="shared" si="227"/>
        <v>2021-05-31</v>
      </c>
      <c r="F1353" t="str">
        <f t="shared" si="226"/>
        <v>+</v>
      </c>
      <c r="G1353" t="str">
        <f t="shared" si="225"/>
        <v>+</v>
      </c>
      <c r="H1353" t="str">
        <f>"40817810116991391374"</f>
        <v>40817810116991391374</v>
      </c>
      <c r="I1353" t="str">
        <f>"8598"</f>
        <v>8598</v>
      </c>
      <c r="J1353" t="str">
        <f>"0122"</f>
        <v>0122</v>
      </c>
      <c r="K1353" t="str">
        <f>"22000.00"</f>
        <v>22000.00</v>
      </c>
      <c r="L1353" t="str">
        <f>"450000 РЕСП БАШКОРТОСТАН   Г УФА   УЛ КОМАРОВА д. 1"</f>
        <v>450000 РЕСП БАШКОРТОСТАН   Г УФА   УЛ КОМАРОВА д. 1</v>
      </c>
      <c r="M1353" t="str">
        <f t="shared" si="224"/>
        <v>2019-08-24</v>
      </c>
      <c r="N1353" t="str">
        <f>"ПЕНСИОННЫЙ ФОНД"</f>
        <v>ПЕНСИОННЫЙ ФОНД</v>
      </c>
      <c r="O1353" t="str">
        <f>"450000"</f>
        <v>450000</v>
      </c>
      <c r="P1353" t="str">
        <f>"РЕСП БАШКОРТОСТАН"</f>
        <v>РЕСП БАШКОРТОСТАН</v>
      </c>
      <c r="Q1353" t="str">
        <f>"Р-Н ОРДЖОНИКИДЗЕВСКИЙ"</f>
        <v>Р-Н ОРДЖОНИКИДЗЕВСКИЙ</v>
      </c>
      <c r="R1353" t="str">
        <f>""</f>
        <v/>
      </c>
      <c r="S1353" t="str">
        <f>"П НОВЫЕ ЧЕРКАССЫ"</f>
        <v>П НОВЫЕ ЧЕРКАССЫ</v>
      </c>
      <c r="T1353" t="str">
        <f>"УЛ НЕФТЯНИКОВ"</f>
        <v>УЛ НЕФТЯНИКОВ</v>
      </c>
      <c r="U1353" s="1" t="str">
        <f>"18/1"</f>
        <v>18/1</v>
      </c>
      <c r="V1353" s="1" t="str">
        <f>""</f>
        <v/>
      </c>
      <c r="W1353" s="1" t="str">
        <f>""</f>
        <v/>
      </c>
      <c r="X1353" s="1" t="str">
        <f>""</f>
        <v/>
      </c>
      <c r="Y1353" s="1" t="str">
        <f>"5"</f>
        <v>5</v>
      </c>
      <c r="Z1353" t="str">
        <f>"9638993088"</f>
        <v>9638993088</v>
      </c>
      <c r="AA1353" t="str">
        <f>"3472717178"</f>
        <v>3472717178</v>
      </c>
      <c r="AB1353" t="str">
        <f>"9638970855"</f>
        <v>9638970855</v>
      </c>
      <c r="AC1353" t="str">
        <f>"3472717178"</f>
        <v>3472717178</v>
      </c>
      <c r="AD1353" t="str">
        <f>"9638970855"</f>
        <v>9638970855</v>
      </c>
      <c r="AE1353" t="str">
        <f>"9638993088"</f>
        <v>9638993088</v>
      </c>
    </row>
    <row r="1354" spans="1:31" x14ac:dyDescent="0.45">
      <c r="A1354" t="str">
        <f>"ГОЛУБЯТНИКОВ АЛЕКСАНДР СЕРГЕЕВИЧ"</f>
        <v>ГОЛУБЯТНИКОВ АЛЕКСАНДР СЕРГЕЕВИЧ</v>
      </c>
      <c r="B1354" t="str">
        <f>"1986-09-10"</f>
        <v>1986-09-10</v>
      </c>
      <c r="C1354" t="str">
        <f>"65 06 929791"</f>
        <v>65 06 929791</v>
      </c>
      <c r="D1354" t="str">
        <f>"4279011638087216"</f>
        <v>4279011638087216</v>
      </c>
      <c r="E1354" t="str">
        <f t="shared" si="227"/>
        <v>2021-05-31</v>
      </c>
      <c r="F1354" t="str">
        <f t="shared" si="226"/>
        <v>+</v>
      </c>
      <c r="G1354" t="str">
        <f t="shared" si="225"/>
        <v>+</v>
      </c>
      <c r="H1354" t="str">
        <f>"40817810416991391375"</f>
        <v>40817810416991391375</v>
      </c>
      <c r="I1354" t="str">
        <f>"7003"</f>
        <v>7003</v>
      </c>
      <c r="J1354" t="str">
        <f>"0465"</f>
        <v>0465</v>
      </c>
      <c r="K1354" t="str">
        <f>"300000.00"</f>
        <v>300000.00</v>
      </c>
      <c r="L1354" t="str">
        <f>"620000 ОБЛ СВЕРДЛОВСКАЯ   Г СРЕДНЕУРАЛЬСК   УЛ КАЛИНИНА д. 2"</f>
        <v>620000 ОБЛ СВЕРДЛОВСКАЯ   Г СРЕДНЕУРАЛЬСК   УЛ КАЛИНИНА д. 2</v>
      </c>
      <c r="M1354" t="str">
        <f t="shared" si="224"/>
        <v>2019-08-24</v>
      </c>
      <c r="N1354" t="str">
        <f>"ООО ПК АСТЕР-ЕК"</f>
        <v>ООО ПК АСТЕР-ЕК</v>
      </c>
      <c r="O1354" t="str">
        <f>"620000"</f>
        <v>620000</v>
      </c>
      <c r="P1354" t="str">
        <f>"ОБЛ СВЕРДЛОВСКАЯ"</f>
        <v>ОБЛ СВЕРДЛОВСКАЯ</v>
      </c>
      <c r="Q1354" t="str">
        <f>""</f>
        <v/>
      </c>
      <c r="R1354" t="str">
        <f>"Г ЕКАТЕРИНБУРГ"</f>
        <v>Г ЕКАТЕРИНБУРГ</v>
      </c>
      <c r="S1354" t="str">
        <f>""</f>
        <v/>
      </c>
      <c r="T1354" t="str">
        <f>"УЛ КРАСНОЛЕСЬЯ"</f>
        <v>УЛ КРАСНОЛЕСЬЯ</v>
      </c>
      <c r="U1354" s="1" t="str">
        <f>"28"</f>
        <v>28</v>
      </c>
      <c r="V1354" s="1" t="str">
        <f>""</f>
        <v/>
      </c>
      <c r="W1354" s="1" t="str">
        <f>""</f>
        <v/>
      </c>
      <c r="X1354" s="1" t="str">
        <f>""</f>
        <v/>
      </c>
      <c r="Y1354" s="1" t="str">
        <f>"81"</f>
        <v>81</v>
      </c>
      <c r="Z1354" t="str">
        <f>"3432613529"</f>
        <v>3432613529</v>
      </c>
      <c r="AA1354" t="str">
        <f>"9521355554"</f>
        <v>9521355554</v>
      </c>
      <c r="AB1354" t="str">
        <f>"9521355554"</f>
        <v>9521355554</v>
      </c>
      <c r="AC1354" t="str">
        <f>"9521355554"</f>
        <v>9521355554</v>
      </c>
      <c r="AD1354" t="str">
        <f>"9521355554"</f>
        <v>9521355554</v>
      </c>
      <c r="AE1354" t="str">
        <f>""</f>
        <v/>
      </c>
    </row>
    <row r="1355" spans="1:31" x14ac:dyDescent="0.45">
      <c r="A1355" t="str">
        <f>"КИСЕЛЕВА ИРИНА ВАЛЕРЬЕВНА"</f>
        <v>КИСЕЛЕВА ИРИНА ВАЛЕРЬЕВНА</v>
      </c>
      <c r="B1355" t="str">
        <f>"1975-06-19"</f>
        <v>1975-06-19</v>
      </c>
      <c r="C1355" t="str">
        <f>"65 02 018231"</f>
        <v>65 02 018231</v>
      </c>
      <c r="D1355" t="str">
        <f>"4279011663682204"</f>
        <v>4279011663682204</v>
      </c>
      <c r="E1355" t="str">
        <f t="shared" si="227"/>
        <v>2021-05-31</v>
      </c>
      <c r="F1355" t="str">
        <f t="shared" si="226"/>
        <v>+</v>
      </c>
      <c r="G1355" t="str">
        <f t="shared" si="225"/>
        <v>+</v>
      </c>
      <c r="H1355" t="str">
        <f>"40817810916991391464"</f>
        <v>40817810916991391464</v>
      </c>
      <c r="I1355" t="str">
        <f>"7003"</f>
        <v>7003</v>
      </c>
      <c r="J1355" t="str">
        <f>"0892"</f>
        <v>0892</v>
      </c>
      <c r="K1355" t="str">
        <f>"11000.00"</f>
        <v>11000.00</v>
      </c>
      <c r="L1355" t="str">
        <f>"620000 ОБЛ СВЕРДЛОВСКАЯ   Г ЕКАТЕРИНБУРГ   ПРИЧАЛ ЛЕНИНА д. 32"</f>
        <v>620000 ОБЛ СВЕРДЛОВСКАЯ   Г ЕКАТЕРИНБУРГ   ПРИЧАЛ ЛЕНИНА д. 32</v>
      </c>
      <c r="M1355" t="str">
        <f t="shared" si="224"/>
        <v>2019-08-24</v>
      </c>
      <c r="N1355" t="str">
        <f>"ОБЛАСТНОЙ АРБИТРАЖНЫЙ СУД"</f>
        <v>ОБЛАСТНОЙ АРБИТРАЖНЫЙ СУД</v>
      </c>
      <c r="O1355" t="str">
        <f>"620000"</f>
        <v>620000</v>
      </c>
      <c r="P1355" t="str">
        <f>"ОБЛ СВЕРДЛОВСКАЯ"</f>
        <v>ОБЛ СВЕРДЛОВСКАЯ</v>
      </c>
      <c r="Q1355" t="str">
        <f>""</f>
        <v/>
      </c>
      <c r="R1355" t="str">
        <f>"Г ЕКАТЕРИНБУРГ"</f>
        <v>Г ЕКАТЕРИНБУРГ</v>
      </c>
      <c r="S1355" t="str">
        <f>""</f>
        <v/>
      </c>
      <c r="T1355" t="str">
        <f>"УЛ ФРЕЗЕРОВЩИКОВ"</f>
        <v>УЛ ФРЕЗЕРОВЩИКОВ</v>
      </c>
      <c r="U1355" s="1" t="str">
        <f>"26"</f>
        <v>26</v>
      </c>
      <c r="V1355" s="1" t="str">
        <f>""</f>
        <v/>
      </c>
      <c r="W1355" s="1" t="str">
        <f>""</f>
        <v/>
      </c>
      <c r="X1355" s="1" t="str">
        <f>""</f>
        <v/>
      </c>
      <c r="Y1355" s="1" t="str">
        <f>"110"</f>
        <v>110</v>
      </c>
      <c r="Z1355" t="str">
        <f>""</f>
        <v/>
      </c>
      <c r="AA1355" t="str">
        <f>"+7 (919) 3766788"</f>
        <v>+7 (919) 3766788</v>
      </c>
      <c r="AB1355" t="str">
        <f>"9193766788"</f>
        <v>9193766788</v>
      </c>
      <c r="AC1355" t="str">
        <f>"9022665946"</f>
        <v>9022665946</v>
      </c>
      <c r="AD1355" t="str">
        <f>"9022665946"</f>
        <v>9022665946</v>
      </c>
      <c r="AE1355" t="str">
        <f>""</f>
        <v/>
      </c>
    </row>
    <row r="1356" spans="1:31" x14ac:dyDescent="0.45">
      <c r="A1356" t="str">
        <f>"БУРАШНИКОВ АНДРЕЙ АЛЕКСАНДРОВИЧ"</f>
        <v>БУРАШНИКОВ АНДРЕЙ АЛЕКСАНДРОВИЧ</v>
      </c>
      <c r="B1356" t="str">
        <f>"1990-05-20"</f>
        <v>1990-05-20</v>
      </c>
      <c r="C1356" t="str">
        <f>"65 09 880010"</f>
        <v>65 09 880010</v>
      </c>
      <c r="D1356" t="str">
        <f>"4279011691876604"</f>
        <v>4279011691876604</v>
      </c>
      <c r="E1356" t="str">
        <f t="shared" si="227"/>
        <v>2021-05-31</v>
      </c>
      <c r="F1356" t="str">
        <f t="shared" si="226"/>
        <v>+</v>
      </c>
      <c r="G1356" t="str">
        <f t="shared" si="225"/>
        <v>+</v>
      </c>
      <c r="H1356" t="str">
        <f>"40817810616991391463"</f>
        <v>40817810616991391463</v>
      </c>
      <c r="I1356" t="str">
        <f>"7003"</f>
        <v>7003</v>
      </c>
      <c r="J1356" t="str">
        <f>"0757"</f>
        <v>0757</v>
      </c>
      <c r="K1356" t="str">
        <f>"70000.00"</f>
        <v>70000.00</v>
      </c>
      <c r="L1356" t="str">
        <f>"600000 ОБЛ ТЮМЕНСКАЯ   Г НОВЫЙ УРЕНГОЙ ПРОМЗОНА СЕВЕРНАЯ УЛ УГСК д. 1"</f>
        <v>600000 ОБЛ ТЮМЕНСКАЯ   Г НОВЫЙ УРЕНГОЙ ПРОМЗОНА СЕВЕРНАЯ УЛ УГСК д. 1</v>
      </c>
      <c r="M1356" t="str">
        <f t="shared" si="224"/>
        <v>2019-08-24</v>
      </c>
      <c r="N1356" t="str">
        <f>"ООО АЛЛЮМИНИЕВАЯ ПРОДУКЦИЯ"</f>
        <v>ООО АЛЛЮМИНИЕВАЯ ПРОДУКЦИЯ</v>
      </c>
      <c r="O1356" t="str">
        <f>"620000"</f>
        <v>620000</v>
      </c>
      <c r="P1356" t="str">
        <f>"ОБЛ СВЕРДЛОВСКАЯ"</f>
        <v>ОБЛ СВЕРДЛОВСКАЯ</v>
      </c>
      <c r="Q1356" t="str">
        <f>""</f>
        <v/>
      </c>
      <c r="R1356" t="str">
        <f>"Г НИЖНИЙ ТАГИЛ"</f>
        <v>Г НИЖНИЙ ТАГИЛ</v>
      </c>
      <c r="S1356" t="str">
        <f>""</f>
        <v/>
      </c>
      <c r="T1356" t="str">
        <f>"УЛ СЛАНЦЕВАЯ"</f>
        <v>УЛ СЛАНЦЕВАЯ</v>
      </c>
      <c r="U1356" s="1" t="str">
        <f>"2А"</f>
        <v>2А</v>
      </c>
      <c r="V1356" s="1" t="str">
        <f>""</f>
        <v/>
      </c>
      <c r="W1356" s="1" t="str">
        <f>""</f>
        <v/>
      </c>
      <c r="X1356" s="1" t="str">
        <f>""</f>
        <v/>
      </c>
      <c r="Y1356" s="1" t="str">
        <f>""</f>
        <v/>
      </c>
      <c r="Z1356" t="str">
        <f>""</f>
        <v/>
      </c>
      <c r="AA1356" t="str">
        <f>"9530561080"</f>
        <v>9530561080</v>
      </c>
      <c r="AB1356" t="str">
        <f>"9000481008"</f>
        <v>9000481008</v>
      </c>
      <c r="AC1356" t="str">
        <f>"9530561080"</f>
        <v>9530561080</v>
      </c>
      <c r="AD1356" t="str">
        <f>"9000481008"</f>
        <v>9000481008</v>
      </c>
      <c r="AE1356" t="str">
        <f>""</f>
        <v/>
      </c>
    </row>
    <row r="1357" spans="1:31" x14ac:dyDescent="0.45">
      <c r="A1357" t="str">
        <f>"ВЕРШИНИНА НАТАЛЬЯ АЛЕКСАНДРОВНА"</f>
        <v>ВЕРШИНИНА НАТАЛЬЯ АЛЕКСАНДРОВНА</v>
      </c>
      <c r="B1357" t="str">
        <f>"1978-09-03"</f>
        <v>1978-09-03</v>
      </c>
      <c r="C1357" t="str">
        <f>"75 12 088602"</f>
        <v>75 12 088602</v>
      </c>
      <c r="D1357" t="str">
        <f>"4279011666321396"</f>
        <v>4279011666321396</v>
      </c>
      <c r="E1357" t="str">
        <f t="shared" si="227"/>
        <v>2021-05-31</v>
      </c>
      <c r="F1357" t="str">
        <f t="shared" si="226"/>
        <v>+</v>
      </c>
      <c r="G1357" t="str">
        <f t="shared" si="225"/>
        <v>+</v>
      </c>
      <c r="H1357" t="str">
        <f>"40817810516991391466"</f>
        <v>40817810516991391466</v>
      </c>
      <c r="I1357" t="str">
        <f>"8597"</f>
        <v>8597</v>
      </c>
      <c r="J1357" t="str">
        <f>"0243"</f>
        <v>0243</v>
      </c>
      <c r="K1357" t="str">
        <f>"120000.00"</f>
        <v>120000.00</v>
      </c>
      <c r="L1357" t="str">
        <f>"456675 ОБЛ ЧЕЛЯБИНСКАЯ Р-Н КРАСНОАРМЕЙСКИЙ   П ДУБРОВКА УЛ МИРА д. 12 корп. Б"</f>
        <v>456675 ОБЛ ЧЕЛЯБИНСКАЯ Р-Н КРАСНОАРМЕЙСКИЙ   П ДУБРОВКА УЛ МИРА д. 12 корп. Б</v>
      </c>
      <c r="M1357" t="str">
        <f t="shared" si="224"/>
        <v>2019-08-24</v>
      </c>
      <c r="N1357" t="str">
        <f>"ООО ПКЗ ДУБРОВСКИЙ"</f>
        <v>ООО ПКЗ ДУБРОВСКИЙ</v>
      </c>
      <c r="O1357" t="str">
        <f>"456675"</f>
        <v>456675</v>
      </c>
      <c r="P1357" t="str">
        <f>"ОБЛ ЧЕЛЯБИНСКАЯ"</f>
        <v>ОБЛ ЧЕЛЯБИНСКАЯ</v>
      </c>
      <c r="Q1357" t="str">
        <f>"Р-Н КРАСНОАРМЕЙСКИЙ"</f>
        <v>Р-Н КРАСНОАРМЕЙСКИЙ</v>
      </c>
      <c r="R1357" t="str">
        <f>""</f>
        <v/>
      </c>
      <c r="S1357" t="str">
        <f>"П ДУБРОВКА"</f>
        <v>П ДУБРОВКА</v>
      </c>
      <c r="T1357" t="str">
        <f>"УЛ САДОВАЯ"</f>
        <v>УЛ САДОВАЯ</v>
      </c>
      <c r="U1357" s="1" t="str">
        <f>"11"</f>
        <v>11</v>
      </c>
      <c r="V1357" s="1" t="str">
        <f>""</f>
        <v/>
      </c>
      <c r="W1357" s="1" t="str">
        <f>""</f>
        <v/>
      </c>
      <c r="X1357" s="1" t="str">
        <f>""</f>
        <v/>
      </c>
      <c r="Y1357" s="1" t="str">
        <f>"8"</f>
        <v>8</v>
      </c>
      <c r="Z1357" t="str">
        <f>"3515021879"</f>
        <v>3515021879</v>
      </c>
      <c r="AA1357" t="str">
        <f>"3515027603"</f>
        <v>3515027603</v>
      </c>
      <c r="AB1357" t="str">
        <f>"9123216771"</f>
        <v>9123216771</v>
      </c>
      <c r="AC1357" t="str">
        <f>"3515027603"</f>
        <v>3515027603</v>
      </c>
      <c r="AD1357" t="str">
        <f>"9123216771"</f>
        <v>9123216771</v>
      </c>
      <c r="AE1357" t="str">
        <f>"3515021879"</f>
        <v>3515021879</v>
      </c>
    </row>
    <row r="1358" spans="1:31" x14ac:dyDescent="0.45">
      <c r="A1358" t="str">
        <f>"КОСТИКОВ ИЛЬЯ ВАЛЕРЬЕВИЧ"</f>
        <v>КОСТИКОВ ИЛЬЯ ВАЛЕРЬЕВИЧ</v>
      </c>
      <c r="B1358" t="str">
        <f>"1989-07-09"</f>
        <v>1989-07-09</v>
      </c>
      <c r="C1358" t="str">
        <f>"75 09 556063"</f>
        <v>75 09 556063</v>
      </c>
      <c r="D1358" t="str">
        <f>"4279011644043591"</f>
        <v>4279011644043591</v>
      </c>
      <c r="E1358" t="str">
        <f t="shared" si="227"/>
        <v>2021-05-31</v>
      </c>
      <c r="F1358" t="str">
        <f t="shared" si="226"/>
        <v>+</v>
      </c>
      <c r="G1358" t="str">
        <f t="shared" si="225"/>
        <v>+</v>
      </c>
      <c r="H1358" t="str">
        <f>"40817810016991391461"</f>
        <v>40817810016991391461</v>
      </c>
      <c r="I1358" t="str">
        <f>"8597"</f>
        <v>8597</v>
      </c>
      <c r="J1358" t="str">
        <f>"0372"</f>
        <v>0372</v>
      </c>
      <c r="K1358" t="str">
        <f>"30000.00"</f>
        <v>30000.00</v>
      </c>
      <c r="L1358" t="str">
        <f>"454000 ОБЛ ЧЕЛЯБИНСКАЯ Р-Н ВЕРХНЕУРАЛЬСКИЙ   П МЕЖОЗЕРНЫЙ УЛ ПРОМ ПЛОЩАДКА д. 1"</f>
        <v>454000 ОБЛ ЧЕЛЯБИНСКАЯ Р-Н ВЕРХНЕУРАЛЬСКИЙ   П МЕЖОЗЕРНЫЙ УЛ ПРОМ ПЛОЩАДКА д. 1</v>
      </c>
      <c r="M1358" t="str">
        <f t="shared" si="224"/>
        <v>2019-08-24</v>
      </c>
      <c r="N1358" t="str">
        <f>"ООО ШСУ"</f>
        <v>ООО ШСУ</v>
      </c>
      <c r="O1358" t="str">
        <f>"454000"</f>
        <v>454000</v>
      </c>
      <c r="P1358" t="str">
        <f>"ОБЛ ЧЕЛЯБИНСКАЯ"</f>
        <v>ОБЛ ЧЕЛЯБИНСКАЯ</v>
      </c>
      <c r="Q1358" t="str">
        <f>"Р-Н ВЕРХНЕУРАЛЬСКИЙ"</f>
        <v>Р-Н ВЕРХНЕУРАЛЬСКИЙ</v>
      </c>
      <c r="R1358" t="str">
        <f>"П МЕЖОЗЕРНЫЙ"</f>
        <v>П МЕЖОЗЕРНЫЙ</v>
      </c>
      <c r="S1358" t="str">
        <f>""</f>
        <v/>
      </c>
      <c r="T1358" t="str">
        <f>"УЛ ЛЕНИНА"</f>
        <v>УЛ ЛЕНИНА</v>
      </c>
      <c r="U1358" s="1" t="str">
        <f>"13"</f>
        <v>13</v>
      </c>
      <c r="V1358" s="1" t="str">
        <f>""</f>
        <v/>
      </c>
      <c r="W1358" s="1" t="str">
        <f>""</f>
        <v/>
      </c>
      <c r="X1358" s="1" t="str">
        <f>""</f>
        <v/>
      </c>
      <c r="Y1358" s="1" t="str">
        <f>"59"</f>
        <v>59</v>
      </c>
      <c r="Z1358" t="str">
        <f>""</f>
        <v/>
      </c>
      <c r="AA1358" t="str">
        <f>"9090974422"</f>
        <v>9090974422</v>
      </c>
      <c r="AB1358" t="str">
        <f>"9656692596"</f>
        <v>9656692596</v>
      </c>
      <c r="AC1358" t="str">
        <f>"9090974422"</f>
        <v>9090974422</v>
      </c>
      <c r="AD1358" t="str">
        <f>"9656692596"</f>
        <v>9656692596</v>
      </c>
      <c r="AE1358" t="str">
        <f>""</f>
        <v/>
      </c>
    </row>
    <row r="1359" spans="1:31" x14ac:dyDescent="0.45">
      <c r="A1359" t="str">
        <f>"РОМАНОВ АЛЕКСЕЙ ВИКТОРОВИЧ"</f>
        <v>РОМАНОВ АЛЕКСЕЙ ВИКТОРОВИЧ</v>
      </c>
      <c r="B1359" t="str">
        <f>"1988-01-21"</f>
        <v>1988-01-21</v>
      </c>
      <c r="C1359" t="str">
        <f>"75 07 219210"</f>
        <v>75 07 219210</v>
      </c>
      <c r="D1359" t="str">
        <f>"4279011687016587"</f>
        <v>4279011687016587</v>
      </c>
      <c r="E1359" t="str">
        <f t="shared" si="227"/>
        <v>2021-05-31</v>
      </c>
      <c r="F1359" t="str">
        <f t="shared" si="226"/>
        <v>+</v>
      </c>
      <c r="G1359" t="str">
        <f t="shared" si="225"/>
        <v>+</v>
      </c>
      <c r="H1359" t="str">
        <f>"40817810316991391459"</f>
        <v>40817810316991391459</v>
      </c>
      <c r="I1359" t="str">
        <f>"8597"</f>
        <v>8597</v>
      </c>
      <c r="J1359" t="str">
        <f>"0556"</f>
        <v>0556</v>
      </c>
      <c r="K1359" t="str">
        <f>"450000.00"</f>
        <v>450000.00</v>
      </c>
      <c r="L1359" t="str">
        <f>"454000 ОБЛ ЧЕЛЯБИНСКАЯ   Г ЧЕЛЯБИНСК Г ЧЕЛЯБИНСК УЛ КОММУНИСТИЧЕСКАЯ д. 2А"</f>
        <v>454000 ОБЛ ЧЕЛЯБИНСКАЯ   Г ЧЕЛЯБИНСК Г ЧЕЛЯБИНСК УЛ КОММУНИСТИЧЕСКАЯ д. 2А</v>
      </c>
      <c r="M1359" t="str">
        <f t="shared" si="224"/>
        <v>2019-08-24</v>
      </c>
      <c r="N1359" t="str">
        <f>"МБУЗ ГКБ ПОЛИКЛИНИКА №7"</f>
        <v>МБУЗ ГКБ ПОЛИКЛИНИКА №7</v>
      </c>
      <c r="O1359" t="str">
        <f>"454000"</f>
        <v>454000</v>
      </c>
      <c r="P1359" t="str">
        <f>"ОБЛ ЧЕЛЯБИНСКАЯ"</f>
        <v>ОБЛ ЧЕЛЯБИНСКАЯ</v>
      </c>
      <c r="Q1359" t="str">
        <f>""</f>
        <v/>
      </c>
      <c r="R1359" t="str">
        <f>"Г ЧЕЛЯБИНСК"</f>
        <v>Г ЧЕЛЯБИНСК</v>
      </c>
      <c r="S1359" t="str">
        <f>"П УВЕЛЬСКИЙ"</f>
        <v>П УВЕЛЬСКИЙ</v>
      </c>
      <c r="T1359" t="str">
        <f>"УЛ ВАТУТИНА"</f>
        <v>УЛ ВАТУТИНА</v>
      </c>
      <c r="U1359" s="1" t="str">
        <f>"4"</f>
        <v>4</v>
      </c>
      <c r="V1359" s="1" t="str">
        <f>""</f>
        <v/>
      </c>
      <c r="W1359" s="1" t="str">
        <f>""</f>
        <v/>
      </c>
      <c r="X1359" s="1" t="str">
        <f>""</f>
        <v/>
      </c>
      <c r="Y1359" s="1" t="str">
        <f>""</f>
        <v/>
      </c>
      <c r="Z1359" t="str">
        <f>""</f>
        <v/>
      </c>
      <c r="AA1359" t="str">
        <f>"9080675003"</f>
        <v>9080675003</v>
      </c>
      <c r="AB1359" t="str">
        <f>"9227199419"</f>
        <v>9227199419</v>
      </c>
      <c r="AC1359" t="str">
        <f>"9227199419"</f>
        <v>9227199419</v>
      </c>
      <c r="AD1359" t="str">
        <f>"9227199419"</f>
        <v>9227199419</v>
      </c>
      <c r="AE1359" t="str">
        <f>""</f>
        <v/>
      </c>
    </row>
    <row r="1360" spans="1:31" x14ac:dyDescent="0.45">
      <c r="A1360" t="str">
        <f>"ЛАПТЕВА АННА СЕРГЕЕВНА"</f>
        <v>ЛАПТЕВА АННА СЕРГЕЕВНА</v>
      </c>
      <c r="B1360" t="str">
        <f>"1981-03-30"</f>
        <v>1981-03-30</v>
      </c>
      <c r="C1360" t="str">
        <f>"65 11 279890"</f>
        <v>65 11 279890</v>
      </c>
      <c r="D1360" t="str">
        <f>"4279011628260427"</f>
        <v>4279011628260427</v>
      </c>
      <c r="E1360" t="str">
        <f t="shared" si="227"/>
        <v>2021-05-31</v>
      </c>
      <c r="F1360" t="str">
        <f t="shared" si="226"/>
        <v>+</v>
      </c>
      <c r="G1360" t="str">
        <f t="shared" si="225"/>
        <v>+</v>
      </c>
      <c r="H1360" t="str">
        <f>"40817810216991391601"</f>
        <v>40817810216991391601</v>
      </c>
      <c r="I1360" t="str">
        <f>"7003"</f>
        <v>7003</v>
      </c>
      <c r="J1360" t="str">
        <f>"0016"</f>
        <v>0016</v>
      </c>
      <c r="K1360" t="str">
        <f>"20000.00"</f>
        <v>20000.00</v>
      </c>
      <c r="L1360" t="str">
        <f>"620000 ОБЛ СВЕРДЛОВСКАЯ   Г ЕКАТЕРИНБУРГ   ПЕР КЫШТЫМСКИЙ д. 8Б кв. 8"</f>
        <v>620000 ОБЛ СВЕРДЛОВСКАЯ   Г ЕКАТЕРИНБУРГ   ПЕР КЫШТЫМСКИЙ д. 8Б кв. 8</v>
      </c>
      <c r="M1360" t="str">
        <f t="shared" si="224"/>
        <v>2019-08-24</v>
      </c>
      <c r="N1360" t="str">
        <f>"-"</f>
        <v>-</v>
      </c>
      <c r="O1360" t="str">
        <f>"620000"</f>
        <v>620000</v>
      </c>
      <c r="P1360" t="str">
        <f>"ОБЛ СВЕРДЛОВСКАЯ"</f>
        <v>ОБЛ СВЕРДЛОВСКАЯ</v>
      </c>
      <c r="Q1360" t="str">
        <f>""</f>
        <v/>
      </c>
      <c r="R1360" t="str">
        <f>"Г ЕКАТЕРИНБУРГ"</f>
        <v>Г ЕКАТЕРИНБУРГ</v>
      </c>
      <c r="S1360" t="str">
        <f>""</f>
        <v/>
      </c>
      <c r="T1360" t="str">
        <f>"ПЕР КЫШТЫМСКИЙ"</f>
        <v>ПЕР КЫШТЫМСКИЙ</v>
      </c>
      <c r="U1360" s="1" t="str">
        <f>"8Б"</f>
        <v>8Б</v>
      </c>
      <c r="V1360" s="1" t="str">
        <f>""</f>
        <v/>
      </c>
      <c r="W1360" s="1" t="str">
        <f>""</f>
        <v/>
      </c>
      <c r="X1360" s="1" t="str">
        <f>""</f>
        <v/>
      </c>
      <c r="Y1360" s="1" t="str">
        <f>"8"</f>
        <v>8</v>
      </c>
      <c r="Z1360" t="str">
        <f>""</f>
        <v/>
      </c>
      <c r="AA1360" t="str">
        <f>"9292217848"</f>
        <v>9292217848</v>
      </c>
      <c r="AB1360" t="str">
        <f>"9292217848"</f>
        <v>9292217848</v>
      </c>
      <c r="AC1360" t="str">
        <f>"9292217848"</f>
        <v>9292217848</v>
      </c>
      <c r="AD1360" t="str">
        <f>"9292217848"</f>
        <v>9292217848</v>
      </c>
      <c r="AE1360" t="str">
        <f>""</f>
        <v/>
      </c>
    </row>
    <row r="1361" spans="1:31" x14ac:dyDescent="0.45">
      <c r="A1361" t="str">
        <f>"МАРКИН ВЛАДИМИР АНДРЕЕВИЧ"</f>
        <v>МАРКИН ВЛАДИМИР АНДРЕЕВИЧ</v>
      </c>
      <c r="B1361" t="str">
        <f>"1987-08-23"</f>
        <v>1987-08-23</v>
      </c>
      <c r="C1361" t="str">
        <f>"04 06 349535"</f>
        <v>04 06 349535</v>
      </c>
      <c r="D1361" t="str">
        <f>"4279011615482828"</f>
        <v>4279011615482828</v>
      </c>
      <c r="E1361" t="str">
        <f t="shared" si="227"/>
        <v>2021-05-31</v>
      </c>
      <c r="F1361" t="str">
        <f>"Y"</f>
        <v>Y</v>
      </c>
      <c r="G1361" t="str">
        <f>"Q"</f>
        <v>Q</v>
      </c>
      <c r="H1361" t="str">
        <f>"40817810616991391609"</f>
        <v>40817810616991391609</v>
      </c>
      <c r="I1361" t="str">
        <f>"8597"</f>
        <v>8597</v>
      </c>
      <c r="J1361" t="str">
        <f>"0326"</f>
        <v>0326</v>
      </c>
      <c r="K1361" t="str">
        <f>"0.00"</f>
        <v>0.00</v>
      </c>
      <c r="L1361" t="str">
        <f>"454000 ОБЛ ЧЕЛЯБИНСКАЯ   Г ТРЕХГОРНЫЙ   УЛ ЗАРЕЧНАЯ д. 13"</f>
        <v>454000 ОБЛ ЧЕЛЯБИНСКАЯ   Г ТРЕХГОРНЫЙ   УЛ ЗАРЕЧНАЯ д. 13</v>
      </c>
      <c r="M1361" t="str">
        <f t="shared" si="224"/>
        <v>2019-08-24</v>
      </c>
      <c r="N1361" t="str">
        <f>"В/Ч 3442"</f>
        <v>В/Ч 3442</v>
      </c>
      <c r="O1361" t="str">
        <f>"454000"</f>
        <v>454000</v>
      </c>
      <c r="P1361" t="str">
        <f>"ОБЛ ЧЕЛЯБИНСКАЯ"</f>
        <v>ОБЛ ЧЕЛЯБИНСКАЯ</v>
      </c>
      <c r="Q1361" t="str">
        <f>""</f>
        <v/>
      </c>
      <c r="R1361" t="str">
        <f>"Г СНЕЖИНСК"</f>
        <v>Г СНЕЖИНСК</v>
      </c>
      <c r="S1361" t="str">
        <f>""</f>
        <v/>
      </c>
      <c r="T1361" t="str">
        <f>"УЛ ТЕРРИТОРИЯ В.Ч 3468"</f>
        <v>УЛ ТЕРРИТОРИЯ В.Ч 3468</v>
      </c>
      <c r="U1361" s="1" t="str">
        <f>""</f>
        <v/>
      </c>
      <c r="V1361" s="1" t="str">
        <f>""</f>
        <v/>
      </c>
      <c r="W1361" s="1" t="str">
        <f>""</f>
        <v/>
      </c>
      <c r="X1361" s="1" t="str">
        <f>""</f>
        <v/>
      </c>
      <c r="Y1361" s="1" t="str">
        <f>""</f>
        <v/>
      </c>
      <c r="Z1361" t="str">
        <f>"35130 76590"</f>
        <v>35130 76590</v>
      </c>
      <c r="AA1361" t="str">
        <f>"9227210330"</f>
        <v>9227210330</v>
      </c>
      <c r="AB1361" t="str">
        <f>"9227210330"</f>
        <v>9227210330</v>
      </c>
      <c r="AC1361" t="str">
        <f>"9227210330"</f>
        <v>9227210330</v>
      </c>
      <c r="AD1361" t="str">
        <f>"9227210330"</f>
        <v>9227210330</v>
      </c>
      <c r="AE1361" t="str">
        <f>""</f>
        <v/>
      </c>
    </row>
    <row r="1362" spans="1:31" x14ac:dyDescent="0.45">
      <c r="A1362" t="str">
        <f>"ТИХОНОВА НАТАЛЬЯ АНДРЕЕВНА"</f>
        <v>ТИХОНОВА НАТАЛЬЯ АНДРЕЕВНА</v>
      </c>
      <c r="B1362" t="str">
        <f>"1989-02-18"</f>
        <v>1989-02-18</v>
      </c>
      <c r="C1362" t="str">
        <f>"65 09 787779"</f>
        <v>65 09 787779</v>
      </c>
      <c r="D1362" t="str">
        <f>"4279011602705223"</f>
        <v>4279011602705223</v>
      </c>
      <c r="E1362" t="str">
        <f t="shared" si="227"/>
        <v>2021-05-31</v>
      </c>
      <c r="F1362" t="str">
        <f>"+"</f>
        <v>+</v>
      </c>
      <c r="G1362" t="str">
        <f>"+"</f>
        <v>+</v>
      </c>
      <c r="H1362" t="str">
        <f>"40817810316991391611"</f>
        <v>40817810316991391611</v>
      </c>
      <c r="I1362" t="str">
        <f>"7003"</f>
        <v>7003</v>
      </c>
      <c r="J1362" t="str">
        <f>"0248"</f>
        <v>0248</v>
      </c>
      <c r="K1362" t="str">
        <f>"14000.00"</f>
        <v>14000.00</v>
      </c>
      <c r="L1362" t="str">
        <f>"620000 ОБЛ СВЕРДЛОВСКАЯ   Г ЕКАТЕРИНБУРГ   УЛ ИЛИЧА д. 28"</f>
        <v>620000 ОБЛ СВЕРДЛОВСКАЯ   Г ЕКАТЕРИНБУРГ   УЛ ИЛИЧА д. 28</v>
      </c>
      <c r="M1362" t="str">
        <f t="shared" si="224"/>
        <v>2019-08-24</v>
      </c>
      <c r="N1362" t="str">
        <f>"САЛОН ОДЕЖДЫ"</f>
        <v>САЛОН ОДЕЖДЫ</v>
      </c>
      <c r="O1362" t="str">
        <f>"620000"</f>
        <v>620000</v>
      </c>
      <c r="P1362" t="str">
        <f>"ОБЛ СВЕРДЛОВСКАЯ"</f>
        <v>ОБЛ СВЕРДЛОВСКАЯ</v>
      </c>
      <c r="Q1362" t="str">
        <f>""</f>
        <v/>
      </c>
      <c r="R1362" t="str">
        <f>"Г ЕКАТЕРИНБУРГ"</f>
        <v>Г ЕКАТЕРИНБУРГ</v>
      </c>
      <c r="S1362" t="str">
        <f>""</f>
        <v/>
      </c>
      <c r="T1362" t="str">
        <f>"ПР-КТ КОСМОНАВТОВ"</f>
        <v>ПР-КТ КОСМОНАВТОВ</v>
      </c>
      <c r="U1362" s="1" t="str">
        <f>"78А"</f>
        <v>78А</v>
      </c>
      <c r="V1362" s="1" t="str">
        <f>""</f>
        <v/>
      </c>
      <c r="W1362" s="1" t="str">
        <f>""</f>
        <v/>
      </c>
      <c r="X1362" s="1" t="str">
        <f>""</f>
        <v/>
      </c>
      <c r="Y1362" s="1" t="str">
        <f>"423"</f>
        <v>423</v>
      </c>
      <c r="Z1362" t="str">
        <f>""</f>
        <v/>
      </c>
      <c r="AA1362" t="str">
        <f>"9527260823"</f>
        <v>9527260823</v>
      </c>
      <c r="AB1362" t="str">
        <f>"9527260823"</f>
        <v>9527260823</v>
      </c>
      <c r="AC1362" t="str">
        <f>"9527260823"</f>
        <v>9527260823</v>
      </c>
      <c r="AD1362" t="str">
        <f>"9527260823"</f>
        <v>9527260823</v>
      </c>
      <c r="AE1362" t="str">
        <f>""</f>
        <v/>
      </c>
    </row>
    <row r="1363" spans="1:31" x14ac:dyDescent="0.45">
      <c r="A1363" t="str">
        <f>"ОНОХОВА ЕЛЕНА ВИКТОРОВНА"</f>
        <v>ОНОХОВА ЕЛЕНА ВИКТОРОВНА</v>
      </c>
      <c r="B1363" t="str">
        <f>"1983-04-26"</f>
        <v>1983-04-26</v>
      </c>
      <c r="C1363" t="str">
        <f>"75 07 095306"</f>
        <v>75 07 095306</v>
      </c>
      <c r="D1363" t="str">
        <f>"4279011631047936"</f>
        <v>4279011631047936</v>
      </c>
      <c r="E1363" t="str">
        <f t="shared" si="227"/>
        <v>2021-05-31</v>
      </c>
      <c r="F1363" t="str">
        <f>"+"</f>
        <v>+</v>
      </c>
      <c r="G1363" t="str">
        <f>"+"</f>
        <v>+</v>
      </c>
      <c r="H1363" t="str">
        <f>"40817810216991391614"</f>
        <v>40817810216991391614</v>
      </c>
      <c r="I1363" t="str">
        <f>"8597"</f>
        <v>8597</v>
      </c>
      <c r="J1363" t="str">
        <f>"0295"</f>
        <v>0295</v>
      </c>
      <c r="K1363" t="str">
        <f>"50000.00"</f>
        <v>50000.00</v>
      </c>
      <c r="L1363" t="str">
        <f>"454000 ОБЛ ЧЕЛЯБИНСКАЯ   Г КОПЕЙСК   УЛ ЛЕНИНА д. 24"</f>
        <v>454000 ОБЛ ЧЕЛЯБИНСКАЯ   Г КОПЕЙСК   УЛ ЛЕНИНА д. 24</v>
      </c>
      <c r="M1363" t="str">
        <f t="shared" si="224"/>
        <v>2019-08-24</v>
      </c>
      <c r="N1363" t="str">
        <f>"КОПЕЙСКИЙ МАШЗАВОД"</f>
        <v>КОПЕЙСКИЙ МАШЗАВОД</v>
      </c>
      <c r="O1363" t="str">
        <f>"454000"</f>
        <v>454000</v>
      </c>
      <c r="P1363" t="str">
        <f>"ОБЛ ЧЕЛЯБИНСКАЯ"</f>
        <v>ОБЛ ЧЕЛЯБИНСКАЯ</v>
      </c>
      <c r="Q1363" t="str">
        <f>""</f>
        <v/>
      </c>
      <c r="R1363" t="str">
        <f>"Г КОПЕЙСК"</f>
        <v>Г КОПЕЙСК</v>
      </c>
      <c r="S1363" t="str">
        <f>""</f>
        <v/>
      </c>
      <c r="T1363" t="str">
        <f>"УЛ ГОЛЬЦА"</f>
        <v>УЛ ГОЛЬЦА</v>
      </c>
      <c r="U1363" s="1" t="str">
        <f>"12"</f>
        <v>12</v>
      </c>
      <c r="V1363" s="1" t="str">
        <f>""</f>
        <v/>
      </c>
      <c r="W1363" s="1" t="str">
        <f>""</f>
        <v/>
      </c>
      <c r="X1363" s="1" t="str">
        <f>""</f>
        <v/>
      </c>
      <c r="Y1363" s="1" t="str">
        <f>"74"</f>
        <v>74</v>
      </c>
      <c r="Z1363" t="str">
        <f>"+7 (35139) 93962"</f>
        <v>+7 (35139) 93962</v>
      </c>
      <c r="AA1363" t="str">
        <f>"+7 (951) 1207107"</f>
        <v>+7 (951) 1207107</v>
      </c>
      <c r="AB1363" t="str">
        <f>"+7 (909) 0706784"</f>
        <v>+7 (909) 0706784</v>
      </c>
      <c r="AC1363" t="str">
        <f>"9511207107"</f>
        <v>9511207107</v>
      </c>
      <c r="AD1363" t="str">
        <f>"9511207107"</f>
        <v>9511207107</v>
      </c>
      <c r="AE1363" t="str">
        <f>"9511207107"</f>
        <v>9511207107</v>
      </c>
    </row>
    <row r="1364" spans="1:31" x14ac:dyDescent="0.45">
      <c r="A1364" t="str">
        <f>"РОШИОРУ ТАТЬЯНА ВАСИЛЬЕВНА"</f>
        <v>РОШИОРУ ТАТЬЯНА ВАСИЛЬЕВНА</v>
      </c>
      <c r="B1364" t="str">
        <f>"1997-03-04"</f>
        <v>1997-03-04</v>
      </c>
      <c r="C1364" t="str">
        <f>"65 17 412286"</f>
        <v>65 17 412286</v>
      </c>
      <c r="D1364" t="str">
        <f>"4279011674659134"</f>
        <v>4279011674659134</v>
      </c>
      <c r="E1364" t="str">
        <f t="shared" si="227"/>
        <v>2021-05-31</v>
      </c>
      <c r="F1364" t="str">
        <f>"Y"</f>
        <v>Y</v>
      </c>
      <c r="G1364" t="str">
        <f>"Q"</f>
        <v>Q</v>
      </c>
      <c r="H1364" t="str">
        <f>"40817810116991391617"</f>
        <v>40817810116991391617</v>
      </c>
      <c r="I1364" t="str">
        <f>"7003"</f>
        <v>7003</v>
      </c>
      <c r="J1364" t="str">
        <f>"0405"</f>
        <v>0405</v>
      </c>
      <c r="K1364" t="str">
        <f>"0.00"</f>
        <v>0.00</v>
      </c>
      <c r="L1364" t="str">
        <f>"620000 ОБЛ СВЕРДЛОВСКАЯ   Г ЕКАТЕРИНБУРГ   ПЕР САРАНИНСКИЙ д. 6"</f>
        <v>620000 ОБЛ СВЕРДЛОВСКАЯ   Г ЕКАТЕРИНБУРГ   ПЕР САРАНИНСКИЙ д. 6</v>
      </c>
      <c r="M1364" t="str">
        <f t="shared" si="224"/>
        <v>2019-08-24</v>
      </c>
      <c r="N1364" t="str">
        <f>"СТУДИЯ КРАСОТЫ РАЙС"</f>
        <v>СТУДИЯ КРАСОТЫ РАЙС</v>
      </c>
      <c r="O1364" t="str">
        <f>"620000"</f>
        <v>620000</v>
      </c>
      <c r="P1364" t="str">
        <f>"ОБЛ СВЕРДЛОВСКАЯ"</f>
        <v>ОБЛ СВЕРДЛОВСКАЯ</v>
      </c>
      <c r="Q1364" t="str">
        <f>""</f>
        <v/>
      </c>
      <c r="R1364" t="str">
        <f>""</f>
        <v/>
      </c>
      <c r="S1364" t="str">
        <f>"П УФИМСКИЙ"</f>
        <v>П УФИМСКИЙ</v>
      </c>
      <c r="T1364" t="str">
        <f>"УЛ МИРА"</f>
        <v>УЛ МИРА</v>
      </c>
      <c r="U1364" s="1" t="str">
        <f>"45А"</f>
        <v>45А</v>
      </c>
      <c r="V1364" s="1" t="str">
        <f>""</f>
        <v/>
      </c>
      <c r="W1364" s="1" t="str">
        <f>""</f>
        <v/>
      </c>
      <c r="X1364" s="1" t="str">
        <f>""</f>
        <v/>
      </c>
      <c r="Y1364" s="1" t="str">
        <f>""</f>
        <v/>
      </c>
      <c r="Z1364" t="str">
        <f>""</f>
        <v/>
      </c>
      <c r="AA1364" t="str">
        <f>"+7 (953) 3820414"</f>
        <v>+7 (953) 3820414</v>
      </c>
      <c r="AB1364" t="str">
        <f>"+7 (912) 6962608"</f>
        <v>+7 (912) 6962608</v>
      </c>
      <c r="AC1364" t="str">
        <f>"9126962608"</f>
        <v>9126962608</v>
      </c>
      <c r="AD1364" t="str">
        <f>"9126962608"</f>
        <v>9126962608</v>
      </c>
      <c r="AE1364" t="str">
        <f>""</f>
        <v/>
      </c>
    </row>
    <row r="1365" spans="1:31" x14ac:dyDescent="0.45">
      <c r="A1365" t="str">
        <f>"ГИЛЬФАНОВ НИЯЗ НИГМАТЬЯНОВИЧ"</f>
        <v>ГИЛЬФАНОВ НИЯЗ НИГМАТЬЯНОВИЧ</v>
      </c>
      <c r="B1365" t="str">
        <f>"1985-01-15"</f>
        <v>1985-01-15</v>
      </c>
      <c r="C1365" t="str">
        <f>"80 16 490394"</f>
        <v>80 16 490394</v>
      </c>
      <c r="D1365" t="str">
        <f>"4279011633687135"</f>
        <v>4279011633687135</v>
      </c>
      <c r="E1365" t="str">
        <f t="shared" si="227"/>
        <v>2021-05-31</v>
      </c>
      <c r="F1365" t="str">
        <f>"+"</f>
        <v>+</v>
      </c>
      <c r="G1365" t="str">
        <f>"+"</f>
        <v>+</v>
      </c>
      <c r="H1365" t="str">
        <f>"40817810416991391621"</f>
        <v>40817810416991391621</v>
      </c>
      <c r="I1365" t="str">
        <f>"8598"</f>
        <v>8598</v>
      </c>
      <c r="J1365" t="str">
        <f>"0329"</f>
        <v>0329</v>
      </c>
      <c r="K1365" t="str">
        <f>"41000.00"</f>
        <v>41000.00</v>
      </c>
      <c r="L1365" t="str">
        <f>"628400 ОБЛ ТЮМЕНСКАЯ   Г СУРГУТ   УЛ САЯНСКАЯ д. 16"</f>
        <v>628400 ОБЛ ТЮМЕНСКАЯ   Г СУРГУТ   УЛ САЯНСКАЯ д. 16</v>
      </c>
      <c r="M1365" t="str">
        <f t="shared" si="224"/>
        <v>2019-08-24</v>
      </c>
      <c r="N1365" t="str">
        <f>"ООО СК ЮВИС"</f>
        <v>ООО СК ЮВИС</v>
      </c>
      <c r="O1365" t="str">
        <f>"450000"</f>
        <v>450000</v>
      </c>
      <c r="P1365" t="str">
        <f>"РЕСП БАШКОРТОСТАН"</f>
        <v>РЕСП БАШКОРТОСТАН</v>
      </c>
      <c r="Q1365" t="str">
        <f>"Р-Н УЧАЛИНСКИЙ"</f>
        <v>Р-Н УЧАЛИНСКИЙ</v>
      </c>
      <c r="R1365" t="str">
        <f>""</f>
        <v/>
      </c>
      <c r="S1365" t="str">
        <f>"Д КАЛКАНОВО"</f>
        <v>Д КАЛКАНОВО</v>
      </c>
      <c r="T1365" t="str">
        <f>"УЛ ШКОЛЬНАЯ"</f>
        <v>УЛ ШКОЛЬНАЯ</v>
      </c>
      <c r="U1365" s="1" t="str">
        <f>"13"</f>
        <v>13</v>
      </c>
      <c r="V1365" s="1" t="str">
        <f>""</f>
        <v/>
      </c>
      <c r="W1365" s="1" t="str">
        <f>""</f>
        <v/>
      </c>
      <c r="X1365" s="1" t="str">
        <f>""</f>
        <v/>
      </c>
      <c r="Y1365" s="1" t="str">
        <f>""</f>
        <v/>
      </c>
      <c r="Z1365" t="str">
        <f>""</f>
        <v/>
      </c>
      <c r="AA1365" t="str">
        <f>"9825618027"</f>
        <v>9825618027</v>
      </c>
      <c r="AB1365" t="str">
        <f>"9825618027"</f>
        <v>9825618027</v>
      </c>
      <c r="AC1365" t="str">
        <f>"9825618027"</f>
        <v>9825618027</v>
      </c>
      <c r="AD1365" t="str">
        <f>"9825618027"</f>
        <v>9825618027</v>
      </c>
      <c r="AE1365" t="str">
        <f>""</f>
        <v/>
      </c>
    </row>
    <row r="1366" spans="1:31" x14ac:dyDescent="0.45">
      <c r="A1366" t="str">
        <f>"АЛЕКСАНДРОВ АНТОН НИКОЛАЕВИЧ"</f>
        <v>АЛЕКСАНДРОВ АНТОН НИКОЛАЕВИЧ</v>
      </c>
      <c r="B1366" t="str">
        <f>"1989-04-23"</f>
        <v>1989-04-23</v>
      </c>
      <c r="C1366" t="str">
        <f>"75 09 712450"</f>
        <v>75 09 712450</v>
      </c>
      <c r="D1366" t="str">
        <f>"4279011651594817"</f>
        <v>4279011651594817</v>
      </c>
      <c r="E1366" t="str">
        <f t="shared" si="227"/>
        <v>2021-05-31</v>
      </c>
      <c r="F1366" t="str">
        <f>"J"</f>
        <v>J</v>
      </c>
      <c r="G1366" t="str">
        <f>"W"</f>
        <v>W</v>
      </c>
      <c r="H1366" t="str">
        <f>"40817810016991391607"</f>
        <v>40817810016991391607</v>
      </c>
      <c r="I1366" t="str">
        <f>"8597"</f>
        <v>8597</v>
      </c>
      <c r="J1366" t="str">
        <f>"0235"</f>
        <v>0235</v>
      </c>
      <c r="K1366" t="str">
        <f>"225000.00"</f>
        <v>225000.00</v>
      </c>
      <c r="L1366" t="str">
        <f>"454000 ОБЛ ЧЕЛЯБИНСКАЯ   Г ЧЕЛЯБИНСК   ПР-КТ КОМСОМОЛЬСКИЙ д. 113 корп. 1"</f>
        <v>454000 ОБЛ ЧЕЛЯБИНСКАЯ   Г ЧЕЛЯБИНСК   ПР-КТ КОМСОМОЛЬСКИЙ д. 113 корп. 1</v>
      </c>
      <c r="M1366" t="str">
        <f t="shared" si="224"/>
        <v>2019-08-24</v>
      </c>
      <c r="N1366" t="str">
        <f>"ООО МАГАЗИН САЛЮТОВ"</f>
        <v>ООО МАГАЗИН САЛЮТОВ</v>
      </c>
      <c r="O1366" t="str">
        <f>"454000"</f>
        <v>454000</v>
      </c>
      <c r="P1366" t="str">
        <f>"ОБЛ ЧЕЛЯБИНСКАЯ"</f>
        <v>ОБЛ ЧЕЛЯБИНСКАЯ</v>
      </c>
      <c r="Q1366" t="str">
        <f>""</f>
        <v/>
      </c>
      <c r="R1366" t="str">
        <f>"Г ЧЕЛЯБИНСК"</f>
        <v>Г ЧЕЛЯБИНСК</v>
      </c>
      <c r="S1366" t="str">
        <f>""</f>
        <v/>
      </c>
      <c r="T1366" t="str">
        <f>"УЛ ЧИЧЕРИНА"</f>
        <v>УЛ ЧИЧЕРИНА</v>
      </c>
      <c r="U1366" s="1" t="str">
        <f>"2"</f>
        <v>2</v>
      </c>
      <c r="V1366" s="1" t="str">
        <f>""</f>
        <v/>
      </c>
      <c r="W1366" s="1" t="str">
        <f>""</f>
        <v/>
      </c>
      <c r="X1366" s="1" t="str">
        <f>""</f>
        <v/>
      </c>
      <c r="Y1366" s="1" t="str">
        <f>"17"</f>
        <v>17</v>
      </c>
      <c r="Z1366" t="str">
        <f>"+7 (351) 2113109"</f>
        <v>+7 (351) 2113109</v>
      </c>
      <c r="AA1366" t="str">
        <f>"+7 (951) 1147449"</f>
        <v>+7 (951) 1147449</v>
      </c>
      <c r="AB1366" t="str">
        <f>"+7 (951) 1147449"</f>
        <v>+7 (951) 1147449</v>
      </c>
      <c r="AC1366" t="str">
        <f>"9511147449"</f>
        <v>9511147449</v>
      </c>
      <c r="AD1366" t="str">
        <f>"9511147449"</f>
        <v>9511147449</v>
      </c>
      <c r="AE1366" t="str">
        <f>""</f>
        <v/>
      </c>
    </row>
    <row r="1367" spans="1:31" x14ac:dyDescent="0.45">
      <c r="A1367" t="str">
        <f>"МЕДВЕДЕВА МАРИЯ ПЕТРОВНА"</f>
        <v>МЕДВЕДЕВА МАРИЯ ПЕТРОВНА</v>
      </c>
      <c r="B1367" t="str">
        <f>"1990-01-23"</f>
        <v>1990-01-23</v>
      </c>
      <c r="C1367" t="str">
        <f>"75 09 677908"</f>
        <v>75 09 677908</v>
      </c>
      <c r="D1367" t="str">
        <f>"4279011695206014"</f>
        <v>4279011695206014</v>
      </c>
      <c r="E1367" t="str">
        <f t="shared" si="227"/>
        <v>2021-05-31</v>
      </c>
      <c r="F1367" t="str">
        <f t="shared" ref="F1367:G1382" si="228">"+"</f>
        <v>+</v>
      </c>
      <c r="G1367" t="str">
        <f t="shared" si="228"/>
        <v>+</v>
      </c>
      <c r="H1367" t="str">
        <f>"40817810616991391612"</f>
        <v>40817810616991391612</v>
      </c>
      <c r="I1367" t="str">
        <f>"8597"</f>
        <v>8597</v>
      </c>
      <c r="J1367" t="str">
        <f>"0331"</f>
        <v>0331</v>
      </c>
      <c r="K1367" t="str">
        <f>"100000.00"</f>
        <v>100000.00</v>
      </c>
      <c r="L1367" t="str">
        <f>"454000 ОБЛ ЧЕЛЯБИНСКАЯ   Г МАГНИТОГОРСК   УЛ СОВЕТСКОЙ АРМИИ д. 6"</f>
        <v>454000 ОБЛ ЧЕЛЯБИНСКАЯ   Г МАГНИТОГОРСК   УЛ СОВЕТСКОЙ АРМИИ д. 6</v>
      </c>
      <c r="M1367" t="str">
        <f t="shared" si="224"/>
        <v>2019-08-24</v>
      </c>
      <c r="N1367" t="str">
        <f>"ФССП ПО ЧЕЛЯБИНСКОЙ ОБЛАСТИ"</f>
        <v>ФССП ПО ЧЕЛЯБИНСКОЙ ОБЛАСТИ</v>
      </c>
      <c r="O1367" t="str">
        <f>"454000"</f>
        <v>454000</v>
      </c>
      <c r="P1367" t="str">
        <f>"ОБЛ ЧЕЛЯБИНСКАЯ"</f>
        <v>ОБЛ ЧЕЛЯБИНСКАЯ</v>
      </c>
      <c r="Q1367" t="str">
        <f>"Р-Н ВЕРХНЕУРАЛЬСКИЙ"</f>
        <v>Р-Н ВЕРХНЕУРАЛЬСКИЙ</v>
      </c>
      <c r="R1367" t="str">
        <f>""</f>
        <v/>
      </c>
      <c r="S1367" t="str">
        <f>"П СМЕЛОВСКИЙ"</f>
        <v>П СМЕЛОВСКИЙ</v>
      </c>
      <c r="T1367" t="str">
        <f>"УЛ СОВЕТСКАЯ"</f>
        <v>УЛ СОВЕТСКАЯ</v>
      </c>
      <c r="U1367" s="1" t="str">
        <f>"63"</f>
        <v>63</v>
      </c>
      <c r="V1367" s="1" t="str">
        <f>""</f>
        <v/>
      </c>
      <c r="W1367" s="1" t="str">
        <f>""</f>
        <v/>
      </c>
      <c r="X1367" s="1" t="str">
        <f>""</f>
        <v/>
      </c>
      <c r="Y1367" s="1" t="str">
        <f>""</f>
        <v/>
      </c>
      <c r="Z1367" t="str">
        <f>""</f>
        <v/>
      </c>
      <c r="AA1367" t="str">
        <f>"9194003577"</f>
        <v>9194003577</v>
      </c>
      <c r="AB1367" t="str">
        <f>"9193517017"</f>
        <v>9193517017</v>
      </c>
      <c r="AC1367" t="str">
        <f>"9194003577"</f>
        <v>9194003577</v>
      </c>
      <c r="AD1367" t="str">
        <f>"9193517017"</f>
        <v>9193517017</v>
      </c>
      <c r="AE1367" t="str">
        <f>""</f>
        <v/>
      </c>
    </row>
    <row r="1368" spans="1:31" x14ac:dyDescent="0.45">
      <c r="A1368" t="str">
        <f>"БОЛОТОВА ЕЛЕНА НИКОЛАЕВНА"</f>
        <v>БОЛОТОВА ЕЛЕНА НИКОЛАЕВНА</v>
      </c>
      <c r="B1368" t="str">
        <f>"1965-12-22"</f>
        <v>1965-12-22</v>
      </c>
      <c r="C1368" t="str">
        <f>"75 10 765680"</f>
        <v>75 10 765680</v>
      </c>
      <c r="D1368" t="str">
        <f>"4279011610771126"</f>
        <v>4279011610771126</v>
      </c>
      <c r="E1368" t="str">
        <f t="shared" si="227"/>
        <v>2021-05-31</v>
      </c>
      <c r="F1368" t="str">
        <f t="shared" si="228"/>
        <v>+</v>
      </c>
      <c r="G1368" t="str">
        <f t="shared" si="228"/>
        <v>+</v>
      </c>
      <c r="H1368" t="str">
        <f>"40817810716991391619"</f>
        <v>40817810716991391619</v>
      </c>
      <c r="I1368" t="str">
        <f>"8597"</f>
        <v>8597</v>
      </c>
      <c r="J1368" t="str">
        <f>"0523"</f>
        <v>0523</v>
      </c>
      <c r="K1368" t="str">
        <f>"50000.00"</f>
        <v>50000.00</v>
      </c>
      <c r="L1368" t="str">
        <f>"454000 ОБЛ ЧЕЛЯБИНСКАЯ   Г МИАСС   УЛ МАМИНА СИБИРЯКА д. 88А"</f>
        <v>454000 ОБЛ ЧЕЛЯБИНСКАЯ   Г МИАСС   УЛ МАМИНА СИБИРЯКА д. 88А</v>
      </c>
      <c r="M1368" t="str">
        <f t="shared" si="224"/>
        <v>2019-08-24</v>
      </c>
      <c r="N1368" t="str">
        <f>"ООО ТЕХПРОСТОР-АВТО"</f>
        <v>ООО ТЕХПРОСТОР-АВТО</v>
      </c>
      <c r="O1368" t="str">
        <f>"454000"</f>
        <v>454000</v>
      </c>
      <c r="P1368" t="str">
        <f>"ОБЛ ЧЕЛЯБИНСКАЯ"</f>
        <v>ОБЛ ЧЕЛЯБИНСКАЯ</v>
      </c>
      <c r="Q1368" t="str">
        <f>""</f>
        <v/>
      </c>
      <c r="R1368" t="str">
        <f>"Г МИАСС"</f>
        <v>Г МИАСС</v>
      </c>
      <c r="S1368" t="str">
        <f>""</f>
        <v/>
      </c>
      <c r="T1368" t="str">
        <f>"ПЕР САДОВЫЙ"</f>
        <v>ПЕР САДОВЫЙ</v>
      </c>
      <c r="U1368" s="1" t="str">
        <f>"2"</f>
        <v>2</v>
      </c>
      <c r="V1368" s="1" t="str">
        <f>""</f>
        <v/>
      </c>
      <c r="W1368" s="1" t="str">
        <f>""</f>
        <v/>
      </c>
      <c r="X1368" s="1" t="str">
        <f>""</f>
        <v/>
      </c>
      <c r="Y1368" s="1" t="str">
        <f>"69"</f>
        <v>69</v>
      </c>
      <c r="Z1368" t="str">
        <f>"9507214176"</f>
        <v>9507214176</v>
      </c>
      <c r="AA1368" t="str">
        <f>"9507214176"</f>
        <v>9507214176</v>
      </c>
      <c r="AB1368" t="str">
        <f>"9517995115"</f>
        <v>9517995115</v>
      </c>
      <c r="AC1368" t="str">
        <f>"9507214176"</f>
        <v>9507214176</v>
      </c>
      <c r="AD1368" t="str">
        <f>"9517995115"</f>
        <v>9517995115</v>
      </c>
      <c r="AE1368" t="str">
        <f>"9507214176"</f>
        <v>9507214176</v>
      </c>
    </row>
    <row r="1369" spans="1:31" x14ac:dyDescent="0.45">
      <c r="A1369" t="str">
        <f>"МОРМИНА АНАСТАСИЯ ИВАНОВНА"</f>
        <v>МОРМИНА АНАСТАСИЯ ИВАНОВНА</v>
      </c>
      <c r="B1369" t="str">
        <f>"1995-12-03"</f>
        <v>1995-12-03</v>
      </c>
      <c r="C1369" t="str">
        <f>"75 15 683548"</f>
        <v>75 15 683548</v>
      </c>
      <c r="D1369" t="str">
        <f>"4279011638965528"</f>
        <v>4279011638965528</v>
      </c>
      <c r="E1369" t="str">
        <f t="shared" si="227"/>
        <v>2021-05-31</v>
      </c>
      <c r="F1369" t="str">
        <f t="shared" si="228"/>
        <v>+</v>
      </c>
      <c r="G1369" t="str">
        <f t="shared" si="228"/>
        <v>+</v>
      </c>
      <c r="H1369" t="str">
        <f>"40817810116991391620"</f>
        <v>40817810116991391620</v>
      </c>
      <c r="I1369" t="str">
        <f>"8597"</f>
        <v>8597</v>
      </c>
      <c r="J1369" t="str">
        <f>"0549"</f>
        <v>0549</v>
      </c>
      <c r="K1369" t="str">
        <f>"50000.00"</f>
        <v>50000.00</v>
      </c>
      <c r="L1369" t="str">
        <f>"454000 ОБЛ ЧЕЛЯБИНСКАЯ   Г ЧЕБАРКУЛЬ   УЛ СУВОРОВА д. 1"</f>
        <v>454000 ОБЛ ЧЕЛЯБИНСКАЯ   Г ЧЕБАРКУЛЬ   УЛ СУВОРОВА д. 1</v>
      </c>
      <c r="M1369" t="str">
        <f t="shared" si="224"/>
        <v>2019-08-24</v>
      </c>
      <c r="N1369" t="str">
        <f>"ООО ЧЕБАРКУЛЬСКАЯ ПТИЦА"</f>
        <v>ООО ЧЕБАРКУЛЬСКАЯ ПТИЦА</v>
      </c>
      <c r="O1369" t="str">
        <f>"454000"</f>
        <v>454000</v>
      </c>
      <c r="P1369" t="str">
        <f>"ОБЛ ЧЕЛЯБИНСКАЯ"</f>
        <v>ОБЛ ЧЕЛЯБИНСКАЯ</v>
      </c>
      <c r="Q1369" t="str">
        <f>"Р-Н ЧЕБАРКУЛЬСКИЙ"</f>
        <v>Р-Н ЧЕБАРКУЛЬСКИЙ</v>
      </c>
      <c r="R1369" t="str">
        <f>""</f>
        <v/>
      </c>
      <c r="S1369" t="str">
        <f>"Д БУТЫРКИ"</f>
        <v>Д БУТЫРКИ</v>
      </c>
      <c r="T1369" t="str">
        <f>"ПЕР НАРЕЧЕНСКИЙ"</f>
        <v>ПЕР НАРЕЧЕНСКИЙ</v>
      </c>
      <c r="U1369" s="1" t="str">
        <f>"1"</f>
        <v>1</v>
      </c>
      <c r="V1369" s="1" t="str">
        <f>""</f>
        <v/>
      </c>
      <c r="W1369" s="1" t="str">
        <f>""</f>
        <v/>
      </c>
      <c r="X1369" s="1" t="str">
        <f>""</f>
        <v/>
      </c>
      <c r="Y1369" s="1" t="str">
        <f>""</f>
        <v/>
      </c>
      <c r="Z1369" t="str">
        <f>"3516871378"</f>
        <v>3516871378</v>
      </c>
      <c r="AA1369" t="str">
        <f>"9000221352"</f>
        <v>9000221352</v>
      </c>
      <c r="AB1369" t="str">
        <f>"9080523412"</f>
        <v>9080523412</v>
      </c>
      <c r="AC1369" t="str">
        <f>"9000221352"</f>
        <v>9000221352</v>
      </c>
      <c r="AD1369" t="str">
        <f>"9080523412"</f>
        <v>9080523412</v>
      </c>
      <c r="AE1369" t="str">
        <f>"3516871378"</f>
        <v>3516871378</v>
      </c>
    </row>
    <row r="1370" spans="1:31" x14ac:dyDescent="0.45">
      <c r="A1370" t="str">
        <f>"НОВОСЕЛОВ АНТОН МИХАЙЛОВИЧ"</f>
        <v>НОВОСЕЛОВ АНТОН МИХАЙЛОВИЧ</v>
      </c>
      <c r="B1370" t="str">
        <f>"1987-07-13"</f>
        <v>1987-07-13</v>
      </c>
      <c r="C1370" t="str">
        <f>"65 07 143310"</f>
        <v>65 07 143310</v>
      </c>
      <c r="D1370" t="str">
        <f>"4279011669799127"</f>
        <v>4279011669799127</v>
      </c>
      <c r="E1370" t="str">
        <f t="shared" si="227"/>
        <v>2021-05-31</v>
      </c>
      <c r="F1370" t="str">
        <f t="shared" si="228"/>
        <v>+</v>
      </c>
      <c r="G1370" t="str">
        <f t="shared" si="228"/>
        <v>+</v>
      </c>
      <c r="H1370" t="str">
        <f>"40817810416991391605"</f>
        <v>40817810416991391605</v>
      </c>
      <c r="I1370" t="str">
        <f>"7003"</f>
        <v>7003</v>
      </c>
      <c r="J1370" t="str">
        <f>"0467"</f>
        <v>0467</v>
      </c>
      <c r="K1370" t="str">
        <f>"40000.00"</f>
        <v>40000.00</v>
      </c>
      <c r="L1370" t="str">
        <f>"620000 ОБЛ СВЕРДЛОВСКАЯ   Г АРАМИЛЬ   УЛ 1 МАЯ д. 53"</f>
        <v>620000 ОБЛ СВЕРДЛОВСКАЯ   Г АРАМИЛЬ   УЛ 1 МАЯ д. 53</v>
      </c>
      <c r="M1370" t="str">
        <f t="shared" si="224"/>
        <v>2019-08-24</v>
      </c>
      <c r="N1370" t="str">
        <f>"ООО АВТОСЕРВИС РЕАЛ"</f>
        <v>ООО АВТОСЕРВИС РЕАЛ</v>
      </c>
      <c r="O1370" t="str">
        <f>"620000"</f>
        <v>620000</v>
      </c>
      <c r="P1370" t="str">
        <f>"ОБЛ СВЕРДЛОВСКАЯ"</f>
        <v>ОБЛ СВЕРДЛОВСКАЯ</v>
      </c>
      <c r="Q1370" t="str">
        <f>"Р-Н СЫСЕРТСКИЙ"</f>
        <v>Р-Н СЫСЕРТСКИЙ</v>
      </c>
      <c r="R1370" t="str">
        <f>""</f>
        <v/>
      </c>
      <c r="S1370" t="str">
        <f>"С БОРОДУЛИНО"</f>
        <v>С БОРОДУЛИНО</v>
      </c>
      <c r="T1370" t="str">
        <f>"УЛ ССВЕРДЛОВА"</f>
        <v>УЛ ССВЕРДЛОВА</v>
      </c>
      <c r="U1370" s="1" t="str">
        <f>"46"</f>
        <v>46</v>
      </c>
      <c r="V1370" s="1" t="str">
        <f>""</f>
        <v/>
      </c>
      <c r="W1370" s="1" t="str">
        <f>""</f>
        <v/>
      </c>
      <c r="X1370" s="1" t="str">
        <f>""</f>
        <v/>
      </c>
      <c r="Y1370" s="1" t="str">
        <f>""</f>
        <v/>
      </c>
      <c r="Z1370" t="str">
        <f>""</f>
        <v/>
      </c>
      <c r="AA1370" t="str">
        <f>"9221408005"</f>
        <v>9221408005</v>
      </c>
      <c r="AB1370" t="str">
        <f>"9221408005"</f>
        <v>9221408005</v>
      </c>
      <c r="AC1370" t="str">
        <f>"9221408005"</f>
        <v>9221408005</v>
      </c>
      <c r="AD1370" t="str">
        <f>"9221408005"</f>
        <v>9221408005</v>
      </c>
      <c r="AE1370" t="str">
        <f>""</f>
        <v/>
      </c>
    </row>
    <row r="1371" spans="1:31" x14ac:dyDescent="0.45">
      <c r="A1371" t="str">
        <f>"ХУЗИН АЛМАЗ ГАВИСОВИЧ"</f>
        <v>ХУЗИН АЛМАЗ ГАВИСОВИЧ</v>
      </c>
      <c r="B1371" t="str">
        <f>"1993-01-22"</f>
        <v>1993-01-22</v>
      </c>
      <c r="C1371" t="str">
        <f>"80 12 609982"</f>
        <v>80 12 609982</v>
      </c>
      <c r="D1371" t="str">
        <f>"4279011628827118"</f>
        <v>4279011628827118</v>
      </c>
      <c r="E1371" t="str">
        <f t="shared" si="227"/>
        <v>2021-05-31</v>
      </c>
      <c r="F1371" t="str">
        <f t="shared" si="228"/>
        <v>+</v>
      </c>
      <c r="G1371" t="str">
        <f t="shared" si="228"/>
        <v>+</v>
      </c>
      <c r="H1371" t="str">
        <f>"40817810016991391636"</f>
        <v>40817810016991391636</v>
      </c>
      <c r="I1371" t="str">
        <f>"8598"</f>
        <v>8598</v>
      </c>
      <c r="J1371" t="str">
        <f>"0606"</f>
        <v>0606</v>
      </c>
      <c r="K1371" t="str">
        <f>"100000.00"</f>
        <v>100000.00</v>
      </c>
      <c r="L1371" t="str">
        <f>"443001 ОБЛ САМАРСКАЯ   Г САМАРА   УЛ БРАТЬЕВ КОРОСТЕЛЕВЫХ д. 152 офис 104"</f>
        <v>443001 ОБЛ САМАРСКАЯ   Г САМАРА   УЛ БРАТЬЕВ КОРОСТЕЛЕВЫХ д. 152 офис 104</v>
      </c>
      <c r="M1371" t="str">
        <f t="shared" si="224"/>
        <v>2019-08-24</v>
      </c>
      <c r="N1371" t="str">
        <f>"ООО ТЕХСЕРВИСПРОМ"</f>
        <v>ООО ТЕХСЕРВИСПРОМ</v>
      </c>
      <c r="O1371" t="str">
        <f>"450000"</f>
        <v>450000</v>
      </c>
      <c r="P1371" t="str">
        <f>"РЕСП БАШКОРТОСТАН"</f>
        <v>РЕСП БАШКОРТОСТАН</v>
      </c>
      <c r="Q1371" t="str">
        <f>"Р-Н КРАСНОКАМСКИЙ"</f>
        <v>Р-Н КРАСНОКАМСКИЙ</v>
      </c>
      <c r="R1371" t="str">
        <f>""</f>
        <v/>
      </c>
      <c r="S1371" t="str">
        <f>"С НОВОКАБАНОВО"</f>
        <v>С НОВОКАБАНОВО</v>
      </c>
      <c r="T1371" t="str">
        <f>"УЛ НОВАЯ"</f>
        <v>УЛ НОВАЯ</v>
      </c>
      <c r="U1371" s="1" t="str">
        <f>"19"</f>
        <v>19</v>
      </c>
      <c r="V1371" s="1" t="str">
        <f>""</f>
        <v/>
      </c>
      <c r="W1371" s="1" t="str">
        <f>""</f>
        <v/>
      </c>
      <c r="X1371" s="1" t="str">
        <f>""</f>
        <v/>
      </c>
      <c r="Y1371" s="1" t="str">
        <f>"2"</f>
        <v>2</v>
      </c>
      <c r="Z1371" t="str">
        <f>""</f>
        <v/>
      </c>
      <c r="AA1371" t="str">
        <f>"9966947359"</f>
        <v>9966947359</v>
      </c>
      <c r="AB1371" t="str">
        <f>"9173626443"</f>
        <v>9173626443</v>
      </c>
      <c r="AC1371" t="str">
        <f>"9966947359"</f>
        <v>9966947359</v>
      </c>
      <c r="AD1371" t="str">
        <f>"9173626443"</f>
        <v>9173626443</v>
      </c>
      <c r="AE1371" t="str">
        <f>""</f>
        <v/>
      </c>
    </row>
    <row r="1372" spans="1:31" x14ac:dyDescent="0.45">
      <c r="A1372" t="str">
        <f>"ЯКОВЛЕВ ВИКТОР ВАЛЕНТИНОВИЧ"</f>
        <v>ЯКОВЛЕВ ВИКТОР ВАЛЕНТИНОВИЧ</v>
      </c>
      <c r="B1372" t="str">
        <f>"1957-10-07"</f>
        <v>1957-10-07</v>
      </c>
      <c r="C1372" t="str">
        <f>"80 15 056679"</f>
        <v>80 15 056679</v>
      </c>
      <c r="D1372" t="str">
        <f>"4279011634065372"</f>
        <v>4279011634065372</v>
      </c>
      <c r="E1372" t="str">
        <f>"2021-06-30"</f>
        <v>2021-06-30</v>
      </c>
      <c r="F1372" t="str">
        <f t="shared" si="228"/>
        <v>+</v>
      </c>
      <c r="G1372" t="str">
        <f t="shared" si="228"/>
        <v>+</v>
      </c>
      <c r="H1372" t="str">
        <f>"40817810816991463188"</f>
        <v>40817810816991463188</v>
      </c>
      <c r="I1372" t="str">
        <f>"8598"</f>
        <v>8598</v>
      </c>
      <c r="J1372" t="str">
        <f>"0380"</f>
        <v>0380</v>
      </c>
      <c r="K1372" t="str">
        <f>"66000.00"</f>
        <v>66000.00</v>
      </c>
      <c r="L1372" t="str">
        <f>"450000 РЕСП БАШКОРТОСТАН   Г СТЕРЛИТАМАК   УЛ 2-Й БЕЛОУСОВСКИЙ д. 3"</f>
        <v>450000 РЕСП БАШКОРТОСТАН   Г СТЕРЛИТАМАК   УЛ 2-Й БЕЛОУСОВСКИЙ д. 3</v>
      </c>
      <c r="M1372" t="str">
        <f t="shared" si="224"/>
        <v>2019-08-24</v>
      </c>
      <c r="N1372" t="str">
        <f>"-"</f>
        <v>-</v>
      </c>
      <c r="O1372" t="str">
        <f>"450000"</f>
        <v>450000</v>
      </c>
      <c r="P1372" t="str">
        <f>"РЕСП БАШКОРТОСТАН"</f>
        <v>РЕСП БАШКОРТОСТАН</v>
      </c>
      <c r="Q1372" t="str">
        <f>""</f>
        <v/>
      </c>
      <c r="R1372" t="str">
        <f>"Г СТЕРЛИТАМАК"</f>
        <v>Г СТЕРЛИТАМАК</v>
      </c>
      <c r="S1372" t="str">
        <f>""</f>
        <v/>
      </c>
      <c r="T1372" t="str">
        <f>"УЛ 2-Й БЕЛОУСОВСКИЙ"</f>
        <v>УЛ 2-Й БЕЛОУСОВСКИЙ</v>
      </c>
      <c r="U1372" s="1" t="str">
        <f>"3"</f>
        <v>3</v>
      </c>
      <c r="V1372" s="1" t="str">
        <f>""</f>
        <v/>
      </c>
      <c r="W1372" s="1" t="str">
        <f>""</f>
        <v/>
      </c>
      <c r="X1372" s="1" t="str">
        <f>""</f>
        <v/>
      </c>
      <c r="Y1372" s="1" t="str">
        <f>""</f>
        <v/>
      </c>
      <c r="Z1372" t="str">
        <f>""</f>
        <v/>
      </c>
      <c r="AA1372" t="str">
        <f>"9051809554"</f>
        <v>9051809554</v>
      </c>
      <c r="AB1372" t="str">
        <f>"9173733200"</f>
        <v>9173733200</v>
      </c>
      <c r="AC1372" t="str">
        <f>"9051809554"</f>
        <v>9051809554</v>
      </c>
      <c r="AD1372" t="str">
        <f>"9173733200"</f>
        <v>9173733200</v>
      </c>
      <c r="AE1372" t="str">
        <f>""</f>
        <v/>
      </c>
    </row>
    <row r="1373" spans="1:31" x14ac:dyDescent="0.45">
      <c r="A1373" t="str">
        <f>"ВАЛИЕВА ТАНЗИЛЯ ШАЙХЕТДИНОВНА"</f>
        <v>ВАЛИЕВА ТАНЗИЛЯ ШАЙХЕТДИНОВНА</v>
      </c>
      <c r="B1373" t="str">
        <f>"1975-07-12"</f>
        <v>1975-07-12</v>
      </c>
      <c r="C1373" t="str">
        <f>"80 01 343137"</f>
        <v>80 01 343137</v>
      </c>
      <c r="D1373" t="str">
        <f>"4279011622538828"</f>
        <v>4279011622538828</v>
      </c>
      <c r="E1373" t="str">
        <f>"2021-06-30"</f>
        <v>2021-06-30</v>
      </c>
      <c r="F1373" t="str">
        <f t="shared" si="228"/>
        <v>+</v>
      </c>
      <c r="G1373" t="str">
        <f t="shared" si="228"/>
        <v>+</v>
      </c>
      <c r="H1373" t="str">
        <f>"40817810116991463189"</f>
        <v>40817810116991463189</v>
      </c>
      <c r="I1373" t="str">
        <f>"8598"</f>
        <v>8598</v>
      </c>
      <c r="J1373" t="str">
        <f>"0155"</f>
        <v>0155</v>
      </c>
      <c r="K1373" t="str">
        <f>"205000.00"</f>
        <v>205000.00</v>
      </c>
      <c r="L1373" t="str">
        <f>"450000 РЕСП БАШКОРТОСТАН   Г УФА   УЛ ЛЕНИНА д. 7"</f>
        <v>450000 РЕСП БАШКОРТОСТАН   Г УФА   УЛ ЛЕНИНА д. 7</v>
      </c>
      <c r="M1373" t="str">
        <f t="shared" si="224"/>
        <v>2019-08-24</v>
      </c>
      <c r="N1373" t="str">
        <f>"МВД ПО РБ"</f>
        <v>МВД ПО РБ</v>
      </c>
      <c r="O1373" t="str">
        <f>"450000"</f>
        <v>450000</v>
      </c>
      <c r="P1373" t="str">
        <f>"РЕСП БАШКОРТОСТАН"</f>
        <v>РЕСП БАШКОРТОСТАН</v>
      </c>
      <c r="Q1373" t="str">
        <f>""</f>
        <v/>
      </c>
      <c r="R1373" t="str">
        <f>"Г УФА"</f>
        <v>Г УФА</v>
      </c>
      <c r="S1373" t="str">
        <f>""</f>
        <v/>
      </c>
      <c r="T1373" t="str">
        <f>"УЛ ПРОСПЕКТ ОКТЯБРЯ"</f>
        <v>УЛ ПРОСПЕКТ ОКТЯБРЯ</v>
      </c>
      <c r="U1373" s="1" t="str">
        <f>"56"</f>
        <v>56</v>
      </c>
      <c r="V1373" s="1" t="str">
        <f>""</f>
        <v/>
      </c>
      <c r="W1373" s="1" t="str">
        <f>"1"</f>
        <v>1</v>
      </c>
      <c r="X1373" s="1" t="str">
        <f>""</f>
        <v/>
      </c>
      <c r="Y1373" s="1" t="str">
        <f>"ОБЩ"</f>
        <v>ОБЩ</v>
      </c>
      <c r="Z1373" t="str">
        <f>"+7 (347) 2794361"</f>
        <v>+7 (347) 2794361</v>
      </c>
      <c r="AA1373" t="str">
        <f>"+7 (987) 2430455"</f>
        <v>+7 (987) 2430455</v>
      </c>
      <c r="AB1373" t="str">
        <f>"+7 (987) 2430455"</f>
        <v>+7 (987) 2430455</v>
      </c>
      <c r="AC1373" t="str">
        <f>"9872430455"</f>
        <v>9872430455</v>
      </c>
      <c r="AD1373" t="str">
        <f>"9872430455"</f>
        <v>9872430455</v>
      </c>
      <c r="AE1373" t="str">
        <f>""</f>
        <v/>
      </c>
    </row>
    <row r="1374" spans="1:31" x14ac:dyDescent="0.45">
      <c r="A1374" t="str">
        <f>"КОШУТИН МИХАИЛ АДОЛЬФОВИЧ"</f>
        <v>КОШУТИН МИХАИЛ АДОЛЬФОВИЧ</v>
      </c>
      <c r="B1374" t="str">
        <f>"1971-03-27"</f>
        <v>1971-03-27</v>
      </c>
      <c r="C1374" t="str">
        <f>"65 16 223717"</f>
        <v>65 16 223717</v>
      </c>
      <c r="D1374" t="str">
        <f>"4279011657216522"</f>
        <v>4279011657216522</v>
      </c>
      <c r="E1374" t="str">
        <f>"2021-06-30"</f>
        <v>2021-06-30</v>
      </c>
      <c r="F1374" t="str">
        <f t="shared" si="228"/>
        <v>+</v>
      </c>
      <c r="G1374" t="str">
        <f t="shared" si="228"/>
        <v>+</v>
      </c>
      <c r="H1374" t="str">
        <f>"40817810816991463191"</f>
        <v>40817810816991463191</v>
      </c>
      <c r="I1374" t="str">
        <f>"7003"</f>
        <v>7003</v>
      </c>
      <c r="J1374" t="str">
        <f>"0531"</f>
        <v>0531</v>
      </c>
      <c r="K1374" t="str">
        <f>"195000.00"</f>
        <v>195000.00</v>
      </c>
      <c r="L1374" t="str">
        <f>"620000 ОБЛ СВЕРДЛОВСКАЯ     Г РЕЖ УЛ ОБЪЕЗДНАЯ д. 13"</f>
        <v>620000 ОБЛ СВЕРДЛОВСКАЯ     Г РЕЖ УЛ ОБЪЕЗДНАЯ д. 13</v>
      </c>
      <c r="M1374" t="str">
        <f t="shared" si="224"/>
        <v>2019-08-24</v>
      </c>
      <c r="N1374" t="str">
        <f>"ООО РЕЖЕВСКАЯ ЛЕСОПРОМЫШЛЕННАЯ КОМПАНИЯ"</f>
        <v>ООО РЕЖЕВСКАЯ ЛЕСОПРОМЫШЛЕННАЯ КОМПАНИЯ</v>
      </c>
      <c r="O1374" t="str">
        <f>"620000"</f>
        <v>620000</v>
      </c>
      <c r="P1374" t="str">
        <f>"ОБЛ СВЕРДЛОВСКАЯ"</f>
        <v>ОБЛ СВЕРДЛОВСКАЯ</v>
      </c>
      <c r="Q1374" t="str">
        <f>"Р-Н АЛАПАЕВСКИЙ"</f>
        <v>Р-Н АЛАПАЕВСКИЙ</v>
      </c>
      <c r="R1374" t="str">
        <f>""</f>
        <v/>
      </c>
      <c r="S1374" t="str">
        <f>"РП ВЕРХНЯЯ СИНЯЧИХА"</f>
        <v>РП ВЕРХНЯЯ СИНЯЧИХА</v>
      </c>
      <c r="T1374" t="str">
        <f>"УЛ РОЗЫ ЛЮКСЕМБУРГ"</f>
        <v>УЛ РОЗЫ ЛЮКСЕМБУРГ</v>
      </c>
      <c r="U1374" s="1" t="str">
        <f>"19"</f>
        <v>19</v>
      </c>
      <c r="V1374" s="1" t="str">
        <f>""</f>
        <v/>
      </c>
      <c r="W1374" s="1" t="str">
        <f>""</f>
        <v/>
      </c>
      <c r="X1374" s="1" t="str">
        <f>""</f>
        <v/>
      </c>
      <c r="Y1374" s="1" t="str">
        <f>""</f>
        <v/>
      </c>
      <c r="Z1374" t="str">
        <f>""</f>
        <v/>
      </c>
      <c r="AA1374" t="str">
        <f>"9049863301"</f>
        <v>9049863301</v>
      </c>
      <c r="AB1374" t="str">
        <f>"9826037455"</f>
        <v>9826037455</v>
      </c>
      <c r="AC1374" t="str">
        <f>"9826037455"</f>
        <v>9826037455</v>
      </c>
      <c r="AD1374" t="str">
        <f>"9826037455"</f>
        <v>9826037455</v>
      </c>
      <c r="AE1374" t="str">
        <f>""</f>
        <v/>
      </c>
    </row>
    <row r="1375" spans="1:31" x14ac:dyDescent="0.45">
      <c r="A1375" t="str">
        <f>"ИМИРОВА ЛИНАРА АБДРАШИТОВНА"</f>
        <v>ИМИРОВА ЛИНАРА АБДРАШИТОВНА</v>
      </c>
      <c r="B1375" t="str">
        <f>"1975-12-18"</f>
        <v>1975-12-18</v>
      </c>
      <c r="C1375" t="str">
        <f>"80 06 103854"</f>
        <v>80 06 103854</v>
      </c>
      <c r="D1375" t="str">
        <f>"4279011636939715"</f>
        <v>4279011636939715</v>
      </c>
      <c r="E1375" t="str">
        <f>"2021-06-30"</f>
        <v>2021-06-30</v>
      </c>
      <c r="F1375" t="str">
        <f t="shared" si="228"/>
        <v>+</v>
      </c>
      <c r="G1375" t="str">
        <f t="shared" si="228"/>
        <v>+</v>
      </c>
      <c r="H1375" t="str">
        <f>"40817810116991463192"</f>
        <v>40817810116991463192</v>
      </c>
      <c r="I1375" t="str">
        <f>"8598"</f>
        <v>8598</v>
      </c>
      <c r="J1375" t="str">
        <f>"0190"</f>
        <v>0190</v>
      </c>
      <c r="K1375" t="str">
        <f>"95000.00"</f>
        <v>95000.00</v>
      </c>
      <c r="L1375" t="str">
        <f>"450000 РЕСП БАШКОРТОСТАН   Г УФА   УЛ ВОКЗАЛЬНАЯ д. 20 корп. А"</f>
        <v>450000 РЕСП БАШКОРТОСТАН   Г УФА   УЛ ВОКЗАЛЬНАЯ д. 20 корп. А</v>
      </c>
      <c r="M1375" t="str">
        <f t="shared" si="224"/>
        <v>2019-08-24</v>
      </c>
      <c r="N1375" t="str">
        <f>"ОАО РЖД"</f>
        <v>ОАО РЖД</v>
      </c>
      <c r="O1375" t="str">
        <f>"450000"</f>
        <v>450000</v>
      </c>
      <c r="P1375" t="str">
        <f>"РЕСП БАШКОРТОСТАН"</f>
        <v>РЕСП БАШКОРТОСТАН</v>
      </c>
      <c r="Q1375" t="str">
        <f>""</f>
        <v/>
      </c>
      <c r="R1375" t="str">
        <f>"Г УФА"</f>
        <v>Г УФА</v>
      </c>
      <c r="S1375" t="str">
        <f>""</f>
        <v/>
      </c>
      <c r="T1375" t="str">
        <f>"УЛ РЫБАКАОВА"</f>
        <v>УЛ РЫБАКАОВА</v>
      </c>
      <c r="U1375" s="1" t="str">
        <f>"13"</f>
        <v>13</v>
      </c>
      <c r="V1375" s="1" t="str">
        <f>""</f>
        <v/>
      </c>
      <c r="W1375" s="1" t="str">
        <f>""</f>
        <v/>
      </c>
      <c r="X1375" s="1" t="str">
        <f>"ОБЩ"</f>
        <v>ОБЩ</v>
      </c>
      <c r="Y1375" s="1" t="str">
        <f>""</f>
        <v/>
      </c>
      <c r="Z1375" t="str">
        <f>"9378363808"</f>
        <v>9378363808</v>
      </c>
      <c r="AA1375" t="str">
        <f>"3472424273"</f>
        <v>3472424273</v>
      </c>
      <c r="AB1375" t="str">
        <f>"9378363808"</f>
        <v>9378363808</v>
      </c>
      <c r="AC1375" t="str">
        <f>"9378363808"</f>
        <v>9378363808</v>
      </c>
      <c r="AD1375" t="str">
        <f>"9378363808"</f>
        <v>9378363808</v>
      </c>
      <c r="AE1375" t="str">
        <f>"9378363808"</f>
        <v>9378363808</v>
      </c>
    </row>
    <row r="1376" spans="1:31" x14ac:dyDescent="0.45">
      <c r="A1376" t="str">
        <f>"МУХАМЕТКУЖИНА КСЕНИЯ ЮРЬЕВНА"</f>
        <v>МУХАМЕТКУЖИНА КСЕНИЯ ЮРЬЕВНА</v>
      </c>
      <c r="B1376" t="str">
        <f>"1992-01-05"</f>
        <v>1992-01-05</v>
      </c>
      <c r="C1376" t="str">
        <f>"80 11 483406"</f>
        <v>80 11 483406</v>
      </c>
      <c r="D1376" t="str">
        <f>"4276011637776465"</f>
        <v>4276011637776465</v>
      </c>
      <c r="E1376" t="str">
        <f>"2021-06-30"</f>
        <v>2021-06-30</v>
      </c>
      <c r="F1376" t="str">
        <f t="shared" si="228"/>
        <v>+</v>
      </c>
      <c r="G1376" t="str">
        <f t="shared" si="228"/>
        <v>+</v>
      </c>
      <c r="H1376" t="str">
        <f>"40817810416991463193"</f>
        <v>40817810416991463193</v>
      </c>
      <c r="I1376" t="str">
        <f>"8598"</f>
        <v>8598</v>
      </c>
      <c r="J1376" t="str">
        <f>"0299"</f>
        <v>0299</v>
      </c>
      <c r="K1376" t="str">
        <f>"50000.00"</f>
        <v>50000.00</v>
      </c>
      <c r="L1376" t="str">
        <f>"453500 РЕСП БАШКОРТОСТАН   Г БЕЛОРЕЦК   УЛ ТЮЛЕНИНА д. 2"</f>
        <v>453500 РЕСП БАШКОРТОСТАН   Г БЕЛОРЕЦК   УЛ ТЮЛЕНИНА д. 2</v>
      </c>
      <c r="M1376" t="str">
        <f t="shared" si="224"/>
        <v>2019-08-24</v>
      </c>
      <c r="N1376" t="str">
        <f>"БЕЛОРЕЦКИЙ ХЛЕБОКОМБИНАТ"</f>
        <v>БЕЛОРЕЦКИЙ ХЛЕБОКОМБИНАТ</v>
      </c>
      <c r="O1376" t="str">
        <f>"453503"</f>
        <v>453503</v>
      </c>
      <c r="P1376" t="str">
        <f>"РЕСП БАШКОРТОСТАН"</f>
        <v>РЕСП БАШКОРТОСТАН</v>
      </c>
      <c r="Q1376" t="str">
        <f>""</f>
        <v/>
      </c>
      <c r="R1376" t="str">
        <f>"Г БЕЛОРЕЦК"</f>
        <v>Г БЕЛОРЕЦК</v>
      </c>
      <c r="S1376" t="str">
        <f>""</f>
        <v/>
      </c>
      <c r="T1376" t="str">
        <f>"УЛ ПОПОВА"</f>
        <v>УЛ ПОПОВА</v>
      </c>
      <c r="U1376" s="1" t="str">
        <f>"8"</f>
        <v>8</v>
      </c>
      <c r="V1376" s="1" t="str">
        <f>""</f>
        <v/>
      </c>
      <c r="W1376" s="1" t="str">
        <f>""</f>
        <v/>
      </c>
      <c r="X1376" s="1" t="str">
        <f>""</f>
        <v/>
      </c>
      <c r="Y1376" s="1" t="str">
        <f>""</f>
        <v/>
      </c>
      <c r="Z1376" t="str">
        <f>""</f>
        <v/>
      </c>
      <c r="AA1376" t="str">
        <f>""</f>
        <v/>
      </c>
      <c r="AB1376" t="str">
        <f>"9613559014"</f>
        <v>9613559014</v>
      </c>
      <c r="AC1376" t="str">
        <f>""</f>
        <v/>
      </c>
      <c r="AD1376" t="str">
        <f>"9613559014"</f>
        <v>9613559014</v>
      </c>
      <c r="AE1376" t="str">
        <f>""</f>
        <v/>
      </c>
    </row>
    <row r="1377" spans="1:31" x14ac:dyDescent="0.45">
      <c r="A1377" t="str">
        <f>"ГОРЛАНОВА ТАТЬЯНА НИКОЛАЕВНА"</f>
        <v>ГОРЛАНОВА ТАТЬЯНА НИКОЛАЕВНА</v>
      </c>
      <c r="B1377" t="str">
        <f>"1988-06-30"</f>
        <v>1988-06-30</v>
      </c>
      <c r="C1377" t="str">
        <f>"37 08 257987"</f>
        <v>37 08 257987</v>
      </c>
      <c r="D1377" t="str">
        <f>"4854630421207146"</f>
        <v>4854630421207146</v>
      </c>
      <c r="E1377" t="str">
        <f>"2021-04-30"</f>
        <v>2021-04-30</v>
      </c>
      <c r="F1377" t="str">
        <f t="shared" si="228"/>
        <v>+</v>
      </c>
      <c r="G1377" t="str">
        <f t="shared" si="228"/>
        <v>+</v>
      </c>
      <c r="H1377" t="str">
        <f>"40817810616991429872"</f>
        <v>40817810616991429872</v>
      </c>
      <c r="I1377" t="str">
        <f>"8597"</f>
        <v>8597</v>
      </c>
      <c r="J1377" t="str">
        <f>"0277"</f>
        <v>0277</v>
      </c>
      <c r="K1377" t="str">
        <f>"215000.00"</f>
        <v>215000.00</v>
      </c>
      <c r="L1377" t="str">
        <f>"454000 ОБЛ ЧЕЛЯБИНСКАЯ   Г ЧЕЛЯБИНСК   УЛ ВИТЕБСКАЯ д. 4"</f>
        <v>454000 ОБЛ ЧЕЛЯБИНСКАЯ   Г ЧЕЛЯБИНСК   УЛ ВИТЕБСКАЯ д. 4</v>
      </c>
      <c r="M1377" t="str">
        <f t="shared" si="224"/>
        <v>2019-08-24</v>
      </c>
      <c r="N1377" t="str">
        <f>"ШУМИХИНСКИЙ ПФ"</f>
        <v>ШУМИХИНСКИЙ ПФ</v>
      </c>
      <c r="O1377" t="str">
        <f>"454000"</f>
        <v>454000</v>
      </c>
      <c r="P1377" t="str">
        <f>"ОБЛ ЧЕЛЯБИНСКАЯ"</f>
        <v>ОБЛ ЧЕЛЯБИНСКАЯ</v>
      </c>
      <c r="Q1377" t="str">
        <f>""</f>
        <v/>
      </c>
      <c r="R1377" t="str">
        <f>"Г ЧЕЛЯБИНСК"</f>
        <v>Г ЧЕЛЯБИНСК</v>
      </c>
      <c r="S1377" t="str">
        <f>""</f>
        <v/>
      </c>
      <c r="T1377" t="str">
        <f>"УЛ АЛЕКСАНДРА ШМАКОВА"</f>
        <v>УЛ АЛЕКСАНДРА ШМАКОВА</v>
      </c>
      <c r="U1377" s="1" t="str">
        <f>"21"</f>
        <v>21</v>
      </c>
      <c r="V1377" s="1" t="str">
        <f>""</f>
        <v/>
      </c>
      <c r="W1377" s="1" t="str">
        <f>""</f>
        <v/>
      </c>
      <c r="X1377" s="1" t="str">
        <f>""</f>
        <v/>
      </c>
      <c r="Y1377" s="1" t="str">
        <f>"73"</f>
        <v>73</v>
      </c>
      <c r="Z1377" t="str">
        <f>"3517766510"</f>
        <v>3517766510</v>
      </c>
      <c r="AA1377" t="str">
        <f>"9085677196"</f>
        <v>9085677196</v>
      </c>
      <c r="AB1377" t="str">
        <f>"9085771962"</f>
        <v>9085771962</v>
      </c>
      <c r="AC1377" t="str">
        <f>"9085677196"</f>
        <v>9085677196</v>
      </c>
      <c r="AD1377" t="str">
        <f>"9085771962"</f>
        <v>9085771962</v>
      </c>
      <c r="AE1377" t="str">
        <f>"3517766510"</f>
        <v>3517766510</v>
      </c>
    </row>
    <row r="1378" spans="1:31" x14ac:dyDescent="0.45">
      <c r="A1378" t="str">
        <f>"ТЮЛЕНЁВ СЕРГЕЙ АЛЕКСАНДРОВИЧ"</f>
        <v>ТЮЛЕНЁВ СЕРГЕЙ АЛЕКСАНДРОВИЧ</v>
      </c>
      <c r="B1378" t="str">
        <f>"1975-11-13"</f>
        <v>1975-11-13</v>
      </c>
      <c r="C1378" t="str">
        <f>"65 07 201798"</f>
        <v>65 07 201798</v>
      </c>
      <c r="D1378" t="str">
        <f>"4854630247771846"</f>
        <v>4854630247771846</v>
      </c>
      <c r="E1378" t="str">
        <f>"2021-11-30"</f>
        <v>2021-11-30</v>
      </c>
      <c r="F1378" t="str">
        <f t="shared" si="228"/>
        <v>+</v>
      </c>
      <c r="G1378" t="str">
        <f t="shared" si="228"/>
        <v>+</v>
      </c>
      <c r="H1378" t="str">
        <f>"40817810916991429624"</f>
        <v>40817810916991429624</v>
      </c>
      <c r="I1378" t="str">
        <f>"7003"</f>
        <v>7003</v>
      </c>
      <c r="J1378" t="str">
        <f>"0827"</f>
        <v>0827</v>
      </c>
      <c r="K1378" t="str">
        <f>"100000.00"</f>
        <v>100000.00</v>
      </c>
      <c r="L1378" t="str">
        <f>"624130 ОБЛ СВЕРДЛОВСКАЯ   Г НОВОУРАЛЬСК   УЛ ДЗЕРЖИНСКОГО д. 6 кв. 0"</f>
        <v>624130 ОБЛ СВЕРДЛОВСКАЯ   Г НОВОУРАЛЬСК   УЛ ДЗЕРЖИНСКОГО д. 6 кв. 0</v>
      </c>
      <c r="M1378" t="str">
        <f t="shared" si="224"/>
        <v>2019-08-24</v>
      </c>
      <c r="N1378" t="str">
        <f>"В\Ч 3280"</f>
        <v>В\Ч 3280</v>
      </c>
      <c r="O1378" t="str">
        <f>"620100"</f>
        <v>620100</v>
      </c>
      <c r="P1378" t="str">
        <f>"ОБЛ СВЕРДЛОВСКАЯ"</f>
        <v>ОБЛ СВЕРДЛОВСКАЯ</v>
      </c>
      <c r="Q1378" t="str">
        <f>"Р-Н -"</f>
        <v>Р-Н -</v>
      </c>
      <c r="R1378" t="str">
        <f>"Г ЕКАТЕРИНБУРГ"</f>
        <v>Г ЕКАТЕРИНБУРГ</v>
      </c>
      <c r="S1378" t="str">
        <f>"Г -"</f>
        <v>Г -</v>
      </c>
      <c r="T1378" t="str">
        <f>"УЛ ТЕХНИЧЕСКАЯ"</f>
        <v>УЛ ТЕХНИЧЕСКАЯ</v>
      </c>
      <c r="U1378" s="1" t="str">
        <f>"94"</f>
        <v>94</v>
      </c>
      <c r="V1378" s="1" t="str">
        <f>""</f>
        <v/>
      </c>
      <c r="W1378" s="1" t="str">
        <f>""</f>
        <v/>
      </c>
      <c r="X1378" s="1" t="str">
        <f>""</f>
        <v/>
      </c>
      <c r="Y1378" s="1" t="str">
        <f>"87"</f>
        <v>87</v>
      </c>
      <c r="Z1378" t="str">
        <f>"3437098238"</f>
        <v>3437098238</v>
      </c>
      <c r="AA1378" t="str">
        <f>"9326153295"</f>
        <v>9326153295</v>
      </c>
      <c r="AB1378" t="str">
        <f>"9326153295"</f>
        <v>9326153295</v>
      </c>
      <c r="AC1378" t="str">
        <f>"3437055619"</f>
        <v>3437055619</v>
      </c>
      <c r="AD1378" t="str">
        <f>"9041650723"</f>
        <v>9041650723</v>
      </c>
      <c r="AE1378" t="str">
        <f>""</f>
        <v/>
      </c>
    </row>
    <row r="1379" spans="1:31" x14ac:dyDescent="0.45">
      <c r="A1379" t="str">
        <f>"МАТЬЯКУБОВА ФЛЮЗА ШАРАФУТДИНОВНА"</f>
        <v>МАТЬЯКУБОВА ФЛЮЗА ШАРАФУТДИНОВНА</v>
      </c>
      <c r="B1379" t="str">
        <f>"1967-11-30"</f>
        <v>1967-11-30</v>
      </c>
      <c r="C1379" t="str">
        <f>"80 12 671471"</f>
        <v>80 12 671471</v>
      </c>
      <c r="D1379" t="str">
        <f>"4854630354705033"</f>
        <v>4854630354705033</v>
      </c>
      <c r="E1379" t="str">
        <f>"2020-04-30"</f>
        <v>2020-04-30</v>
      </c>
      <c r="F1379" t="str">
        <f t="shared" si="228"/>
        <v>+</v>
      </c>
      <c r="G1379" t="str">
        <f t="shared" si="228"/>
        <v>+</v>
      </c>
      <c r="H1379" t="str">
        <f>"40817810216991429625"</f>
        <v>40817810216991429625</v>
      </c>
      <c r="I1379" t="str">
        <f>"8598"</f>
        <v>8598</v>
      </c>
      <c r="J1379" t="str">
        <f>"0788"</f>
        <v>0788</v>
      </c>
      <c r="K1379" t="str">
        <f>"20000.00"</f>
        <v>20000.00</v>
      </c>
      <c r="L1379" t="str">
        <f>"453100 РЕСП БАШКОРТОСТАН     Г СТЕРЛИТАМАК УЛ ВОКЗАЛЬНАЯ д. 48"</f>
        <v>453100 РЕСП БАШКОРТОСТАН     Г СТЕРЛИТАМАК УЛ ВОКЗАЛЬНАЯ д. 48</v>
      </c>
      <c r="M1379" t="str">
        <f t="shared" si="224"/>
        <v>2019-08-24</v>
      </c>
      <c r="N1379" t="str">
        <f>"ЧОП ВИКИНКН"</f>
        <v>ЧОП ВИКИНКН</v>
      </c>
      <c r="O1379" t="str">
        <f>"453105"</f>
        <v>453105</v>
      </c>
      <c r="P1379" t="str">
        <f>"РЕСП БАШКОРТОСТАН"</f>
        <v>РЕСП БАШКОРТОСТАН</v>
      </c>
      <c r="Q1379" t="str">
        <f>""</f>
        <v/>
      </c>
      <c r="R1379" t="str">
        <f>"Г СТЕРЛИТАМАК"</f>
        <v>Г СТЕРЛИТАМАК</v>
      </c>
      <c r="S1379" t="str">
        <f>""</f>
        <v/>
      </c>
      <c r="T1379" t="str">
        <f>"УЛ КОТОВСКОГО"</f>
        <v>УЛ КОТОВСКОГО</v>
      </c>
      <c r="U1379" s="1" t="str">
        <f>"26"</f>
        <v>26</v>
      </c>
      <c r="V1379" s="1" t="str">
        <f>""</f>
        <v/>
      </c>
      <c r="W1379" s="1" t="str">
        <f>""</f>
        <v/>
      </c>
      <c r="X1379" s="1" t="str">
        <f>""</f>
        <v/>
      </c>
      <c r="Y1379" s="1" t="str">
        <f>""</f>
        <v/>
      </c>
      <c r="Z1379" t="str">
        <f>""</f>
        <v/>
      </c>
      <c r="AA1379" t="str">
        <f>"9871302161"</f>
        <v>9871302161</v>
      </c>
      <c r="AB1379" t="str">
        <f>"9871302161"</f>
        <v>9871302161</v>
      </c>
      <c r="AC1379" t="str">
        <f>"9871302161"</f>
        <v>9871302161</v>
      </c>
      <c r="AD1379" t="str">
        <f>"9871302161"</f>
        <v>9871302161</v>
      </c>
      <c r="AE1379" t="str">
        <f>""</f>
        <v/>
      </c>
    </row>
    <row r="1380" spans="1:31" x14ac:dyDescent="0.45">
      <c r="A1380" t="str">
        <f>"КРИВОЛАПОВА АНАСТАСИЯ ЮРЬЕВНА"</f>
        <v>КРИВОЛАПОВА АНАСТАСИЯ ЮРЬЕВНА</v>
      </c>
      <c r="B1380" t="str">
        <f>"1984-01-01"</f>
        <v>1984-01-01</v>
      </c>
      <c r="C1380" t="str">
        <f>"71 06 451763"</f>
        <v>71 06 451763</v>
      </c>
      <c r="D1380" t="str">
        <f>"5469016709507817"</f>
        <v>5469016709507817</v>
      </c>
      <c r="E1380" t="str">
        <f>"2021-06-30"</f>
        <v>2021-06-30</v>
      </c>
      <c r="F1380" t="str">
        <f t="shared" si="228"/>
        <v>+</v>
      </c>
      <c r="G1380" t="str">
        <f t="shared" si="228"/>
        <v>+</v>
      </c>
      <c r="H1380" t="str">
        <f>"40817810116992105585"</f>
        <v>40817810116992105585</v>
      </c>
      <c r="I1380" t="str">
        <f>"8647"</f>
        <v>8647</v>
      </c>
      <c r="J1380" t="str">
        <f>"0189"</f>
        <v>0189</v>
      </c>
      <c r="K1380" t="str">
        <f>"100000.00"</f>
        <v>100000.00</v>
      </c>
      <c r="L1380" t="str">
        <f>"627750 ОБЛ ТЮМЕНСКАЯ   Г ИШИМ   УЛ РЕСПУБЛИКИ д. 78"</f>
        <v>627750 ОБЛ ТЮМЕНСКАЯ   Г ИШИМ   УЛ РЕСПУБЛИКИ д. 78</v>
      </c>
      <c r="M1380" t="str">
        <f t="shared" si="224"/>
        <v>2019-08-24</v>
      </c>
      <c r="N1380" t="str">
        <f>"ГБУЗ ТО ОБ 4"</f>
        <v>ГБУЗ ТО ОБ 4</v>
      </c>
      <c r="O1380" t="str">
        <f>"627750"</f>
        <v>627750</v>
      </c>
      <c r="P1380" t="str">
        <f t="shared" ref="P1380:P1385" si="229">"ОБЛ ТЮМЕНСКАЯ"</f>
        <v>ОБЛ ТЮМЕНСКАЯ</v>
      </c>
      <c r="Q1380" t="str">
        <f>""</f>
        <v/>
      </c>
      <c r="R1380" t="str">
        <f>"Г ИШИМ"</f>
        <v>Г ИШИМ</v>
      </c>
      <c r="S1380" t="str">
        <f>""</f>
        <v/>
      </c>
      <c r="T1380" t="str">
        <f>"УЛ АРТИЛЛЕРИЙСКАЯ"</f>
        <v>УЛ АРТИЛЛЕРИЙСКАЯ</v>
      </c>
      <c r="U1380" s="1" t="str">
        <f>"64"</f>
        <v>64</v>
      </c>
      <c r="V1380" s="1" t="str">
        <f>""</f>
        <v/>
      </c>
      <c r="W1380" s="1" t="str">
        <f>""</f>
        <v/>
      </c>
      <c r="X1380" s="1" t="str">
        <f>""</f>
        <v/>
      </c>
      <c r="Y1380" s="1" t="str">
        <f>""</f>
        <v/>
      </c>
      <c r="Z1380" t="str">
        <f>"3455127546"</f>
        <v>3455127546</v>
      </c>
      <c r="AA1380" t="str">
        <f>"3455158840"</f>
        <v>3455158840</v>
      </c>
      <c r="AB1380" t="str">
        <f>"9199529060"</f>
        <v>9199529060</v>
      </c>
      <c r="AC1380" t="str">
        <f>""</f>
        <v/>
      </c>
      <c r="AD1380" t="str">
        <f>"9199529060"</f>
        <v>9199529060</v>
      </c>
      <c r="AE1380" t="str">
        <f>"3455127546"</f>
        <v>3455127546</v>
      </c>
    </row>
    <row r="1381" spans="1:31" x14ac:dyDescent="0.45">
      <c r="A1381" t="str">
        <f>"ЛОПАТИН АЛЕКСАНДР АЛЕКСАНДРОВИЧ"</f>
        <v>ЛОПАТИН АЛЕКСАНДР АЛЕКСАНДРОВИЧ</v>
      </c>
      <c r="B1381" t="str">
        <f>"1989-04-27"</f>
        <v>1989-04-27</v>
      </c>
      <c r="C1381" t="str">
        <f>"37 08 315900"</f>
        <v>37 08 315900</v>
      </c>
      <c r="D1381" t="str">
        <f>"5484016705813509"</f>
        <v>5484016705813509</v>
      </c>
      <c r="E1381" t="str">
        <f t="shared" ref="E1381:E1388" si="230">"2021-05-31"</f>
        <v>2021-05-31</v>
      </c>
      <c r="F1381" t="str">
        <f>"K"</f>
        <v>K</v>
      </c>
      <c r="G1381" t="str">
        <f t="shared" si="228"/>
        <v>+</v>
      </c>
      <c r="H1381" t="str">
        <f>"40817810116992655705"</f>
        <v>40817810116992655705</v>
      </c>
      <c r="I1381" t="str">
        <f>"8647"</f>
        <v>8647</v>
      </c>
      <c r="J1381" t="str">
        <f>"7770"</f>
        <v>7770</v>
      </c>
      <c r="K1381" t="str">
        <f>"22000.00"</f>
        <v>22000.00</v>
      </c>
      <c r="L1381" t="str">
        <f>"625000 ОБЛ ТЮМЕНСКАЯ     Г ТЮМЕНЬ УЛ ЮРИЯ СЕМОВСКИХ д. 10"</f>
        <v>625000 ОБЛ ТЮМЕНСКАЯ     Г ТЮМЕНЬ УЛ ЮРИЯ СЕМОВСКИХ д. 10</v>
      </c>
      <c r="M1381" t="str">
        <f t="shared" si="224"/>
        <v>2019-08-24</v>
      </c>
      <c r="N1381" t="str">
        <f>"ОКБ 1"</f>
        <v>ОКБ 1</v>
      </c>
      <c r="O1381" t="str">
        <f>"625000"</f>
        <v>625000</v>
      </c>
      <c r="P1381" t="str">
        <f t="shared" si="229"/>
        <v>ОБЛ ТЮМЕНСКАЯ</v>
      </c>
      <c r="Q1381" t="str">
        <f>""</f>
        <v/>
      </c>
      <c r="R1381" t="str">
        <f>"Г ТЮМЕНЬ"</f>
        <v>Г ТЮМЕНЬ</v>
      </c>
      <c r="S1381" t="str">
        <f>""</f>
        <v/>
      </c>
      <c r="T1381" t="str">
        <f>"УЛ ЧЕРВИШЕВСКИЙ ТРАКТ"</f>
        <v>УЛ ЧЕРВИШЕВСКИЙ ТРАКТ</v>
      </c>
      <c r="U1381" s="1" t="str">
        <f>"47"</f>
        <v>47</v>
      </c>
      <c r="V1381" s="1" t="str">
        <f>""</f>
        <v/>
      </c>
      <c r="W1381" s="1" t="str">
        <f>"1"</f>
        <v>1</v>
      </c>
      <c r="X1381" s="1" t="str">
        <f>""</f>
        <v/>
      </c>
      <c r="Y1381" s="1" t="str">
        <f>"57"</f>
        <v>57</v>
      </c>
      <c r="Z1381" t="str">
        <f>"3452294124"</f>
        <v>3452294124</v>
      </c>
      <c r="AA1381" t="str">
        <f>"9091858837"</f>
        <v>9091858837</v>
      </c>
      <c r="AB1381" t="str">
        <f>"9091858837"</f>
        <v>9091858837</v>
      </c>
      <c r="AC1381" t="str">
        <f>"9091858837"</f>
        <v>9091858837</v>
      </c>
      <c r="AD1381" t="str">
        <f>"9091858837"</f>
        <v>9091858837</v>
      </c>
      <c r="AE1381" t="str">
        <f>"3452294124"</f>
        <v>3452294124</v>
      </c>
    </row>
    <row r="1382" spans="1:31" x14ac:dyDescent="0.45">
      <c r="A1382" t="str">
        <f>"САЯРОВА АЛЬБИНА ГИЛЯЖЕТДИНОВНА"</f>
        <v>САЯРОВА АЛЬБИНА ГИЛЯЖЕТДИНОВНА</v>
      </c>
      <c r="B1382" t="str">
        <f>"1973-10-23"</f>
        <v>1973-10-23</v>
      </c>
      <c r="C1382" t="str">
        <f>"67 18 776688"</f>
        <v>67 18 776688</v>
      </c>
      <c r="D1382" t="str">
        <f>"5484016707857959"</f>
        <v>5484016707857959</v>
      </c>
      <c r="E1382" t="str">
        <f t="shared" si="230"/>
        <v>2021-05-31</v>
      </c>
      <c r="F1382" t="str">
        <f t="shared" ref="F1382:G1389" si="231">"+"</f>
        <v>+</v>
      </c>
      <c r="G1382" t="str">
        <f t="shared" si="228"/>
        <v>+</v>
      </c>
      <c r="H1382" t="str">
        <f>"40817810216992656060"</f>
        <v>40817810216992656060</v>
      </c>
      <c r="I1382" t="str">
        <f>"5940"</f>
        <v>5940</v>
      </c>
      <c r="J1382" t="str">
        <f>"7770"</f>
        <v>7770</v>
      </c>
      <c r="K1382" t="str">
        <f>"10000.00"</f>
        <v>10000.00</v>
      </c>
      <c r="L1382" t="str">
        <f>"628400 ОБЛ ТЮМЕНСКАЯ   Г ЛЯНТОР   МКР 7 д. 68"</f>
        <v>628400 ОБЛ ТЮМЕНСКАЯ   Г ЛЯНТОР   МКР 7 д. 68</v>
      </c>
      <c r="M1382" t="str">
        <f t="shared" si="224"/>
        <v>2019-08-24</v>
      </c>
      <c r="N1382" t="str">
        <f>"ДС РОДНИЧОК"</f>
        <v>ДС РОДНИЧОК</v>
      </c>
      <c r="O1382" t="str">
        <f>"628400"</f>
        <v>628400</v>
      </c>
      <c r="P1382" t="str">
        <f t="shared" si="229"/>
        <v>ОБЛ ТЮМЕНСКАЯ</v>
      </c>
      <c r="Q1382" t="str">
        <f>"Р-Н СУРГУТСКИЙ"</f>
        <v>Р-Н СУРГУТСКИЙ</v>
      </c>
      <c r="R1382" t="str">
        <f>"Г ЛЯНТОР"</f>
        <v>Г ЛЯНТОР</v>
      </c>
      <c r="S1382" t="str">
        <f>""</f>
        <v/>
      </c>
      <c r="T1382" t="str">
        <f>"УЛ СОГЛАСИЯ"</f>
        <v>УЛ СОГЛАСИЯ</v>
      </c>
      <c r="U1382" s="1" t="str">
        <f>"1"</f>
        <v>1</v>
      </c>
      <c r="V1382" s="1" t="str">
        <f>""</f>
        <v/>
      </c>
      <c r="W1382" s="1" t="str">
        <f>""</f>
        <v/>
      </c>
      <c r="X1382" s="1" t="str">
        <f>""</f>
        <v/>
      </c>
      <c r="Y1382" s="1" t="str">
        <f>"5"</f>
        <v>5</v>
      </c>
      <c r="Z1382" t="str">
        <f>"3463824721"</f>
        <v>3463824721</v>
      </c>
      <c r="AA1382" t="str">
        <f>"9003868537"</f>
        <v>9003868537</v>
      </c>
      <c r="AB1382" t="str">
        <f>"9003868537"</f>
        <v>9003868537</v>
      </c>
      <c r="AC1382" t="str">
        <f>"9003868537"</f>
        <v>9003868537</v>
      </c>
      <c r="AD1382" t="str">
        <f>"9003868537"</f>
        <v>9003868537</v>
      </c>
      <c r="AE1382" t="str">
        <f>"3463824721"</f>
        <v>3463824721</v>
      </c>
    </row>
    <row r="1383" spans="1:31" x14ac:dyDescent="0.45">
      <c r="A1383" t="str">
        <f>"ХРИСТОЛЮБОВ АЛЕКСАНДР ЛЕОНИДОВИЧ"</f>
        <v>ХРИСТОЛЮБОВ АЛЕКСАНДР ЛЕОНИДОВИЧ</v>
      </c>
      <c r="B1383" t="str">
        <f>"1980-09-21"</f>
        <v>1980-09-21</v>
      </c>
      <c r="C1383" t="str">
        <f>"71 02 789209"</f>
        <v>71 02 789209</v>
      </c>
      <c r="D1383" t="str">
        <f>"5484016707799219"</f>
        <v>5484016707799219</v>
      </c>
      <c r="E1383" t="str">
        <f t="shared" si="230"/>
        <v>2021-05-31</v>
      </c>
      <c r="F1383" t="str">
        <f t="shared" si="231"/>
        <v>+</v>
      </c>
      <c r="G1383" t="str">
        <f t="shared" si="231"/>
        <v>+</v>
      </c>
      <c r="H1383" t="str">
        <f>"40817810916992351571"</f>
        <v>40817810916992351571</v>
      </c>
      <c r="I1383" t="str">
        <f>"8647"</f>
        <v>8647</v>
      </c>
      <c r="J1383" t="str">
        <f>"7770"</f>
        <v>7770</v>
      </c>
      <c r="K1383" t="str">
        <f>"205000.00"</f>
        <v>205000.00</v>
      </c>
      <c r="L1383" t="str">
        <f>"625047 ОБЛ ТЮМЕНСКАЯ   Г ТЮМЕНЬ   УЛ ВЫСОТНАЯ д. 1 стр. 1"</f>
        <v>625047 ОБЛ ТЮМЕНСКАЯ   Г ТЮМЕНЬ   УЛ ВЫСОТНАЯ д. 1 стр. 1</v>
      </c>
      <c r="M1383" t="str">
        <f t="shared" si="224"/>
        <v>2019-08-24</v>
      </c>
      <c r="N1383" t="str">
        <f>"ООО ЗАВОД СИБМАШ"</f>
        <v>ООО ЗАВОД СИБМАШ</v>
      </c>
      <c r="O1383" t="str">
        <f>"625000"</f>
        <v>625000</v>
      </c>
      <c r="P1383" t="str">
        <f t="shared" si="229"/>
        <v>ОБЛ ТЮМЕНСКАЯ</v>
      </c>
      <c r="Q1383" t="str">
        <f>""</f>
        <v/>
      </c>
      <c r="R1383" t="str">
        <f>"Г ТЮМЕНЬ"</f>
        <v>Г ТЮМЕНЬ</v>
      </c>
      <c r="S1383" t="str">
        <f>""</f>
        <v/>
      </c>
      <c r="T1383" t="str">
        <f>"УЛ ОЛИМПИЙСКАЯ"</f>
        <v>УЛ ОЛИМПИЙСКАЯ</v>
      </c>
      <c r="U1383" s="1" t="str">
        <f>"33"</f>
        <v>33</v>
      </c>
      <c r="V1383" s="1" t="str">
        <f>""</f>
        <v/>
      </c>
      <c r="W1383" s="1" t="str">
        <f>""</f>
        <v/>
      </c>
      <c r="X1383" s="1" t="str">
        <f>""</f>
        <v/>
      </c>
      <c r="Y1383" s="1" t="str">
        <f>"1"</f>
        <v>1</v>
      </c>
      <c r="Z1383" t="str">
        <f>"3452792909"</f>
        <v>3452792909</v>
      </c>
      <c r="AA1383" t="str">
        <f>"9220022101"</f>
        <v>9220022101</v>
      </c>
      <c r="AB1383" t="str">
        <f>"9220022101"</f>
        <v>9220022101</v>
      </c>
      <c r="AC1383" t="str">
        <f>"9220022101"</f>
        <v>9220022101</v>
      </c>
      <c r="AD1383" t="str">
        <f>"9220022101"</f>
        <v>9220022101</v>
      </c>
      <c r="AE1383" t="str">
        <f>"3452792909"</f>
        <v>3452792909</v>
      </c>
    </row>
    <row r="1384" spans="1:31" x14ac:dyDescent="0.45">
      <c r="A1384" t="str">
        <f>"ПЛАСТУН СЕРГЕЙ АЛЕКСАНДРОВИЧ"</f>
        <v>ПЛАСТУН СЕРГЕЙ АЛЕКСАНДРОВИЧ</v>
      </c>
      <c r="B1384" t="str">
        <f>"1975-12-02"</f>
        <v>1975-12-02</v>
      </c>
      <c r="C1384" t="str">
        <f>"67 10 086012"</f>
        <v>67 10 086012</v>
      </c>
      <c r="D1384" t="str">
        <f>"4279016748705482"</f>
        <v>4279016748705482</v>
      </c>
      <c r="E1384" t="str">
        <f t="shared" si="230"/>
        <v>2021-05-31</v>
      </c>
      <c r="F1384" t="str">
        <f t="shared" si="231"/>
        <v>+</v>
      </c>
      <c r="G1384" t="str">
        <f t="shared" si="231"/>
        <v>+</v>
      </c>
      <c r="H1384" t="str">
        <f>"40817810016992098527"</f>
        <v>40817810016992098527</v>
      </c>
      <c r="I1384" t="str">
        <f>"5940"</f>
        <v>5940</v>
      </c>
      <c r="J1384" t="str">
        <f>"0056"</f>
        <v>0056</v>
      </c>
      <c r="K1384" t="str">
        <f>"120000.00"</f>
        <v>120000.00</v>
      </c>
      <c r="L1384" t="str">
        <f>"628400 ОБЛ ТЮМЕНСКАЯ АО ХМАО-ЮГРА Г СУРГУТ   УЛ ИНДУСТРИАЛЬНАЯ д. 48 корп. 2"</f>
        <v>628400 ОБЛ ТЮМЕНСКАЯ АО ХМАО-ЮГРА Г СУРГУТ   УЛ ИНДУСТРИАЛЬНАЯ д. 48 корп. 2</v>
      </c>
      <c r="M1384" t="str">
        <f t="shared" si="224"/>
        <v>2019-08-24</v>
      </c>
      <c r="N1384" t="str">
        <f>"ООО ВЕЛТРАНС"</f>
        <v>ООО ВЕЛТРАНС</v>
      </c>
      <c r="O1384" t="str">
        <f>"628400"</f>
        <v>628400</v>
      </c>
      <c r="P1384" t="str">
        <f t="shared" si="229"/>
        <v>ОБЛ ТЮМЕНСКАЯ</v>
      </c>
      <c r="Q1384" t="str">
        <f>"АО ХМАО-ЮГРА"</f>
        <v>АО ХМАО-ЮГРА</v>
      </c>
      <c r="R1384" t="str">
        <f>"Г СУРГУТ"</f>
        <v>Г СУРГУТ</v>
      </c>
      <c r="S1384" t="str">
        <f>""</f>
        <v/>
      </c>
      <c r="T1384" t="str">
        <f>"УЛ СТУДЕНЧЕСКАЯ"</f>
        <v>УЛ СТУДЕНЧЕСКАЯ</v>
      </c>
      <c r="U1384" s="1" t="str">
        <f>"21"</f>
        <v>21</v>
      </c>
      <c r="V1384" s="1" t="str">
        <f>""</f>
        <v/>
      </c>
      <c r="W1384" s="1" t="str">
        <f>""</f>
        <v/>
      </c>
      <c r="X1384" s="1" t="str">
        <f>""</f>
        <v/>
      </c>
      <c r="Y1384" s="1" t="str">
        <f>"193"</f>
        <v>193</v>
      </c>
      <c r="Z1384" t="str">
        <f>""</f>
        <v/>
      </c>
      <c r="AA1384" t="str">
        <f>"9125193134"</f>
        <v>9125193134</v>
      </c>
      <c r="AB1384" t="str">
        <f>"9124182909"</f>
        <v>9124182909</v>
      </c>
      <c r="AC1384" t="str">
        <f>"9125193134"</f>
        <v>9125193134</v>
      </c>
      <c r="AD1384" t="str">
        <f>"9124182909"</f>
        <v>9124182909</v>
      </c>
      <c r="AE1384" t="str">
        <f>""</f>
        <v/>
      </c>
    </row>
    <row r="1385" spans="1:31" x14ac:dyDescent="0.45">
      <c r="A1385" t="str">
        <f>"ТУРТАЕВА РАСИЛЯ АБДРАСУЛЬЕВНА"</f>
        <v>ТУРТАЕВА РАСИЛЯ АБДРАСУЛЬЕВНА</v>
      </c>
      <c r="B1385" t="str">
        <f>"1976-06-14"</f>
        <v>1976-06-14</v>
      </c>
      <c r="C1385" t="str">
        <f>"71 97 059126"</f>
        <v>71 97 059126</v>
      </c>
      <c r="D1385" t="str">
        <f>"5484016708463336"</f>
        <v>5484016708463336</v>
      </c>
      <c r="E1385" t="str">
        <f t="shared" si="230"/>
        <v>2021-05-31</v>
      </c>
      <c r="F1385" t="str">
        <f t="shared" si="231"/>
        <v>+</v>
      </c>
      <c r="G1385" t="str">
        <f t="shared" si="231"/>
        <v>+</v>
      </c>
      <c r="H1385" t="str">
        <f>"40817810916992351636"</f>
        <v>40817810916992351636</v>
      </c>
      <c r="I1385" t="str">
        <f>"8647"</f>
        <v>8647</v>
      </c>
      <c r="J1385" t="str">
        <f>"7770"</f>
        <v>7770</v>
      </c>
      <c r="K1385" t="str">
        <f>"86000.00"</f>
        <v>86000.00</v>
      </c>
      <c r="L1385" t="str">
        <f>"625000 ОБЛ ТЮМЕНСКАЯ   Г ТЮМЕНЬ   УЛ КОТОВСКОГО д. 55"</f>
        <v>625000 ОБЛ ТЮМЕНСКАЯ   Г ТЮМЕНЬ   УЛ КОТОВСКОГО д. 55</v>
      </c>
      <c r="M1385" t="str">
        <f t="shared" si="224"/>
        <v>2019-08-24</v>
      </c>
      <c r="N1385" t="str">
        <f>"ГБУЗ ТО ОКБ №1"</f>
        <v>ГБУЗ ТО ОКБ №1</v>
      </c>
      <c r="O1385" t="str">
        <f>"625504"</f>
        <v>625504</v>
      </c>
      <c r="P1385" t="str">
        <f t="shared" si="229"/>
        <v>ОБЛ ТЮМЕНСКАЯ</v>
      </c>
      <c r="Q1385" t="str">
        <f>"Р-Н ТЮМЕНСКИЙ"</f>
        <v>Р-Н ТЮМЕНСКИЙ</v>
      </c>
      <c r="R1385" t="str">
        <f>""</f>
        <v/>
      </c>
      <c r="S1385" t="str">
        <f>"РП БОРОВСКИЙ"</f>
        <v>РП БОРОВСКИЙ</v>
      </c>
      <c r="T1385" t="str">
        <f>"УЛ ЗАРЕЧНАЯ"</f>
        <v>УЛ ЗАРЕЧНАЯ</v>
      </c>
      <c r="U1385" s="1" t="str">
        <f>"75"</f>
        <v>75</v>
      </c>
      <c r="V1385" s="1" t="str">
        <f>""</f>
        <v/>
      </c>
      <c r="W1385" s="1" t="str">
        <f>""</f>
        <v/>
      </c>
      <c r="X1385" s="1" t="str">
        <f>""</f>
        <v/>
      </c>
      <c r="Y1385" s="1" t="str">
        <f>""</f>
        <v/>
      </c>
      <c r="Z1385" t="str">
        <f>"+7 (3452) 560010"</f>
        <v>+7 (3452) 560010</v>
      </c>
      <c r="AA1385" t="str">
        <f>"+7 (3452) 763186"</f>
        <v>+7 (3452) 763186</v>
      </c>
      <c r="AB1385" t="str">
        <f>"+7 (952) 3428580"</f>
        <v>+7 (952) 3428580</v>
      </c>
      <c r="AC1385" t="str">
        <f>"9612079627"</f>
        <v>9612079627</v>
      </c>
      <c r="AD1385" t="str">
        <f>"9612079627"</f>
        <v>9612079627</v>
      </c>
      <c r="AE1385" t="str">
        <f>"3452560010"</f>
        <v>3452560010</v>
      </c>
    </row>
    <row r="1386" spans="1:31" x14ac:dyDescent="0.45">
      <c r="A1386" t="str">
        <f>"ДУДАРОВ КОНСТАНТИН НИКОЛАЕВИЧ"</f>
        <v>ДУДАРОВ КОНСТАНТИН НИКОЛАЕВИЧ</v>
      </c>
      <c r="B1386" t="str">
        <f>"1985-08-22"</f>
        <v>1985-08-22</v>
      </c>
      <c r="C1386" t="str">
        <f>"65 05 610657"</f>
        <v>65 05 610657</v>
      </c>
      <c r="D1386" t="str">
        <f>"5484016702617200"</f>
        <v>5484016702617200</v>
      </c>
      <c r="E1386" t="str">
        <f t="shared" si="230"/>
        <v>2021-05-31</v>
      </c>
      <c r="F1386" t="str">
        <f t="shared" si="231"/>
        <v>+</v>
      </c>
      <c r="G1386" t="str">
        <f t="shared" si="231"/>
        <v>+</v>
      </c>
      <c r="H1386" t="str">
        <f>"40817810916992351694"</f>
        <v>40817810916992351694</v>
      </c>
      <c r="I1386" t="str">
        <f>"8647"</f>
        <v>8647</v>
      </c>
      <c r="J1386" t="str">
        <f>"7770"</f>
        <v>7770</v>
      </c>
      <c r="K1386" t="str">
        <f>"235000.00"</f>
        <v>235000.00</v>
      </c>
      <c r="L1386" t="str">
        <f>"625000 ОБЛ ТЮМЕНСКАЯ Р-Н ТЮМЕНСКИЙ     ДОР БОГАНДИНСКИЙ-ЧЕРВИШЕВО-ЧАПЛЫК д. 45КМ стр. 22"</f>
        <v>625000 ОБЛ ТЮМЕНСКАЯ Р-Н ТЮМЕНСКИЙ     ДОР БОГАНДИНСКИЙ-ЧЕРВИШЕВО-ЧАПЛЫК д. 45КМ стр. 22</v>
      </c>
      <c r="M1386" t="str">
        <f t="shared" si="224"/>
        <v>2019-08-24</v>
      </c>
      <c r="N1386" t="str">
        <f>"ЖЕМЧУЖИНА СИБИРИ"</f>
        <v>ЖЕМЧУЖИНА СИБИРИ</v>
      </c>
      <c r="O1386" t="str">
        <f>"623670"</f>
        <v>623670</v>
      </c>
      <c r="P1386" t="str">
        <f>"ОБЛ СВЕРДЛОВСКАЯ"</f>
        <v>ОБЛ СВЕРДЛОВСКАЯ</v>
      </c>
      <c r="Q1386" t="str">
        <f>"Р-Н ТУГУЛЫМСКИЙ"</f>
        <v>Р-Н ТУГУЛЫМСКИЙ</v>
      </c>
      <c r="R1386" t="str">
        <f>""</f>
        <v/>
      </c>
      <c r="S1386" t="str">
        <f>"П ЮШАЛА"</f>
        <v>П ЮШАЛА</v>
      </c>
      <c r="T1386" t="str">
        <f>"УЛ КАРЛА МАРКСА"</f>
        <v>УЛ КАРЛА МАРКСА</v>
      </c>
      <c r="U1386" s="1" t="str">
        <f>"26"</f>
        <v>26</v>
      </c>
      <c r="V1386" s="1" t="str">
        <f>""</f>
        <v/>
      </c>
      <c r="W1386" s="1" t="str">
        <f>""</f>
        <v/>
      </c>
      <c r="X1386" s="1" t="str">
        <f>""</f>
        <v/>
      </c>
      <c r="Y1386" s="1" t="str">
        <f>""</f>
        <v/>
      </c>
      <c r="Z1386" t="str">
        <f>"3452779977"</f>
        <v>3452779977</v>
      </c>
      <c r="AA1386" t="str">
        <f>"9129959549"</f>
        <v>9129959549</v>
      </c>
      <c r="AB1386" t="str">
        <f>"9129959549"</f>
        <v>9129959549</v>
      </c>
      <c r="AC1386" t="str">
        <f>"9129959549"</f>
        <v>9129959549</v>
      </c>
      <c r="AD1386" t="str">
        <f>"9129959549"</f>
        <v>9129959549</v>
      </c>
      <c r="AE1386" t="str">
        <f>"3452779977"</f>
        <v>3452779977</v>
      </c>
    </row>
    <row r="1387" spans="1:31" x14ac:dyDescent="0.45">
      <c r="A1387" t="str">
        <f>"ФЕДУЛОВА АННА ЕВГЕНЬЕВНА"</f>
        <v>ФЕДУЛОВА АННА ЕВГЕНЬЕВНА</v>
      </c>
      <c r="B1387" t="str">
        <f>"1995-10-03"</f>
        <v>1995-10-03</v>
      </c>
      <c r="C1387" t="str">
        <f>"71 15 187554"</f>
        <v>71 15 187554</v>
      </c>
      <c r="D1387" t="str">
        <f>"5484016702922964"</f>
        <v>5484016702922964</v>
      </c>
      <c r="E1387" t="str">
        <f t="shared" si="230"/>
        <v>2021-05-31</v>
      </c>
      <c r="F1387" t="str">
        <f t="shared" si="231"/>
        <v>+</v>
      </c>
      <c r="G1387" t="str">
        <f t="shared" si="231"/>
        <v>+</v>
      </c>
      <c r="H1387" t="str">
        <f>"40817810816992098633"</f>
        <v>40817810816992098633</v>
      </c>
      <c r="I1387" t="str">
        <f>"8647"</f>
        <v>8647</v>
      </c>
      <c r="J1387" t="str">
        <f>"0186"</f>
        <v>0186</v>
      </c>
      <c r="K1387" t="str">
        <f>"50000.00"</f>
        <v>50000.00</v>
      </c>
      <c r="L1387" t="str">
        <f>"627750 ОБЛ ТЮМЕНСКАЯ   Г ИШИМ   УЛ 8 МАРТА д. 25"</f>
        <v>627750 ОБЛ ТЮМЕНСКАЯ   Г ИШИМ   УЛ 8 МАРТА д. 25</v>
      </c>
      <c r="M1387" t="str">
        <f t="shared" si="224"/>
        <v>2019-08-24</v>
      </c>
      <c r="N1387" t="str">
        <f>"ИШИМСКИЙ МСО СУ СК РОССИИ ПО ТЮМЕНСКОЙ ОБЛАСТИ"</f>
        <v>ИШИМСКИЙ МСО СУ СК РОССИИ ПО ТЮМЕНСКОЙ ОБЛАСТИ</v>
      </c>
      <c r="O1387" t="str">
        <f>"641000"</f>
        <v>641000</v>
      </c>
      <c r="P1387" t="str">
        <f>"ОБЛ КУРГАНСКАЯ"</f>
        <v>ОБЛ КУРГАНСКАЯ</v>
      </c>
      <c r="Q1387" t="str">
        <f>"Р-Н КЕТОВСКИЙ"</f>
        <v>Р-Н КЕТОВСКИЙ</v>
      </c>
      <c r="R1387" t="str">
        <f>""</f>
        <v/>
      </c>
      <c r="S1387" t="str">
        <f>"С КЕТОВО"</f>
        <v>С КЕТОВО</v>
      </c>
      <c r="T1387" t="str">
        <f>"УЛ ЛЕНИНА"</f>
        <v>УЛ ЛЕНИНА</v>
      </c>
      <c r="U1387" s="1" t="str">
        <f>"107"</f>
        <v>107</v>
      </c>
      <c r="V1387" s="1" t="str">
        <f>""</f>
        <v/>
      </c>
      <c r="W1387" s="1" t="str">
        <f>""</f>
        <v/>
      </c>
      <c r="X1387" s="1" t="str">
        <f>""</f>
        <v/>
      </c>
      <c r="Y1387" s="1" t="str">
        <f>""</f>
        <v/>
      </c>
      <c r="Z1387" t="str">
        <f>"3455150806"</f>
        <v>3455150806</v>
      </c>
      <c r="AA1387" t="str">
        <f>"9829649178"</f>
        <v>9829649178</v>
      </c>
      <c r="AB1387" t="str">
        <f>"9195788958"</f>
        <v>9195788958</v>
      </c>
      <c r="AC1387" t="str">
        <f>"9829649178"</f>
        <v>9829649178</v>
      </c>
      <c r="AD1387" t="str">
        <f>"9829649178"</f>
        <v>9829649178</v>
      </c>
      <c r="AE1387" t="str">
        <f>"3455150806"</f>
        <v>3455150806</v>
      </c>
    </row>
    <row r="1388" spans="1:31" x14ac:dyDescent="0.45">
      <c r="A1388" t="str">
        <f>"МАЗУРОВА ИРИНА АЛЕКСАНДРОВНА"</f>
        <v>МАЗУРОВА ИРИНА АЛЕКСАНДРОВНА</v>
      </c>
      <c r="B1388" t="str">
        <f>"1957-07-04"</f>
        <v>1957-07-04</v>
      </c>
      <c r="C1388" t="str">
        <f>"71 03 939947"</f>
        <v>71 03 939947</v>
      </c>
      <c r="D1388" t="str">
        <f>"5484016703963041"</f>
        <v>5484016703963041</v>
      </c>
      <c r="E1388" t="str">
        <f t="shared" si="230"/>
        <v>2021-05-31</v>
      </c>
      <c r="F1388" t="str">
        <f t="shared" si="231"/>
        <v>+</v>
      </c>
      <c r="G1388" t="str">
        <f t="shared" si="231"/>
        <v>+</v>
      </c>
      <c r="H1388" t="str">
        <f>"40817810116992403575"</f>
        <v>40817810116992403575</v>
      </c>
      <c r="I1388" t="str">
        <f>"8647"</f>
        <v>8647</v>
      </c>
      <c r="J1388" t="str">
        <f>"7770"</f>
        <v>7770</v>
      </c>
      <c r="K1388" t="str">
        <f>"135000.00"</f>
        <v>135000.00</v>
      </c>
      <c r="L1388" t="str">
        <f>"625000 ОБЛ ТЮМЕНСКАЯ   Г ТЮМЕНЬ   УЛ ЮРИЯ СЕМОВСКИХ д. 10"</f>
        <v>625000 ОБЛ ТЮМЕНСКАЯ   Г ТЮМЕНЬ   УЛ ЮРИЯ СЕМОВСКИХ д. 10</v>
      </c>
      <c r="M1388" t="str">
        <f t="shared" si="224"/>
        <v>2019-08-24</v>
      </c>
      <c r="N1388" t="str">
        <f>"ОКБ №1"</f>
        <v>ОКБ №1</v>
      </c>
      <c r="O1388" t="str">
        <f>"625001"</f>
        <v>625001</v>
      </c>
      <c r="P1388" t="str">
        <f>"ОБЛ ТЮМЕНСКАЯ"</f>
        <v>ОБЛ ТЮМЕНСКАЯ</v>
      </c>
      <c r="Q1388" t="str">
        <f>""</f>
        <v/>
      </c>
      <c r="R1388" t="str">
        <f>"Г ТЮМЕНЬ"</f>
        <v>Г ТЮМЕНЬ</v>
      </c>
      <c r="S1388" t="str">
        <f>""</f>
        <v/>
      </c>
      <c r="T1388" t="str">
        <f>"УЛ ПОДГОРНАЯ"</f>
        <v>УЛ ПОДГОРНАЯ</v>
      </c>
      <c r="U1388" s="1" t="str">
        <f>"40"</f>
        <v>40</v>
      </c>
      <c r="V1388" s="1" t="str">
        <f>""</f>
        <v/>
      </c>
      <c r="W1388" s="1" t="str">
        <f>""</f>
        <v/>
      </c>
      <c r="X1388" s="1" t="str">
        <f>""</f>
        <v/>
      </c>
      <c r="Y1388" s="1" t="str">
        <f>""</f>
        <v/>
      </c>
      <c r="Z1388" t="str">
        <f>"3452560010"</f>
        <v>3452560010</v>
      </c>
      <c r="AA1388" t="str">
        <f>"9044919772"</f>
        <v>9044919772</v>
      </c>
      <c r="AB1388" t="str">
        <f>"9044919772"</f>
        <v>9044919772</v>
      </c>
      <c r="AC1388" t="str">
        <f>"9044919772"</f>
        <v>9044919772</v>
      </c>
      <c r="AD1388" t="str">
        <f>"9044919772"</f>
        <v>9044919772</v>
      </c>
      <c r="AE1388" t="str">
        <f>"3452560010"</f>
        <v>3452560010</v>
      </c>
    </row>
    <row r="1389" spans="1:31" x14ac:dyDescent="0.45">
      <c r="A1389" t="str">
        <f>"АГЕЕНКО ВЛАДИМИР ЕГОРОВИЧ"</f>
        <v>АГЕЕНКО ВЛАДИМИР ЕГОРОВИЧ</v>
      </c>
      <c r="B1389" t="str">
        <f>"1955-08-19"</f>
        <v>1955-08-19</v>
      </c>
      <c r="C1389" t="str">
        <f>"67 02 749614"</f>
        <v>67 02 749614</v>
      </c>
      <c r="D1389" t="str">
        <f>"5313100290177871"</f>
        <v>5313100290177871</v>
      </c>
      <c r="E1389" t="str">
        <f>"2020-11-30"</f>
        <v>2020-11-30</v>
      </c>
      <c r="F1389" t="str">
        <f t="shared" si="231"/>
        <v>+</v>
      </c>
      <c r="G1389" t="str">
        <f t="shared" si="231"/>
        <v>+</v>
      </c>
      <c r="H1389" t="str">
        <f>"40817810916992113861"</f>
        <v>40817810916992113861</v>
      </c>
      <c r="I1389" t="str">
        <f>"1791"</f>
        <v>1791</v>
      </c>
      <c r="J1389" t="str">
        <f>"0052"</f>
        <v>0052</v>
      </c>
      <c r="K1389" t="str">
        <f>"40000.00"</f>
        <v>40000.00</v>
      </c>
      <c r="L1389" t="str">
        <f>"628000 ОБЛ ТЮМЕНСКАЯ   Г ХАНТЫ-МАНСИЙСК   УЛ БЕЗНОСКОВА д. 32"</f>
        <v>628000 ОБЛ ТЮМЕНСКАЯ   Г ХАНТЫ-МАНСИЙСК   УЛ БЕЗНОСКОВА д. 32</v>
      </c>
      <c r="M1389" t="str">
        <f t="shared" si="224"/>
        <v>2019-08-24</v>
      </c>
      <c r="N1389" t="str">
        <f>"ПЕНСИОНЕР"</f>
        <v>ПЕНСИОНЕР</v>
      </c>
      <c r="O1389" t="str">
        <f>"628000"</f>
        <v>628000</v>
      </c>
      <c r="P1389" t="str">
        <f>"ОБЛ ТЮМЕНСКАЯ"</f>
        <v>ОБЛ ТЮМЕНСКАЯ</v>
      </c>
      <c r="Q1389" t="str">
        <f>""</f>
        <v/>
      </c>
      <c r="R1389" t="str">
        <f>"Г ХАНТЫ-МАНСИЙСК"</f>
        <v>Г ХАНТЫ-МАНСИЙСК</v>
      </c>
      <c r="S1389" t="str">
        <f>""</f>
        <v/>
      </c>
      <c r="T1389" t="str">
        <f>"УЛ БЕЗНОСКОВА"</f>
        <v>УЛ БЕЗНОСКОВА</v>
      </c>
      <c r="U1389" s="1" t="str">
        <f>"32"</f>
        <v>32</v>
      </c>
      <c r="V1389" s="1" t="str">
        <f>""</f>
        <v/>
      </c>
      <c r="W1389" s="1" t="str">
        <f>""</f>
        <v/>
      </c>
      <c r="X1389" s="1" t="str">
        <f>""</f>
        <v/>
      </c>
      <c r="Y1389" s="1" t="str">
        <f>""</f>
        <v/>
      </c>
      <c r="Z1389" t="str">
        <f>"3467327716"</f>
        <v>3467327716</v>
      </c>
      <c r="AA1389" t="str">
        <f>"3467332845"</f>
        <v>3467332845</v>
      </c>
      <c r="AB1389" t="str">
        <f>"9526954323"</f>
        <v>9526954323</v>
      </c>
      <c r="AC1389" t="str">
        <f>"3467332845"</f>
        <v>3467332845</v>
      </c>
      <c r="AD1389" t="str">
        <f>"9526954323"</f>
        <v>9526954323</v>
      </c>
      <c r="AE1389" t="str">
        <f>""</f>
        <v/>
      </c>
    </row>
    <row r="1390" spans="1:31" x14ac:dyDescent="0.45">
      <c r="A1390" t="str">
        <f>"АХУНОВ ТАЛХАТ МУЛАХМЕТОВИЧ"</f>
        <v>АХУНОВ ТАЛХАТ МУЛАХМЕТОВИЧ</v>
      </c>
      <c r="B1390" t="str">
        <f>"1957-06-15"</f>
        <v>1957-06-15</v>
      </c>
      <c r="C1390" t="str">
        <f>"67 02 721158"</f>
        <v>67 02 721158</v>
      </c>
      <c r="D1390" t="str">
        <f>"4854630385911824"</f>
        <v>4854630385911824</v>
      </c>
      <c r="E1390" t="str">
        <f>"2020-11-30"</f>
        <v>2020-11-30</v>
      </c>
      <c r="F1390" t="str">
        <f>"Q"</f>
        <v>Q</v>
      </c>
      <c r="G1390" t="str">
        <f>"Q"</f>
        <v>Q</v>
      </c>
      <c r="H1390" t="str">
        <f>"40817810167720682372"</f>
        <v>40817810167720682372</v>
      </c>
      <c r="I1390" t="str">
        <f>"5940"</f>
        <v>5940</v>
      </c>
      <c r="J1390" t="str">
        <f>"0028"</f>
        <v>0028</v>
      </c>
      <c r="K1390" t="str">
        <f>"0.00"</f>
        <v>0.00</v>
      </c>
      <c r="L1390" t="str">
        <f>"628400 ОБЛ ТЮМЕНСКАЯ   Г СУРГУТ   УЛ МАЙСКАЯ д. 8"</f>
        <v>628400 ОБЛ ТЮМЕНСКАЯ   Г СУРГУТ   УЛ МАЙСКАЯ д. 8</v>
      </c>
      <c r="M1390" t="str">
        <f t="shared" si="224"/>
        <v>2019-08-24</v>
      </c>
      <c r="N1390" t="str">
        <f>"УПФ РФ В Г. СУРГУТЕ"</f>
        <v>УПФ РФ В Г. СУРГУТЕ</v>
      </c>
      <c r="O1390" t="str">
        <f>"628400"</f>
        <v>628400</v>
      </c>
      <c r="P1390" t="str">
        <f>"ОБЛ ТЮМЕНСКАЯ"</f>
        <v>ОБЛ ТЮМЕНСКАЯ</v>
      </c>
      <c r="Q1390" t="str">
        <f>""</f>
        <v/>
      </c>
      <c r="R1390" t="str">
        <f>"Г СУРГУТ"</f>
        <v>Г СУРГУТ</v>
      </c>
      <c r="S1390" t="str">
        <f>""</f>
        <v/>
      </c>
      <c r="T1390" t="str">
        <f>"УЛ ЭНТУЗИАСТОВ"</f>
        <v>УЛ ЭНТУЗИАСТОВ</v>
      </c>
      <c r="U1390" s="1" t="str">
        <f>"8"</f>
        <v>8</v>
      </c>
      <c r="V1390" s="1" t="str">
        <f>""</f>
        <v/>
      </c>
      <c r="W1390" s="1" t="str">
        <f>""</f>
        <v/>
      </c>
      <c r="X1390" s="1" t="str">
        <f>""</f>
        <v/>
      </c>
      <c r="Y1390" s="1" t="str">
        <f>"6"</f>
        <v>6</v>
      </c>
      <c r="Z1390" t="str">
        <f>""</f>
        <v/>
      </c>
      <c r="AA1390" t="str">
        <f>"9222583418"</f>
        <v>9222583418</v>
      </c>
      <c r="AB1390" t="str">
        <f>"9222583418"</f>
        <v>9222583418</v>
      </c>
      <c r="AC1390" t="str">
        <f>"9222583418"</f>
        <v>9222583418</v>
      </c>
      <c r="AD1390" t="str">
        <f>"9519700064"</f>
        <v>9519700064</v>
      </c>
      <c r="AE1390" t="str">
        <f>""</f>
        <v/>
      </c>
    </row>
    <row r="1391" spans="1:31" x14ac:dyDescent="0.45">
      <c r="A1391" t="str">
        <f>"КОТЕНКО АНТОНИНА НИКОЛАЕВНА"</f>
        <v>КОТЕНКО АНТОНИНА НИКОЛАЕВНА</v>
      </c>
      <c r="B1391" t="str">
        <f>"1963-05-16"</f>
        <v>1963-05-16</v>
      </c>
      <c r="C1391" t="str">
        <f>"80 07 546806"</f>
        <v>80 07 546806</v>
      </c>
      <c r="D1391" t="str">
        <f>"5313100498996544"</f>
        <v>5313100498996544</v>
      </c>
      <c r="E1391" t="str">
        <f>"2020-10-31"</f>
        <v>2020-10-31</v>
      </c>
      <c r="F1391" t="str">
        <f t="shared" ref="F1391:G1406" si="232">"+"</f>
        <v>+</v>
      </c>
      <c r="G1391" t="str">
        <f t="shared" si="232"/>
        <v>+</v>
      </c>
      <c r="H1391" t="str">
        <f>"40817810016991391351"</f>
        <v>40817810016991391351</v>
      </c>
      <c r="I1391" t="str">
        <f>"8598"</f>
        <v>8598</v>
      </c>
      <c r="J1391" t="str">
        <f>"0377"</f>
        <v>0377</v>
      </c>
      <c r="K1391" t="str">
        <f>"40000.00"</f>
        <v>40000.00</v>
      </c>
      <c r="L1391" t="str">
        <f>"450000 РЕСП БАШКОРТОСТАН   Г СТЕРЛИТАМАК   УЛ МИРА д. 59"</f>
        <v>450000 РЕСП БАШКОРТОСТАН   Г СТЕРЛИТАМАК   УЛ МИРА д. 59</v>
      </c>
      <c r="M1391" t="str">
        <f t="shared" si="224"/>
        <v>2019-08-24</v>
      </c>
      <c r="N1391" t="str">
        <f>"ООО ТОРГОВЫЙ ДОМ СТРЕХ"</f>
        <v>ООО ТОРГОВЫЙ ДОМ СТРЕХ</v>
      </c>
      <c r="O1391" t="str">
        <f>"450000"</f>
        <v>450000</v>
      </c>
      <c r="P1391" t="str">
        <f>"РЕСП БАШКОРТОСТАН"</f>
        <v>РЕСП БАШКОРТОСТАН</v>
      </c>
      <c r="Q1391" t="str">
        <f>""</f>
        <v/>
      </c>
      <c r="R1391" t="str">
        <f>"Г СТЕРЛИТАМАК"</f>
        <v>Г СТЕРЛИТАМАК</v>
      </c>
      <c r="S1391" t="str">
        <f>""</f>
        <v/>
      </c>
      <c r="T1391" t="str">
        <f>"УЛ ШАЙМУРАТОВА"</f>
        <v>УЛ ШАЙМУРАТОВА</v>
      </c>
      <c r="U1391" s="1" t="str">
        <f>"19"</f>
        <v>19</v>
      </c>
      <c r="V1391" s="1" t="str">
        <f>""</f>
        <v/>
      </c>
      <c r="W1391" s="1" t="str">
        <f>""</f>
        <v/>
      </c>
      <c r="X1391" s="1" t="str">
        <f>""</f>
        <v/>
      </c>
      <c r="Y1391" s="1" t="str">
        <f>"88"</f>
        <v>88</v>
      </c>
      <c r="Z1391" t="str">
        <f>"9173847260"</f>
        <v>9173847260</v>
      </c>
      <c r="AA1391" t="str">
        <f>"3473269660"</f>
        <v>3473269660</v>
      </c>
      <c r="AB1391" t="str">
        <f>"9173847260"</f>
        <v>9173847260</v>
      </c>
      <c r="AC1391" t="str">
        <f>"9173847260"</f>
        <v>9173847260</v>
      </c>
      <c r="AD1391" t="str">
        <f>"9173847260"</f>
        <v>9173847260</v>
      </c>
      <c r="AE1391" t="str">
        <f>"9173847260"</f>
        <v>9173847260</v>
      </c>
    </row>
    <row r="1392" spans="1:31" x14ac:dyDescent="0.45">
      <c r="A1392" t="str">
        <f>"СЕРГЕЕВ СЕРГЕЙ СЕРГЕЕВИЧ"</f>
        <v>СЕРГЕЕВ СЕРГЕЙ СЕРГЕЕВИЧ</v>
      </c>
      <c r="B1392" t="str">
        <f>"1987-04-04"</f>
        <v>1987-04-04</v>
      </c>
      <c r="C1392" t="str">
        <f>"75 05 887483"</f>
        <v>75 05 887483</v>
      </c>
      <c r="D1392" t="str">
        <f>"4279011669372073"</f>
        <v>4279011669372073</v>
      </c>
      <c r="E1392" t="str">
        <f t="shared" ref="E1392:E1410" si="233">"2021-05-31"</f>
        <v>2021-05-31</v>
      </c>
      <c r="F1392" t="str">
        <f t="shared" si="232"/>
        <v>+</v>
      </c>
      <c r="G1392" t="str">
        <f t="shared" si="232"/>
        <v>+</v>
      </c>
      <c r="H1392" t="str">
        <f>"40817810016991391377"</f>
        <v>40817810016991391377</v>
      </c>
      <c r="I1392" t="str">
        <f>"8597"</f>
        <v>8597</v>
      </c>
      <c r="J1392" t="str">
        <f>"0195"</f>
        <v>0195</v>
      </c>
      <c r="K1392" t="str">
        <f>"205000.00"</f>
        <v>205000.00</v>
      </c>
      <c r="L1392" t="str">
        <f>"454000 ОБЛ ЧЕЛЯБИНСКАЯ   Г ЧЕЛЯБИНСК   УЛ СЕВЕРНАЯ д. 30"</f>
        <v>454000 ОБЛ ЧЕЛЯБИНСКАЯ   Г ЧЕЛЯБИНСК   УЛ СЕВЕРНАЯ д. 30</v>
      </c>
      <c r="M1392" t="str">
        <f t="shared" si="224"/>
        <v>2019-08-24</v>
      </c>
      <c r="N1392" t="str">
        <f>"КПД МАРКЕТИНГ"</f>
        <v>КПД МАРКЕТИНГ</v>
      </c>
      <c r="O1392" t="str">
        <f>"454000"</f>
        <v>454000</v>
      </c>
      <c r="P1392" t="str">
        <f>"ОБЛ ЧЕЛЯБИНСКАЯ"</f>
        <v>ОБЛ ЧЕЛЯБИНСКАЯ</v>
      </c>
      <c r="Q1392" t="str">
        <f>""</f>
        <v/>
      </c>
      <c r="R1392" t="str">
        <f>"Г ЧЕЛЯБИНСК"</f>
        <v>Г ЧЕЛЯБИНСК</v>
      </c>
      <c r="S1392" t="str">
        <f>""</f>
        <v/>
      </c>
      <c r="T1392" t="str">
        <f>"УЛ ХУДЯКОВА"</f>
        <v>УЛ ХУДЯКОВА</v>
      </c>
      <c r="U1392" s="1" t="str">
        <f>"21"</f>
        <v>21</v>
      </c>
      <c r="V1392" s="1" t="str">
        <f>""</f>
        <v/>
      </c>
      <c r="W1392" s="1" t="str">
        <f>""</f>
        <v/>
      </c>
      <c r="X1392" s="1" t="str">
        <f>""</f>
        <v/>
      </c>
      <c r="Y1392" s="1" t="str">
        <f>"55"</f>
        <v>55</v>
      </c>
      <c r="Z1392" t="str">
        <f>""</f>
        <v/>
      </c>
      <c r="AA1392" t="str">
        <f>"9823430762"</f>
        <v>9823430762</v>
      </c>
      <c r="AB1392" t="str">
        <f>"9193264341"</f>
        <v>9193264341</v>
      </c>
      <c r="AC1392" t="str">
        <f>"9823430762"</f>
        <v>9823430762</v>
      </c>
      <c r="AD1392" t="str">
        <f>"9193264341"</f>
        <v>9193264341</v>
      </c>
      <c r="AE1392" t="str">
        <f>""</f>
        <v/>
      </c>
    </row>
    <row r="1393" spans="1:31" x14ac:dyDescent="0.45">
      <c r="A1393" t="str">
        <f>"БАУТИНА ИНЕССА ОЛЕГОВНА"</f>
        <v>БАУТИНА ИНЕССА ОЛЕГОВНА</v>
      </c>
      <c r="B1393" t="str">
        <f>"1991-01-30"</f>
        <v>1991-01-30</v>
      </c>
      <c r="C1393" t="str">
        <f>"65 11 117567"</f>
        <v>65 11 117567</v>
      </c>
      <c r="D1393" t="str">
        <f>"4279011666210094"</f>
        <v>4279011666210094</v>
      </c>
      <c r="E1393" t="str">
        <f t="shared" si="233"/>
        <v>2021-05-31</v>
      </c>
      <c r="F1393" t="str">
        <f t="shared" si="232"/>
        <v>+</v>
      </c>
      <c r="G1393" t="str">
        <f t="shared" si="232"/>
        <v>+</v>
      </c>
      <c r="H1393" t="str">
        <f>"40817810316991391378"</f>
        <v>40817810316991391378</v>
      </c>
      <c r="I1393" t="str">
        <f>"7003"</f>
        <v>7003</v>
      </c>
      <c r="J1393" t="str">
        <f>"0359"</f>
        <v>0359</v>
      </c>
      <c r="K1393" t="str">
        <f>"110000.00"</f>
        <v>110000.00</v>
      </c>
      <c r="L1393" t="str">
        <f>"620000 ОБЛ СВЕРДЛОВСКАЯ   Г ЕКАТЕРИНБУРГ   УЛ КИРОВГРАДСКАЯ д. 70 кв. 18"</f>
        <v>620000 ОБЛ СВЕРДЛОВСКАЯ   Г ЕКАТЕРИНБУРГ   УЛ КИРОВГРАДСКАЯ д. 70 кв. 18</v>
      </c>
      <c r="M1393" t="str">
        <f t="shared" si="224"/>
        <v>2019-08-24</v>
      </c>
      <c r="N1393" t="str">
        <f>"ИП БАУТИНА И О"</f>
        <v>ИП БАУТИНА И О</v>
      </c>
      <c r="O1393" t="str">
        <f>"620000"</f>
        <v>620000</v>
      </c>
      <c r="P1393" t="str">
        <f>"ОБЛ СВЕРДЛОВСКАЯ"</f>
        <v>ОБЛ СВЕРДЛОВСКАЯ</v>
      </c>
      <c r="Q1393" t="str">
        <f>""</f>
        <v/>
      </c>
      <c r="R1393" t="str">
        <f>"Г ЕКАТЕРИНБУРГ"</f>
        <v>Г ЕКАТЕРИНБУРГ</v>
      </c>
      <c r="S1393" t="str">
        <f>""</f>
        <v/>
      </c>
      <c r="T1393" t="str">
        <f>"УЛ КИРОВГРАДСКАЯ"</f>
        <v>УЛ КИРОВГРАДСКАЯ</v>
      </c>
      <c r="U1393" s="1" t="str">
        <f>"70"</f>
        <v>70</v>
      </c>
      <c r="V1393" s="1" t="str">
        <f>""</f>
        <v/>
      </c>
      <c r="W1393" s="1" t="str">
        <f>""</f>
        <v/>
      </c>
      <c r="X1393" s="1" t="str">
        <f>""</f>
        <v/>
      </c>
      <c r="Y1393" s="1" t="str">
        <f>"18"</f>
        <v>18</v>
      </c>
      <c r="Z1393" t="str">
        <f>"9049833008"</f>
        <v>9049833008</v>
      </c>
      <c r="AA1393" t="str">
        <f>"9049833008"</f>
        <v>9049833008</v>
      </c>
      <c r="AB1393" t="str">
        <f>"9049833008"</f>
        <v>9049833008</v>
      </c>
      <c r="AC1393" t="str">
        <f>"9049833008"</f>
        <v>9049833008</v>
      </c>
      <c r="AD1393" t="str">
        <f>"9049833008"</f>
        <v>9049833008</v>
      </c>
      <c r="AE1393" t="str">
        <f>"9049833008"</f>
        <v>9049833008</v>
      </c>
    </row>
    <row r="1394" spans="1:31" x14ac:dyDescent="0.45">
      <c r="A1394" t="str">
        <f>"БАДАМШИН ИЛЬШАТ РИНАТОВИЧ"</f>
        <v>БАДАМШИН ИЛЬШАТ РИНАТОВИЧ</v>
      </c>
      <c r="B1394" t="str">
        <f>"1980-11-28"</f>
        <v>1980-11-28</v>
      </c>
      <c r="C1394" t="str">
        <f>"80 03 131916"</f>
        <v>80 03 131916</v>
      </c>
      <c r="D1394" t="str">
        <f>"4279011630516485"</f>
        <v>4279011630516485</v>
      </c>
      <c r="E1394" t="str">
        <f t="shared" si="233"/>
        <v>2021-05-31</v>
      </c>
      <c r="F1394" t="str">
        <f t="shared" si="232"/>
        <v>+</v>
      </c>
      <c r="G1394" t="str">
        <f>"7"</f>
        <v>7</v>
      </c>
      <c r="H1394" t="str">
        <f>"40817810616991391379"</f>
        <v>40817810616991391379</v>
      </c>
      <c r="I1394" t="str">
        <f>"8598"</f>
        <v>8598</v>
      </c>
      <c r="J1394" t="str">
        <f>"0172"</f>
        <v>0172</v>
      </c>
      <c r="K1394" t="str">
        <f>"228064.76"</f>
        <v>228064.76</v>
      </c>
      <c r="L1394" t="str">
        <f>"452155 РЕСП БАШКОРТОСТАН Р-Н ЧИШМИНСКИЙ   С АЛКИНО-2 УЛ ЦЕНТРАЛЬНАЯ д. 1"</f>
        <v>452155 РЕСП БАШКОРТОСТАН Р-Н ЧИШМИНСКИЙ   С АЛКИНО-2 УЛ ЦЕНТРАЛЬНАЯ д. 1</v>
      </c>
      <c r="M1394" t="str">
        <f t="shared" si="224"/>
        <v>2019-08-24</v>
      </c>
      <c r="N1394" t="str">
        <f>"МИНИСТЕРСТВО ОБОРОНЫ"</f>
        <v>МИНИСТЕРСТВО ОБОРОНЫ</v>
      </c>
      <c r="O1394" t="str">
        <f>"452155"</f>
        <v>452155</v>
      </c>
      <c r="P1394" t="str">
        <f>"РЕСП БАШКОРТОСТАН"</f>
        <v>РЕСП БАШКОРТОСТАН</v>
      </c>
      <c r="Q1394" t="str">
        <f>"Р-Н ЧИШМИНСКИЙ"</f>
        <v>Р-Н ЧИШМИНСКИЙ</v>
      </c>
      <c r="R1394" t="str">
        <f>""</f>
        <v/>
      </c>
      <c r="S1394" t="str">
        <f>"С АЛКИНО-2"</f>
        <v>С АЛКИНО-2</v>
      </c>
      <c r="T1394" t="str">
        <f>"УЛ ЦЕНТРАЛЬНАЯ"</f>
        <v>УЛ ЦЕНТРАЛЬНАЯ</v>
      </c>
      <c r="U1394" s="1" t="str">
        <f>"1"</f>
        <v>1</v>
      </c>
      <c r="V1394" s="1" t="str">
        <f>""</f>
        <v/>
      </c>
      <c r="W1394" s="1" t="str">
        <f>""</f>
        <v/>
      </c>
      <c r="X1394" s="1" t="str">
        <f>""</f>
        <v/>
      </c>
      <c r="Y1394" s="1" t="str">
        <f>""</f>
        <v/>
      </c>
      <c r="Z1394" t="str">
        <f>""</f>
        <v/>
      </c>
      <c r="AA1394" t="str">
        <f>"9273450266"</f>
        <v>9273450266</v>
      </c>
      <c r="AB1394" t="str">
        <f>"9273450266"</f>
        <v>9273450266</v>
      </c>
      <c r="AC1394" t="str">
        <f>"9273450266"</f>
        <v>9273450266</v>
      </c>
      <c r="AD1394" t="str">
        <f>"9273450266"</f>
        <v>9273450266</v>
      </c>
      <c r="AE1394" t="str">
        <f>""</f>
        <v/>
      </c>
    </row>
    <row r="1395" spans="1:31" x14ac:dyDescent="0.45">
      <c r="A1395" t="str">
        <f>"КАЗАКОВА ЕКАТЕРИНА МИХАЙЛОВНА"</f>
        <v>КАЗАКОВА ЕКАТЕРИНА МИХАЙЛОВНА</v>
      </c>
      <c r="B1395" t="str">
        <f>"1990-04-25"</f>
        <v>1990-04-25</v>
      </c>
      <c r="C1395" t="str">
        <f>"65 17 515681"</f>
        <v>65 17 515681</v>
      </c>
      <c r="D1395" t="str">
        <f>"4276011689544480"</f>
        <v>4276011689544480</v>
      </c>
      <c r="E1395" t="str">
        <f t="shared" si="233"/>
        <v>2021-05-31</v>
      </c>
      <c r="F1395" t="str">
        <f t="shared" si="232"/>
        <v>+</v>
      </c>
      <c r="G1395" t="str">
        <f>"+"</f>
        <v>+</v>
      </c>
      <c r="H1395" t="str">
        <f>"40817810316991391381"</f>
        <v>40817810316991391381</v>
      </c>
      <c r="I1395" t="str">
        <f>"7003"</f>
        <v>7003</v>
      </c>
      <c r="J1395" t="str">
        <f>"0423"</f>
        <v>0423</v>
      </c>
      <c r="K1395" t="str">
        <f>"100000.00"</f>
        <v>100000.00</v>
      </c>
      <c r="L1395" t="str">
        <f>"620000 ОБЛ СВЕРДЛОВСКАЯ   Г ЕКАТЕРИНБУРГ   УЛ БЕБЕЛЯ д. 136/3"</f>
        <v>620000 ОБЛ СВЕРДЛОВСКАЯ   Г ЕКАТЕРИНБУРГ   УЛ БЕБЕЛЯ д. 136/3</v>
      </c>
      <c r="M1395" t="str">
        <f t="shared" si="224"/>
        <v>2019-08-24</v>
      </c>
      <c r="N1395" t="str">
        <f>"ИП КАЗАКОВА ЕКАТЕРИНА МИХАЙЛОВНА"</f>
        <v>ИП КАЗАКОВА ЕКАТЕРИНА МИХАЙЛОВНА</v>
      </c>
      <c r="O1395" t="str">
        <f>"620000"</f>
        <v>620000</v>
      </c>
      <c r="P1395" t="str">
        <f>"ОБЛ СВЕРДЛОВСКАЯ"</f>
        <v>ОБЛ СВЕРДЛОВСКАЯ</v>
      </c>
      <c r="Q1395" t="str">
        <f>""</f>
        <v/>
      </c>
      <c r="R1395" t="str">
        <f>"Г ЕКАТЕРИНБУРГ"</f>
        <v>Г ЕКАТЕРИНБУРГ</v>
      </c>
      <c r="S1395" t="str">
        <f>""</f>
        <v/>
      </c>
      <c r="T1395" t="str">
        <f>"УЛ КОЛМОГОРОВА"</f>
        <v>УЛ КОЛМОГОРОВА</v>
      </c>
      <c r="U1395" s="1" t="str">
        <f>"56"</f>
        <v>56</v>
      </c>
      <c r="V1395" s="1" t="str">
        <f>""</f>
        <v/>
      </c>
      <c r="W1395" s="1" t="str">
        <f>""</f>
        <v/>
      </c>
      <c r="X1395" s="1" t="str">
        <f>""</f>
        <v/>
      </c>
      <c r="Y1395" s="1" t="str">
        <f>"141"</f>
        <v>141</v>
      </c>
      <c r="Z1395" t="str">
        <f>""</f>
        <v/>
      </c>
      <c r="AA1395" t="str">
        <f>"9193640044"</f>
        <v>9193640044</v>
      </c>
      <c r="AB1395" t="str">
        <f>"9193640044"</f>
        <v>9193640044</v>
      </c>
      <c r="AC1395" t="str">
        <f>"9193640044"</f>
        <v>9193640044</v>
      </c>
      <c r="AD1395" t="str">
        <f>"9193640044"</f>
        <v>9193640044</v>
      </c>
      <c r="AE1395" t="str">
        <f>""</f>
        <v/>
      </c>
    </row>
    <row r="1396" spans="1:31" x14ac:dyDescent="0.45">
      <c r="A1396" t="str">
        <f>"ХАИРОВА АИДА АЛЬБЕРТОВНА"</f>
        <v>ХАИРОВА АИДА АЛЬБЕРТОВНА</v>
      </c>
      <c r="B1396" t="str">
        <f>"1985-01-14"</f>
        <v>1985-01-14</v>
      </c>
      <c r="C1396" t="str">
        <f>"80 05 991793"</f>
        <v>80 05 991793</v>
      </c>
      <c r="D1396" t="str">
        <f>"4279011661609696"</f>
        <v>4279011661609696</v>
      </c>
      <c r="E1396" t="str">
        <f t="shared" si="233"/>
        <v>2021-05-31</v>
      </c>
      <c r="F1396" t="str">
        <f t="shared" si="232"/>
        <v>+</v>
      </c>
      <c r="G1396" t="str">
        <f>"+"</f>
        <v>+</v>
      </c>
      <c r="H1396" t="str">
        <f>"40817810816991391467"</f>
        <v>40817810816991391467</v>
      </c>
      <c r="I1396" t="str">
        <f>"8598"</f>
        <v>8598</v>
      </c>
      <c r="J1396" t="str">
        <f>"0122"</f>
        <v>0122</v>
      </c>
      <c r="K1396" t="str">
        <f>"390000.00"</f>
        <v>390000.00</v>
      </c>
      <c r="L1396" t="str">
        <f>"450000 РЕСП БАШКОРТОСТАН   Г УФА   УЛ ПАРХОМЕНКО д. 198"</f>
        <v>450000 РЕСП БАШКОРТОСТАН   Г УФА   УЛ ПАРХОМЕНКО д. 198</v>
      </c>
      <c r="M1396" t="str">
        <f t="shared" si="224"/>
        <v>2019-08-24</v>
      </c>
      <c r="N1396" t="str">
        <f>"ООО СТФ ДЕКОР-УФА"</f>
        <v>ООО СТФ ДЕКОР-УФА</v>
      </c>
      <c r="O1396" t="str">
        <f>"450000"</f>
        <v>450000</v>
      </c>
      <c r="P1396" t="str">
        <f>"РЕСП БАШКОРТОСТАН"</f>
        <v>РЕСП БАШКОРТОСТАН</v>
      </c>
      <c r="Q1396" t="str">
        <f>""</f>
        <v/>
      </c>
      <c r="R1396" t="str">
        <f>"Г УФА"</f>
        <v>Г УФА</v>
      </c>
      <c r="S1396" t="str">
        <f>""</f>
        <v/>
      </c>
      <c r="T1396" t="str">
        <f>"УЛ ПОЖАРСКОГО"</f>
        <v>УЛ ПОЖАРСКОГО</v>
      </c>
      <c r="U1396" s="1" t="str">
        <f>"279"</f>
        <v>279</v>
      </c>
      <c r="V1396" s="1" t="str">
        <f>""</f>
        <v/>
      </c>
      <c r="W1396" s="1" t="str">
        <f>""</f>
        <v/>
      </c>
      <c r="X1396" s="1" t="str">
        <f>""</f>
        <v/>
      </c>
      <c r="Y1396" s="1" t="str">
        <f>"2, К.2"</f>
        <v>2, К.2</v>
      </c>
      <c r="Z1396" t="str">
        <f>"9174416166"</f>
        <v>9174416166</v>
      </c>
      <c r="AA1396" t="str">
        <f>"9174116166"</f>
        <v>9174116166</v>
      </c>
      <c r="AB1396" t="str">
        <f>"9174116166"</f>
        <v>9174116166</v>
      </c>
      <c r="AC1396" t="str">
        <f>"9174216166"</f>
        <v>9174216166</v>
      </c>
      <c r="AD1396" t="str">
        <f>"9174116166"</f>
        <v>9174116166</v>
      </c>
      <c r="AE1396" t="str">
        <f>"9174416166"</f>
        <v>9174416166</v>
      </c>
    </row>
    <row r="1397" spans="1:31" x14ac:dyDescent="0.45">
      <c r="A1397" t="str">
        <f>"МИСОЧЕНКО ВЛАДА ВИТАЛЬЕВНА"</f>
        <v>МИСОЧЕНКО ВЛАДА ВИТАЛЬЕВНА</v>
      </c>
      <c r="B1397" t="str">
        <f>"1996-07-22"</f>
        <v>1996-07-22</v>
      </c>
      <c r="C1397" t="str">
        <f>"65 16 269791"</f>
        <v>65 16 269791</v>
      </c>
      <c r="D1397" t="str">
        <f>"4279011670655391"</f>
        <v>4279011670655391</v>
      </c>
      <c r="E1397" t="str">
        <f t="shared" si="233"/>
        <v>2021-05-31</v>
      </c>
      <c r="F1397" t="str">
        <f t="shared" si="232"/>
        <v>+</v>
      </c>
      <c r="G1397" t="str">
        <f>"W"</f>
        <v>W</v>
      </c>
      <c r="H1397" t="str">
        <f>"40817810116991391468"</f>
        <v>40817810116991391468</v>
      </c>
      <c r="I1397" t="str">
        <f>"7003"</f>
        <v>7003</v>
      </c>
      <c r="J1397" t="str">
        <f>"0898"</f>
        <v>0898</v>
      </c>
      <c r="K1397" t="str">
        <f>"50000.00"</f>
        <v>50000.00</v>
      </c>
      <c r="L1397" t="str">
        <f>"620000 ОБЛ СВЕРДЛОВСКАЯ   Г ЕКАТЕРИНБУРГ   УЛ РЕПИНА д. 4А"</f>
        <v>620000 ОБЛ СВЕРДЛОВСКАЯ   Г ЕКАТЕРИНБУРГ   УЛ РЕПИНА д. 4А</v>
      </c>
      <c r="M1397" t="str">
        <f t="shared" si="224"/>
        <v>2019-08-24</v>
      </c>
      <c r="N1397" t="str">
        <f>"ФКУЗ МСЧ МВД РОССИИ ПО СО"</f>
        <v>ФКУЗ МСЧ МВД РОССИИ ПО СО</v>
      </c>
      <c r="O1397" t="str">
        <f>"620000"</f>
        <v>620000</v>
      </c>
      <c r="P1397" t="str">
        <f>"ОБЛ СВЕРДЛОВСКАЯ"</f>
        <v>ОБЛ СВЕРДЛОВСКАЯ</v>
      </c>
      <c r="Q1397" t="str">
        <f>""</f>
        <v/>
      </c>
      <c r="R1397" t="str">
        <f>"Г ЕКАТЕРИНБУРГ"</f>
        <v>Г ЕКАТЕРИНБУРГ</v>
      </c>
      <c r="S1397" t="str">
        <f>""</f>
        <v/>
      </c>
      <c r="T1397" t="str">
        <f>"УЛ ЭНТУЗИАСТОВ"</f>
        <v>УЛ ЭНТУЗИАСТОВ</v>
      </c>
      <c r="U1397" s="1" t="str">
        <f>"35"</f>
        <v>35</v>
      </c>
      <c r="V1397" s="1" t="str">
        <f>""</f>
        <v/>
      </c>
      <c r="W1397" s="1" t="str">
        <f>""</f>
        <v/>
      </c>
      <c r="X1397" s="1" t="str">
        <f>""</f>
        <v/>
      </c>
      <c r="Y1397" s="1" t="str">
        <f>"8"</f>
        <v>8</v>
      </c>
      <c r="Z1397" t="str">
        <f>"9222159593"</f>
        <v>9222159593</v>
      </c>
      <c r="AA1397" t="str">
        <f>"9222159593"</f>
        <v>9222159593</v>
      </c>
      <c r="AB1397" t="str">
        <f>"9222159593"</f>
        <v>9222159593</v>
      </c>
      <c r="AC1397" t="str">
        <f>"9222159593"</f>
        <v>9222159593</v>
      </c>
      <c r="AD1397" t="str">
        <f>"9222159593"</f>
        <v>9222159593</v>
      </c>
      <c r="AE1397" t="str">
        <f>"9222159593"</f>
        <v>9222159593</v>
      </c>
    </row>
    <row r="1398" spans="1:31" x14ac:dyDescent="0.45">
      <c r="A1398" t="str">
        <f>"ВЕРНАЯ АЛЕКСАНДРА ВЛАДИМИРОВНА"</f>
        <v>ВЕРНАЯ АЛЕКСАНДРА ВЛАДИМИРОВНА</v>
      </c>
      <c r="B1398" t="str">
        <f>"1992-06-28"</f>
        <v>1992-06-28</v>
      </c>
      <c r="C1398" t="str">
        <f>"65 17 442546"</f>
        <v>65 17 442546</v>
      </c>
      <c r="D1398" t="str">
        <f>"4279011623915108"</f>
        <v>4279011623915108</v>
      </c>
      <c r="E1398" t="str">
        <f t="shared" si="233"/>
        <v>2021-05-31</v>
      </c>
      <c r="F1398" t="str">
        <f t="shared" si="232"/>
        <v>+</v>
      </c>
      <c r="G1398" t="str">
        <f>"+"</f>
        <v>+</v>
      </c>
      <c r="H1398" t="str">
        <f>"40817810616991391476"</f>
        <v>40817810616991391476</v>
      </c>
      <c r="I1398" t="str">
        <f>"7003"</f>
        <v>7003</v>
      </c>
      <c r="J1398" t="str">
        <f>"0359"</f>
        <v>0359</v>
      </c>
      <c r="K1398" t="str">
        <f>"10000.00"</f>
        <v>10000.00</v>
      </c>
      <c r="L1398" t="str">
        <f>"620000 ОБЛ СВЕРДЛОВСКАЯ   Г ЕКАТЕРИНБУРГ   УЛ КУЛЬТУРЫ д. 44"</f>
        <v>620000 ОБЛ СВЕРДЛОВСКАЯ   Г ЕКАТЕРИНБУРГ   УЛ КУЛЬТУРЫ д. 44</v>
      </c>
      <c r="M1398" t="str">
        <f t="shared" si="224"/>
        <v>2019-08-24</v>
      </c>
      <c r="N1398" t="str">
        <f>"ИП МИГЕРКИН РОМАН ИГОРЕВИЧ"</f>
        <v>ИП МИГЕРКИН РОМАН ИГОРЕВИЧ</v>
      </c>
      <c r="O1398" t="str">
        <f>"620000"</f>
        <v>620000</v>
      </c>
      <c r="P1398" t="str">
        <f>"ОБЛ СВЕРДЛОВСКАЯ"</f>
        <v>ОБЛ СВЕРДЛОВСКАЯ</v>
      </c>
      <c r="Q1398" t="str">
        <f>""</f>
        <v/>
      </c>
      <c r="R1398" t="str">
        <f>"Г ЕАТЕРИНБУРГ"</f>
        <v>Г ЕАТЕРИНБУРГ</v>
      </c>
      <c r="S1398" t="str">
        <f>""</f>
        <v/>
      </c>
      <c r="T1398" t="str">
        <f>"УЛ БИСЕРТСКАЯ"</f>
        <v>УЛ БИСЕРТСКАЯ</v>
      </c>
      <c r="U1398" s="1" t="str">
        <f>"97"</f>
        <v>97</v>
      </c>
      <c r="V1398" s="1" t="str">
        <f>""</f>
        <v/>
      </c>
      <c r="W1398" s="1" t="str">
        <f>""</f>
        <v/>
      </c>
      <c r="X1398" s="1" t="str">
        <f>""</f>
        <v/>
      </c>
      <c r="Y1398" s="1" t="str">
        <f>""</f>
        <v/>
      </c>
      <c r="Z1398" t="str">
        <f>"9090238356"</f>
        <v>9090238356</v>
      </c>
      <c r="AA1398" t="str">
        <f>"9090238356"</f>
        <v>9090238356</v>
      </c>
      <c r="AB1398" t="str">
        <f>"9505502989"</f>
        <v>9505502989</v>
      </c>
      <c r="AC1398" t="str">
        <f>"9090238356"</f>
        <v>9090238356</v>
      </c>
      <c r="AD1398" t="str">
        <f>"9090238356"</f>
        <v>9090238356</v>
      </c>
      <c r="AE1398" t="str">
        <f>"9090238356"</f>
        <v>9090238356</v>
      </c>
    </row>
    <row r="1399" spans="1:31" x14ac:dyDescent="0.45">
      <c r="A1399" t="str">
        <f>"ВАСИЛЬЕВА ТАТЬЯНА АЛЕКСАНДРОВНА"</f>
        <v>ВАСИЛЬЕВА ТАТЬЯНА АЛЕКСАНДРОВНА</v>
      </c>
      <c r="B1399" t="str">
        <f>"1995-04-23"</f>
        <v>1995-04-23</v>
      </c>
      <c r="C1399" t="str">
        <f>"75 16 811512"</f>
        <v>75 16 811512</v>
      </c>
      <c r="D1399" t="str">
        <f>"4279011636054499"</f>
        <v>4279011636054499</v>
      </c>
      <c r="E1399" t="str">
        <f t="shared" si="233"/>
        <v>2021-05-31</v>
      </c>
      <c r="F1399" t="str">
        <f t="shared" si="232"/>
        <v>+</v>
      </c>
      <c r="G1399" t="str">
        <f>"+"</f>
        <v>+</v>
      </c>
      <c r="H1399" t="str">
        <f>"40817810816991391470"</f>
        <v>40817810816991391470</v>
      </c>
      <c r="I1399" t="str">
        <f>"8597"</f>
        <v>8597</v>
      </c>
      <c r="J1399" t="str">
        <f>"0266"</f>
        <v>0266</v>
      </c>
      <c r="K1399" t="str">
        <f>"100000.00"</f>
        <v>100000.00</v>
      </c>
      <c r="L1399" t="str">
        <f>"454000 ОБЛ ЧЕЛЯБИНСКАЯ   Г ЧЕЛЯБИНСК   УЛ ЗАЛЬЦМАНА д. 16"</f>
        <v>454000 ОБЛ ЧЕЛЯБИНСКАЯ   Г ЧЕЛЯБИНСК   УЛ ЗАЛЬЦМАНА д. 16</v>
      </c>
      <c r="M1399" t="str">
        <f t="shared" si="224"/>
        <v>2019-08-24</v>
      </c>
      <c r="N1399" t="str">
        <f>"АО ОАС"</f>
        <v>АО ОАС</v>
      </c>
      <c r="O1399" t="str">
        <f>"454000"</f>
        <v>454000</v>
      </c>
      <c r="P1399" t="str">
        <f>"ОБЛ ЧЕЛЯБИНСКАЯ"</f>
        <v>ОБЛ ЧЕЛЯБИНСКАЯ</v>
      </c>
      <c r="Q1399" t="str">
        <f>"Р-Н КОРКИНСКИЙ"</f>
        <v>Р-Н КОРКИНСКИЙ</v>
      </c>
      <c r="R1399" t="str">
        <f>"Г КОРКИНО"</f>
        <v>Г КОРКИНО</v>
      </c>
      <c r="S1399" t="str">
        <f>""</f>
        <v/>
      </c>
      <c r="T1399" t="str">
        <f>"УЛ 30 ЛЕТ ВЛКСМ"</f>
        <v>УЛ 30 ЛЕТ ВЛКСМ</v>
      </c>
      <c r="U1399" s="1" t="str">
        <f>"41Б"</f>
        <v>41Б</v>
      </c>
      <c r="V1399" s="1" t="str">
        <f>""</f>
        <v/>
      </c>
      <c r="W1399" s="1" t="str">
        <f>""</f>
        <v/>
      </c>
      <c r="X1399" s="1" t="str">
        <f>""</f>
        <v/>
      </c>
      <c r="Y1399" s="1" t="str">
        <f>"39"</f>
        <v>39</v>
      </c>
      <c r="Z1399" t="str">
        <f>"3517244809"</f>
        <v>3517244809</v>
      </c>
      <c r="AA1399" t="str">
        <f>"9511170780"</f>
        <v>9511170780</v>
      </c>
      <c r="AB1399" t="str">
        <f>"9511170780"</f>
        <v>9511170780</v>
      </c>
      <c r="AC1399" t="str">
        <f>"9511170780"</f>
        <v>9511170780</v>
      </c>
      <c r="AD1399" t="str">
        <f>"9511170780"</f>
        <v>9511170780</v>
      </c>
      <c r="AE1399" t="str">
        <f>"3517244809"</f>
        <v>3517244809</v>
      </c>
    </row>
    <row r="1400" spans="1:31" x14ac:dyDescent="0.45">
      <c r="A1400" t="str">
        <f>"КАЛИК КСЕНИЯ ЮРЬЕВНА"</f>
        <v>КАЛИК КСЕНИЯ ЮРЬЕВНА</v>
      </c>
      <c r="B1400" t="str">
        <f>"1992-03-11"</f>
        <v>1992-03-11</v>
      </c>
      <c r="C1400" t="str">
        <f>"80 11 307277"</f>
        <v>80 11 307277</v>
      </c>
      <c r="D1400" t="str">
        <f>"4279011679665698"</f>
        <v>4279011679665698</v>
      </c>
      <c r="E1400" t="str">
        <f t="shared" si="233"/>
        <v>2021-05-31</v>
      </c>
      <c r="F1400" t="str">
        <f t="shared" si="232"/>
        <v>+</v>
      </c>
      <c r="G1400" t="str">
        <f>"W"</f>
        <v>W</v>
      </c>
      <c r="H1400" t="str">
        <f>"40817810416991391472"</f>
        <v>40817810416991391472</v>
      </c>
      <c r="I1400" t="str">
        <f>"8598"</f>
        <v>8598</v>
      </c>
      <c r="J1400" t="str">
        <f>"0214"</f>
        <v>0214</v>
      </c>
      <c r="K1400" t="str">
        <f>"23000.00"</f>
        <v>23000.00</v>
      </c>
      <c r="L1400" t="str">
        <f>"450000 РЕСП БАШКОРТОСТАН   Г УФА   УЛ ПАРХОМЕНКО д. 156 корп. 2"</f>
        <v>450000 РЕСП БАШКОРТОСТАН   Г УФА   УЛ ПАРХОМЕНКО д. 156 корп. 2</v>
      </c>
      <c r="M1400" t="str">
        <f t="shared" si="224"/>
        <v>2019-08-24</v>
      </c>
      <c r="N1400" t="str">
        <f>"ООО ВЕРТИКАЛЬ"</f>
        <v>ООО ВЕРТИКАЛЬ</v>
      </c>
      <c r="O1400" t="str">
        <f>"450000"</f>
        <v>450000</v>
      </c>
      <c r="P1400" t="str">
        <f>"РЕСП БАШКОРТОСТАН"</f>
        <v>РЕСП БАШКОРТОСТАН</v>
      </c>
      <c r="Q1400" t="str">
        <f>"Р-Н НУРИМАНОВСКИЙ"</f>
        <v>Р-Н НУРИМАНОВСКИЙ</v>
      </c>
      <c r="R1400" t="str">
        <f>""</f>
        <v/>
      </c>
      <c r="S1400" t="str">
        <f>"С КРАСНЫЙ КЛЮЧ"</f>
        <v>С КРАСНЫЙ КЛЮЧ</v>
      </c>
      <c r="T1400" t="str">
        <f>"УЛ ВАЛЕЕВА"</f>
        <v>УЛ ВАЛЕЕВА</v>
      </c>
      <c r="U1400" s="1" t="str">
        <f>"16"</f>
        <v>16</v>
      </c>
      <c r="V1400" s="1" t="str">
        <f>""</f>
        <v/>
      </c>
      <c r="W1400" s="1" t="str">
        <f>""</f>
        <v/>
      </c>
      <c r="X1400" s="1" t="str">
        <f>""</f>
        <v/>
      </c>
      <c r="Y1400" s="1" t="str">
        <f>""</f>
        <v/>
      </c>
      <c r="Z1400" t="str">
        <f>""</f>
        <v/>
      </c>
      <c r="AA1400" t="str">
        <f>"9174555419"</f>
        <v>9174555419</v>
      </c>
      <c r="AB1400" t="str">
        <f>"9174555419"</f>
        <v>9174555419</v>
      </c>
      <c r="AC1400" t="str">
        <f>"9174555419"</f>
        <v>9174555419</v>
      </c>
      <c r="AD1400" t="str">
        <f>"9174555419"</f>
        <v>9174555419</v>
      </c>
      <c r="AE1400" t="str">
        <f>""</f>
        <v/>
      </c>
    </row>
    <row r="1401" spans="1:31" x14ac:dyDescent="0.45">
      <c r="A1401" t="str">
        <f>"ТЕЛЕУСОВ ДЕНИС АЛЕКСАНДРОВИЧ"</f>
        <v>ТЕЛЕУСОВ ДЕНИС АЛЕКСАНДРОВИЧ</v>
      </c>
      <c r="B1401" t="str">
        <f>"1983-06-27"</f>
        <v>1983-06-27</v>
      </c>
      <c r="C1401" t="str">
        <f>"65 05 401131"</f>
        <v>65 05 401131</v>
      </c>
      <c r="D1401" t="str">
        <f>"4279011610499298"</f>
        <v>4279011610499298</v>
      </c>
      <c r="E1401" t="str">
        <f t="shared" si="233"/>
        <v>2021-05-31</v>
      </c>
      <c r="F1401" t="str">
        <f t="shared" si="232"/>
        <v>+</v>
      </c>
      <c r="G1401" t="str">
        <f t="shared" si="232"/>
        <v>+</v>
      </c>
      <c r="H1401" t="str">
        <f>"40817810716991391473"</f>
        <v>40817810716991391473</v>
      </c>
      <c r="I1401" t="str">
        <f>"7003"</f>
        <v>7003</v>
      </c>
      <c r="J1401" t="str">
        <f>"0690"</f>
        <v>0690</v>
      </c>
      <c r="K1401" t="str">
        <f>"20000.00"</f>
        <v>20000.00</v>
      </c>
      <c r="L1401" t="str">
        <f>"364000 РЕСП ЧЕЧЕНСКАЯ   Г ГРОЗНЫЙ   УЛ КАЛИНИНА д. 1"</f>
        <v>364000 РЕСП ЧЕЧЕНСКАЯ   Г ГРОЗНЫЙ   УЛ КАЛИНИНА д. 1</v>
      </c>
      <c r="M1401" t="str">
        <f t="shared" si="224"/>
        <v>2019-08-24</v>
      </c>
      <c r="N1401" t="str">
        <f>"В/Ч 3761"</f>
        <v>В/Ч 3761</v>
      </c>
      <c r="O1401" t="str">
        <f>"620000"</f>
        <v>620000</v>
      </c>
      <c r="P1401" t="str">
        <f>"ОБЛ СВЕРДЛОВСКАЯ"</f>
        <v>ОБЛ СВЕРДЛОВСКАЯ</v>
      </c>
      <c r="Q1401" t="str">
        <f>""</f>
        <v/>
      </c>
      <c r="R1401" t="str">
        <f>"Г ПЕРВОУРАЛЬСК"</f>
        <v>Г ПЕРВОУРАЛЬСК</v>
      </c>
      <c r="S1401" t="str">
        <f>""</f>
        <v/>
      </c>
      <c r="T1401" t="str">
        <f>"УЛ 1 МАЯ"</f>
        <v>УЛ 1 МАЯ</v>
      </c>
      <c r="U1401" s="1" t="str">
        <f>"19"</f>
        <v>19</v>
      </c>
      <c r="V1401" s="1" t="str">
        <f>""</f>
        <v/>
      </c>
      <c r="W1401" s="1" t="str">
        <f>""</f>
        <v/>
      </c>
      <c r="X1401" s="1" t="str">
        <f>""</f>
        <v/>
      </c>
      <c r="Y1401" s="1" t="str">
        <f>"16"</f>
        <v>16</v>
      </c>
      <c r="Z1401" t="str">
        <f>""</f>
        <v/>
      </c>
      <c r="AA1401" t="str">
        <f>"9292008958"</f>
        <v>9292008958</v>
      </c>
      <c r="AB1401" t="str">
        <f>"9292008958"</f>
        <v>9292008958</v>
      </c>
      <c r="AC1401" t="str">
        <f>"9292008958"</f>
        <v>9292008958</v>
      </c>
      <c r="AD1401" t="str">
        <f>"9292008958"</f>
        <v>9292008958</v>
      </c>
      <c r="AE1401" t="str">
        <f>""</f>
        <v/>
      </c>
    </row>
    <row r="1402" spans="1:31" x14ac:dyDescent="0.45">
      <c r="A1402" t="str">
        <f>"КРУТИНЬ АЛЕКСАНДР ВИКТОРОВИЧ"</f>
        <v>КРУТИНЬ АЛЕКСАНДР ВИКТОРОВИЧ</v>
      </c>
      <c r="B1402" t="str">
        <f>"1990-03-01"</f>
        <v>1990-03-01</v>
      </c>
      <c r="C1402" t="str">
        <f>"65 11 003939"</f>
        <v>65 11 003939</v>
      </c>
      <c r="D1402" t="str">
        <f>"4279011669527288"</f>
        <v>4279011669527288</v>
      </c>
      <c r="E1402" t="str">
        <f t="shared" si="233"/>
        <v>2021-05-31</v>
      </c>
      <c r="F1402" t="str">
        <f t="shared" si="232"/>
        <v>+</v>
      </c>
      <c r="G1402" t="str">
        <f t="shared" si="232"/>
        <v>+</v>
      </c>
      <c r="H1402" t="str">
        <f>"40817810416991391469"</f>
        <v>40817810416991391469</v>
      </c>
      <c r="I1402" t="str">
        <f>"7003"</f>
        <v>7003</v>
      </c>
      <c r="J1402" t="str">
        <f>"0381"</f>
        <v>0381</v>
      </c>
      <c r="K1402" t="str">
        <f>"430000.00"</f>
        <v>430000.00</v>
      </c>
      <c r="L1402" t="str">
        <f>"620000 ОБЛ СВЕРДЛОВСКАЯ   Г ЕКАТЕРИНБУРГ   УЛ ШЕФСКАЯ д. 3А офис 2"</f>
        <v>620000 ОБЛ СВЕРДЛОВСКАЯ   Г ЕКАТЕРИНБУРГ   УЛ ШЕФСКАЯ д. 3А офис 2</v>
      </c>
      <c r="M1402" t="str">
        <f t="shared" si="224"/>
        <v>2019-08-24</v>
      </c>
      <c r="N1402" t="str">
        <f>"ООО В8"</f>
        <v>ООО В8</v>
      </c>
      <c r="O1402" t="str">
        <f>"620000"</f>
        <v>620000</v>
      </c>
      <c r="P1402" t="str">
        <f>"ОБЛ СВЕРДЛОВСКАЯ"</f>
        <v>ОБЛ СВЕРДЛОВСКАЯ</v>
      </c>
      <c r="Q1402" t="str">
        <f>""</f>
        <v/>
      </c>
      <c r="R1402" t="str">
        <f>"Г ЕКАТЕРИНБУРГ"</f>
        <v>Г ЕКАТЕРИНБУРГ</v>
      </c>
      <c r="S1402" t="str">
        <f>""</f>
        <v/>
      </c>
      <c r="T1402" t="str">
        <f>"УЛ ВЛАДИМИРА ВЫСОЦКОГО"</f>
        <v>УЛ ВЛАДИМИРА ВЫСОЦКОГО</v>
      </c>
      <c r="U1402" s="1" t="str">
        <f>"2"</f>
        <v>2</v>
      </c>
      <c r="V1402" s="1" t="str">
        <f>""</f>
        <v/>
      </c>
      <c r="W1402" s="1" t="str">
        <f>""</f>
        <v/>
      </c>
      <c r="X1402" s="1" t="str">
        <f>""</f>
        <v/>
      </c>
      <c r="Y1402" s="1" t="str">
        <f>"179"</f>
        <v>179</v>
      </c>
      <c r="Z1402" t="str">
        <f>""</f>
        <v/>
      </c>
      <c r="AA1402" t="str">
        <f>"9632739280"</f>
        <v>9632739280</v>
      </c>
      <c r="AB1402" t="str">
        <f>"9632739280"</f>
        <v>9632739280</v>
      </c>
      <c r="AC1402" t="str">
        <f>"9632739280"</f>
        <v>9632739280</v>
      </c>
      <c r="AD1402" t="str">
        <f>"9632739280"</f>
        <v>9632739280</v>
      </c>
      <c r="AE1402" t="str">
        <f>""</f>
        <v/>
      </c>
    </row>
    <row r="1403" spans="1:31" x14ac:dyDescent="0.45">
      <c r="A1403" t="str">
        <f>"УТЮПИНА ВЕРА ВЛАДИМИРОВНА"</f>
        <v>УТЮПИНА ВЕРА ВЛАДИМИРОВНА</v>
      </c>
      <c r="B1403" t="str">
        <f>"1980-03-06"</f>
        <v>1980-03-06</v>
      </c>
      <c r="C1403" t="str">
        <f>"65 08 435964"</f>
        <v>65 08 435964</v>
      </c>
      <c r="D1403" t="str">
        <f>"4279011616197839"</f>
        <v>4279011616197839</v>
      </c>
      <c r="E1403" t="str">
        <f t="shared" si="233"/>
        <v>2021-05-31</v>
      </c>
      <c r="F1403" t="str">
        <f t="shared" si="232"/>
        <v>+</v>
      </c>
      <c r="G1403" t="str">
        <f t="shared" si="232"/>
        <v>+</v>
      </c>
      <c r="H1403" t="str">
        <f>"40817810916991391639"</f>
        <v>40817810916991391639</v>
      </c>
      <c r="I1403" t="str">
        <f>"7003"</f>
        <v>7003</v>
      </c>
      <c r="J1403" t="str">
        <f>"0409"</f>
        <v>0409</v>
      </c>
      <c r="K1403" t="str">
        <f>"200000.00"</f>
        <v>200000.00</v>
      </c>
      <c r="L1403" t="str">
        <f>"620000 ОБЛ СВЕРДЛОВСКАЯ   Г ЕКАТЕРИНБУРГ   УЛ ВИЛЬГЕЛЬМА ДЕ ГЕННИНА д. 30"</f>
        <v>620000 ОБЛ СВЕРДЛОВСКАЯ   Г ЕКАТЕРИНБУРГ   УЛ ВИЛЬГЕЛЬМА ДЕ ГЕННИНА д. 30</v>
      </c>
      <c r="M1403" t="str">
        <f t="shared" si="224"/>
        <v>2019-08-24</v>
      </c>
      <c r="N1403" t="str">
        <f>"ПАО МЕДКОМБАНК"</f>
        <v>ПАО МЕДКОМБАНК</v>
      </c>
      <c r="O1403" t="str">
        <f>"620000"</f>
        <v>620000</v>
      </c>
      <c r="P1403" t="str">
        <f>"ОБЛ СВЕРДЛОВСКАЯ"</f>
        <v>ОБЛ СВЕРДЛОВСКАЯ</v>
      </c>
      <c r="Q1403" t="str">
        <f>""</f>
        <v/>
      </c>
      <c r="R1403" t="str">
        <f>"Г ЕКАТЕРИНБУРГ"</f>
        <v>Г ЕКАТЕРИНБУРГ</v>
      </c>
      <c r="S1403" t="str">
        <f>""</f>
        <v/>
      </c>
      <c r="T1403" t="str">
        <f>"УЛ ПАВЛА ШАМАНОВА"</f>
        <v>УЛ ПАВЛА ШАМАНОВА</v>
      </c>
      <c r="U1403" s="1" t="str">
        <f>"48"</f>
        <v>48</v>
      </c>
      <c r="V1403" s="1" t="str">
        <f>""</f>
        <v/>
      </c>
      <c r="W1403" s="1" t="str">
        <f>""</f>
        <v/>
      </c>
      <c r="X1403" s="1" t="str">
        <f>""</f>
        <v/>
      </c>
      <c r="Y1403" s="1" t="str">
        <f>"74"</f>
        <v>74</v>
      </c>
      <c r="Z1403" t="str">
        <f>""</f>
        <v/>
      </c>
      <c r="AA1403" t="str">
        <f>"+7 (904) 9801997"</f>
        <v>+7 (904) 9801997</v>
      </c>
      <c r="AB1403" t="str">
        <f>"+7 (904) 9801997"</f>
        <v>+7 (904) 9801997</v>
      </c>
      <c r="AC1403" t="str">
        <f>"9049801997"</f>
        <v>9049801997</v>
      </c>
      <c r="AD1403" t="str">
        <f>"9049801997"</f>
        <v>9049801997</v>
      </c>
      <c r="AE1403" t="str">
        <f>""</f>
        <v/>
      </c>
    </row>
    <row r="1404" spans="1:31" x14ac:dyDescent="0.45">
      <c r="A1404" t="str">
        <f>"ШМАКОВА МАРИЯ КАРИМОВНА"</f>
        <v>ШМАКОВА МАРИЯ КАРИМОВНА</v>
      </c>
      <c r="B1404" t="str">
        <f>"1952-12-24"</f>
        <v>1952-12-24</v>
      </c>
      <c r="C1404" t="str">
        <f>"37 02 486981"</f>
        <v>37 02 486981</v>
      </c>
      <c r="D1404" t="str">
        <f>"4279011690494318"</f>
        <v>4279011690494318</v>
      </c>
      <c r="E1404" t="str">
        <f t="shared" si="233"/>
        <v>2021-05-31</v>
      </c>
      <c r="F1404" t="str">
        <f t="shared" si="232"/>
        <v>+</v>
      </c>
      <c r="G1404" t="str">
        <f t="shared" si="232"/>
        <v>+</v>
      </c>
      <c r="H1404" t="str">
        <f>"40817810516991391628"</f>
        <v>40817810516991391628</v>
      </c>
      <c r="I1404" t="str">
        <f>"8599"</f>
        <v>8599</v>
      </c>
      <c r="J1404" t="str">
        <f>"0049"</f>
        <v>0049</v>
      </c>
      <c r="K1404" t="str">
        <f>"85000.00"</f>
        <v>85000.00</v>
      </c>
      <c r="L1404" t="str">
        <f>"641000 ОБЛ КУРГАНСКАЯ   Г КУРГАН   ПР-КТ КОНСТИТУЦИИ д. 7"</f>
        <v>641000 ОБЛ КУРГАНСКАЯ   Г КУРГАН   ПР-КТ КОНСТИТУЦИИ д. 7</v>
      </c>
      <c r="M1404" t="str">
        <f t="shared" si="224"/>
        <v>2019-08-24</v>
      </c>
      <c r="N1404" t="s">
        <v>88</v>
      </c>
      <c r="O1404" t="str">
        <f>"641000"</f>
        <v>641000</v>
      </c>
      <c r="P1404" t="str">
        <f>"ОБЛ КУРГАНСКАЯ"</f>
        <v>ОБЛ КУРГАНСКАЯ</v>
      </c>
      <c r="Q1404" t="str">
        <f>""</f>
        <v/>
      </c>
      <c r="R1404" t="str">
        <f>"Г КУРГАН"</f>
        <v>Г КУРГАН</v>
      </c>
      <c r="S1404" t="str">
        <f>"МКР ЧЕРЕСУХОВО"</f>
        <v>МКР ЧЕРЕСУХОВО</v>
      </c>
      <c r="T1404" t="str">
        <f>"УЛ МОЛОДЕЖНАЯ"</f>
        <v>УЛ МОЛОДЕЖНАЯ</v>
      </c>
      <c r="U1404" s="1" t="str">
        <f>"1"</f>
        <v>1</v>
      </c>
      <c r="V1404" s="1" t="str">
        <f>""</f>
        <v/>
      </c>
      <c r="W1404" s="1" t="str">
        <f>""</f>
        <v/>
      </c>
      <c r="X1404" s="1" t="str">
        <f>""</f>
        <v/>
      </c>
      <c r="Y1404" s="1" t="str">
        <f>"1"</f>
        <v>1</v>
      </c>
      <c r="Z1404" t="str">
        <f>""</f>
        <v/>
      </c>
      <c r="AA1404" t="str">
        <f>"9634391641"</f>
        <v>9634391641</v>
      </c>
      <c r="AB1404" t="str">
        <f>"9195748226"</f>
        <v>9195748226</v>
      </c>
      <c r="AC1404" t="str">
        <f>"9634391641"</f>
        <v>9634391641</v>
      </c>
      <c r="AD1404" t="str">
        <f>"9195748226"</f>
        <v>9195748226</v>
      </c>
      <c r="AE1404" t="str">
        <f>""</f>
        <v/>
      </c>
    </row>
    <row r="1405" spans="1:31" x14ac:dyDescent="0.45">
      <c r="A1405" t="str">
        <f>"ФАКЕЕВА НЕЛЛЯ ИДРИСОВНА"</f>
        <v>ФАКЕЕВА НЕЛЛЯ ИДРИСОВНА</v>
      </c>
      <c r="B1405" t="str">
        <f>"1990-09-05"</f>
        <v>1990-09-05</v>
      </c>
      <c r="C1405" t="str">
        <f>"80 11 490452"</f>
        <v>80 11 490452</v>
      </c>
      <c r="D1405" t="str">
        <f>"4279011637382915"</f>
        <v>4279011637382915</v>
      </c>
      <c r="E1405" t="str">
        <f t="shared" si="233"/>
        <v>2021-05-31</v>
      </c>
      <c r="F1405" t="str">
        <f t="shared" si="232"/>
        <v>+</v>
      </c>
      <c r="G1405" t="str">
        <f t="shared" si="232"/>
        <v>+</v>
      </c>
      <c r="H1405" t="str">
        <f>"40817810216991391630"</f>
        <v>40817810216991391630</v>
      </c>
      <c r="I1405" t="str">
        <f>"8598"</f>
        <v>8598</v>
      </c>
      <c r="J1405" t="str">
        <f>"0172"</f>
        <v>0172</v>
      </c>
      <c r="K1405" t="str">
        <f>"24000.00"</f>
        <v>24000.00</v>
      </c>
      <c r="L1405" t="str">
        <f>"450095 РЕСП БАШКОРТОСТАН   Г УФА   ПЕР ЯКУБА КОЛАСА д. 125"</f>
        <v>450095 РЕСП БАШКОРТОСТАН   Г УФА   ПЕР ЯКУБА КОЛАСА д. 125</v>
      </c>
      <c r="M1405" t="str">
        <f t="shared" si="224"/>
        <v>2019-08-24</v>
      </c>
      <c r="N1405" t="str">
        <f>"ООО УФИМКАБЕЛЬ"</f>
        <v>ООО УФИМКАБЕЛЬ</v>
      </c>
      <c r="O1405" t="str">
        <f>"450000"</f>
        <v>450000</v>
      </c>
      <c r="P1405" t="str">
        <f>"РЕСП БАШКОРТОСТАН"</f>
        <v>РЕСП БАШКОРТОСТАН</v>
      </c>
      <c r="Q1405" t="str">
        <f>""</f>
        <v/>
      </c>
      <c r="R1405" t="str">
        <f>"Г УФА"</f>
        <v>Г УФА</v>
      </c>
      <c r="S1405" t="str">
        <f>""</f>
        <v/>
      </c>
      <c r="T1405" t="str">
        <f>"УЛ ГРОЗНЕНСКАЯ"</f>
        <v>УЛ ГРОЗНЕНСКАЯ</v>
      </c>
      <c r="U1405" s="1" t="str">
        <f>"67"</f>
        <v>67</v>
      </c>
      <c r="V1405" s="1" t="str">
        <f>""</f>
        <v/>
      </c>
      <c r="W1405" s="1" t="str">
        <f>"5"</f>
        <v>5</v>
      </c>
      <c r="X1405" s="1" t="str">
        <f>""</f>
        <v/>
      </c>
      <c r="Y1405" s="1" t="str">
        <f>"37"</f>
        <v>37</v>
      </c>
      <c r="Z1405" t="str">
        <f>"3472867724"</f>
        <v>3472867724</v>
      </c>
      <c r="AA1405" t="str">
        <f>"9373593105"</f>
        <v>9373593105</v>
      </c>
      <c r="AB1405" t="str">
        <f>"9373593105"</f>
        <v>9373593105</v>
      </c>
      <c r="AC1405" t="str">
        <f>"9373593105"</f>
        <v>9373593105</v>
      </c>
      <c r="AD1405" t="str">
        <f>"9373593105"</f>
        <v>9373593105</v>
      </c>
      <c r="AE1405" t="str">
        <f>"3472867724"</f>
        <v>3472867724</v>
      </c>
    </row>
    <row r="1406" spans="1:31" x14ac:dyDescent="0.45">
      <c r="A1406" t="str">
        <f>"ПЕЛЬ АНАСТАСИЯ АНДРЕЕВНА"</f>
        <v>ПЕЛЬ АНАСТАСИЯ АНДРЕЕВНА</v>
      </c>
      <c r="B1406" t="str">
        <f>"1986-11-01"</f>
        <v>1986-11-01</v>
      </c>
      <c r="C1406" t="str">
        <f>"75 05 791213"</f>
        <v>75 05 791213</v>
      </c>
      <c r="D1406" t="str">
        <f>"4279011677716717"</f>
        <v>4279011677716717</v>
      </c>
      <c r="E1406" t="str">
        <f t="shared" si="233"/>
        <v>2021-05-31</v>
      </c>
      <c r="F1406" t="str">
        <f t="shared" si="232"/>
        <v>+</v>
      </c>
      <c r="G1406" t="str">
        <f t="shared" si="232"/>
        <v>+</v>
      </c>
      <c r="H1406" t="str">
        <f>"40817810516991391615"</f>
        <v>40817810516991391615</v>
      </c>
      <c r="I1406" t="str">
        <f>"8597"</f>
        <v>8597</v>
      </c>
      <c r="J1406" t="str">
        <f>"0233"</f>
        <v>0233</v>
      </c>
      <c r="K1406" t="str">
        <f>"24000.00"</f>
        <v>24000.00</v>
      </c>
      <c r="L1406" t="str">
        <f>"454047 ОБЛ ЧЕЛЯБИНСКАЯ   Г ЧЕЛЯБИНСК   УЛ 60-ЛЕТИЯ ОКТЯБРЯ д. 30А"</f>
        <v>454047 ОБЛ ЧЕЛЯБИНСКАЯ   Г ЧЕЛЯБИНСК   УЛ 60-ЛЕТИЯ ОКТЯБРЯ д. 30А</v>
      </c>
      <c r="M1406" t="str">
        <f t="shared" si="224"/>
        <v>2019-08-24</v>
      </c>
      <c r="N1406" t="str">
        <f>"МБДОУ ДС №208"</f>
        <v>МБДОУ ДС №208</v>
      </c>
      <c r="O1406" t="str">
        <f>"454047"</f>
        <v>454047</v>
      </c>
      <c r="P1406" t="str">
        <f>"ОБЛ ЧЕЛЯБИНСКАЯ"</f>
        <v>ОБЛ ЧЕЛЯБИНСКАЯ</v>
      </c>
      <c r="Q1406" t="str">
        <f>""</f>
        <v/>
      </c>
      <c r="R1406" t="str">
        <f>"Г ЧЕЛЯБИНСК"</f>
        <v>Г ЧЕЛЯБИНСК</v>
      </c>
      <c r="S1406" t="str">
        <f>""</f>
        <v/>
      </c>
      <c r="T1406" t="str">
        <f>"УЛ 60-ЛЕТИЯ ОКТЯБРЯ"</f>
        <v>УЛ 60-ЛЕТИЯ ОКТЯБРЯ</v>
      </c>
      <c r="U1406" s="1" t="str">
        <f>"38"</f>
        <v>38</v>
      </c>
      <c r="V1406" s="1" t="str">
        <f>""</f>
        <v/>
      </c>
      <c r="W1406" s="1" t="str">
        <f>""</f>
        <v/>
      </c>
      <c r="X1406" s="1" t="str">
        <f>""</f>
        <v/>
      </c>
      <c r="Y1406" s="1" t="str">
        <f>"12"</f>
        <v>12</v>
      </c>
      <c r="Z1406" t="str">
        <f>"3517362764"</f>
        <v>3517362764</v>
      </c>
      <c r="AA1406" t="str">
        <f>"9511235377"</f>
        <v>9511235377</v>
      </c>
      <c r="AB1406" t="str">
        <f>"9518110062"</f>
        <v>9518110062</v>
      </c>
      <c r="AC1406" t="str">
        <f>"9511235377"</f>
        <v>9511235377</v>
      </c>
      <c r="AD1406" t="str">
        <f>"9518110062"</f>
        <v>9518110062</v>
      </c>
      <c r="AE1406" t="str">
        <f>""</f>
        <v/>
      </c>
    </row>
    <row r="1407" spans="1:31" x14ac:dyDescent="0.45">
      <c r="A1407" t="str">
        <f>"ДМИТРИЕВА МАРИНА НИКОЛАЕВНА"</f>
        <v>ДМИТРИЕВА МАРИНА НИКОЛАЕВНА</v>
      </c>
      <c r="B1407" t="str">
        <f>"1983-03-14"</f>
        <v>1983-03-14</v>
      </c>
      <c r="C1407" t="str">
        <f>"65 17 467526"</f>
        <v>65 17 467526</v>
      </c>
      <c r="D1407" t="str">
        <f>"4279011693281829"</f>
        <v>4279011693281829</v>
      </c>
      <c r="E1407" t="str">
        <f t="shared" si="233"/>
        <v>2021-05-31</v>
      </c>
      <c r="F1407" t="str">
        <f t="shared" ref="F1407:G1417" si="234">"+"</f>
        <v>+</v>
      </c>
      <c r="G1407" t="str">
        <f t="shared" si="234"/>
        <v>+</v>
      </c>
      <c r="H1407" t="str">
        <f>"40817810616991391625"</f>
        <v>40817810616991391625</v>
      </c>
      <c r="I1407" t="str">
        <f>"7003"</f>
        <v>7003</v>
      </c>
      <c r="J1407" t="str">
        <f>"0884"</f>
        <v>0884</v>
      </c>
      <c r="K1407" t="str">
        <f>"45000.00"</f>
        <v>45000.00</v>
      </c>
      <c r="L1407" t="str">
        <f>"622000 ОБЛ СВЕРДЛОВСКАЯ   Г НИЖНИЙ ТАГИЛ   УЛ МИРА д. 66"</f>
        <v>622000 ОБЛ СВЕРДЛОВСКАЯ   Г НИЖНИЙ ТАГИЛ   УЛ МИРА д. 66</v>
      </c>
      <c r="M1407" t="str">
        <f t="shared" si="224"/>
        <v>2019-08-24</v>
      </c>
      <c r="N1407" t="str">
        <f>"ИП ПОХЛЕБАЕВА МАРИНА ГЕННАДЬЕВНА"</f>
        <v>ИП ПОХЛЕБАЕВА МАРИНА ГЕННАДЬЕВНА</v>
      </c>
      <c r="O1407" t="str">
        <f>"622018"</f>
        <v>622018</v>
      </c>
      <c r="P1407" t="str">
        <f>"ОБЛ СВЕРДЛОВСКАЯ"</f>
        <v>ОБЛ СВЕРДЛОВСКАЯ</v>
      </c>
      <c r="Q1407" t="str">
        <f>""</f>
        <v/>
      </c>
      <c r="R1407" t="str">
        <f>"Г НИЖНИЙ ТАГИЛ"</f>
        <v>Г НИЖНИЙ ТАГИЛ</v>
      </c>
      <c r="S1407" t="str">
        <f>""</f>
        <v/>
      </c>
      <c r="T1407" t="str">
        <f>"УЛ ЮНОСТИ"</f>
        <v>УЛ ЮНОСТИ</v>
      </c>
      <c r="U1407" s="1" t="str">
        <f>"37"</f>
        <v>37</v>
      </c>
      <c r="V1407" s="1" t="str">
        <f>""</f>
        <v/>
      </c>
      <c r="W1407" s="1" t="str">
        <f>""</f>
        <v/>
      </c>
      <c r="X1407" s="1" t="str">
        <f>""</f>
        <v/>
      </c>
      <c r="Y1407" s="1" t="str">
        <f>"К.69"</f>
        <v>К.69</v>
      </c>
      <c r="Z1407" t="str">
        <f>""</f>
        <v/>
      </c>
      <c r="AA1407" t="str">
        <f>"9220368543"</f>
        <v>9220368543</v>
      </c>
      <c r="AB1407" t="str">
        <f>"9222962796"</f>
        <v>9222962796</v>
      </c>
      <c r="AC1407" t="str">
        <f>"9220368543"</f>
        <v>9220368543</v>
      </c>
      <c r="AD1407" t="str">
        <f>"9222962796"</f>
        <v>9222962796</v>
      </c>
      <c r="AE1407" t="str">
        <f>""</f>
        <v/>
      </c>
    </row>
    <row r="1408" spans="1:31" x14ac:dyDescent="0.45">
      <c r="A1408" t="str">
        <f>"ШАКИРОВ ИЛЬДАР ТАГИРЬЯНОВИЧ"</f>
        <v>ШАКИРОВ ИЛЬДАР ТАГИРЬЯНОВИЧ</v>
      </c>
      <c r="B1408" t="str">
        <f>"1976-06-29"</f>
        <v>1976-06-29</v>
      </c>
      <c r="C1408" t="str">
        <f>"80 02 263784"</f>
        <v>80 02 263784</v>
      </c>
      <c r="D1408" t="str">
        <f>"4817810027400354"</f>
        <v>4817810027400354</v>
      </c>
      <c r="E1408" t="str">
        <f t="shared" si="233"/>
        <v>2021-05-31</v>
      </c>
      <c r="F1408" t="str">
        <f t="shared" si="234"/>
        <v>+</v>
      </c>
      <c r="G1408" t="str">
        <f t="shared" si="234"/>
        <v>+</v>
      </c>
      <c r="H1408" t="str">
        <f>"40817810816991391632"</f>
        <v>40817810816991391632</v>
      </c>
      <c r="I1408" t="str">
        <f>"8598"</f>
        <v>8598</v>
      </c>
      <c r="J1408" t="str">
        <f>"0214"</f>
        <v>0214</v>
      </c>
      <c r="K1408" t="str">
        <f>"175000.00"</f>
        <v>175000.00</v>
      </c>
      <c r="L1408" t="str">
        <f>"450000 РЕСП БАШКОРТОСТАН   Г УФА   УЛ К МАРКСА д. 3"</f>
        <v>450000 РЕСП БАШКОРТОСТАН   Г УФА   УЛ К МАРКСА д. 3</v>
      </c>
      <c r="M1408" t="str">
        <f t="shared" si="224"/>
        <v>2019-08-24</v>
      </c>
      <c r="N1408" t="str">
        <f>"ТПП РБ"</f>
        <v>ТПП РБ</v>
      </c>
      <c r="O1408" t="str">
        <f>"450000"</f>
        <v>450000</v>
      </c>
      <c r="P1408" t="str">
        <f>"РЕСП БАШКОРТОСТАН"</f>
        <v>РЕСП БАШКОРТОСТАН</v>
      </c>
      <c r="Q1408" t="str">
        <f>""</f>
        <v/>
      </c>
      <c r="R1408" t="str">
        <f>"Г УФА"</f>
        <v>Г УФА</v>
      </c>
      <c r="S1408" t="str">
        <f>""</f>
        <v/>
      </c>
      <c r="T1408" t="str">
        <f>"УЛ АК КОРОЛЕВА"</f>
        <v>УЛ АК КОРОЛЕВА</v>
      </c>
      <c r="U1408" s="1" t="str">
        <f>"8"</f>
        <v>8</v>
      </c>
      <c r="V1408" s="1" t="str">
        <f>""</f>
        <v/>
      </c>
      <c r="W1408" s="1" t="str">
        <f>""</f>
        <v/>
      </c>
      <c r="X1408" s="1" t="str">
        <f>""</f>
        <v/>
      </c>
      <c r="Y1408" s="1" t="str">
        <f>"49"</f>
        <v>49</v>
      </c>
      <c r="Z1408" t="str">
        <f>"3472799655"</f>
        <v>3472799655</v>
      </c>
      <c r="AA1408" t="str">
        <f>""</f>
        <v/>
      </c>
      <c r="AB1408" t="str">
        <f>"9177590450"</f>
        <v>9177590450</v>
      </c>
      <c r="AC1408" t="str">
        <f>"3472361924"</f>
        <v>3472361924</v>
      </c>
      <c r="AD1408" t="str">
        <f>"9177590450"</f>
        <v>9177590450</v>
      </c>
      <c r="AE1408" t="str">
        <f>"3472762052"</f>
        <v>3472762052</v>
      </c>
    </row>
    <row r="1409" spans="1:31" x14ac:dyDescent="0.45">
      <c r="A1409" t="str">
        <f>"ПАНЧЕНКО ОЛЬГА АЛЕКСАНДРОВНА"</f>
        <v>ПАНЧЕНКО ОЛЬГА АЛЕКСАНДРОВНА</v>
      </c>
      <c r="B1409" t="str">
        <f>"1985-09-19"</f>
        <v>1985-09-19</v>
      </c>
      <c r="C1409" t="str">
        <f>"65 05 598274"</f>
        <v>65 05 598274</v>
      </c>
      <c r="D1409" t="str">
        <f>"4279011698560219"</f>
        <v>4279011698560219</v>
      </c>
      <c r="E1409" t="str">
        <f t="shared" si="233"/>
        <v>2021-05-31</v>
      </c>
      <c r="F1409" t="str">
        <f t="shared" si="234"/>
        <v>+</v>
      </c>
      <c r="G1409" t="str">
        <f t="shared" si="234"/>
        <v>+</v>
      </c>
      <c r="H1409" t="str">
        <f>"40817810216991391656"</f>
        <v>40817810216991391656</v>
      </c>
      <c r="I1409" t="str">
        <f>"7003"</f>
        <v>7003</v>
      </c>
      <c r="J1409" t="str">
        <f>"0740"</f>
        <v>0740</v>
      </c>
      <c r="K1409" t="str">
        <f>"410000.00"</f>
        <v>410000.00</v>
      </c>
      <c r="L1409" t="str">
        <f>"622051 ОБЛ СВЕРДЛОВСКАЯ   Г НИЖНИЙ ТАГИЛ   Ш ВОСТОЧНОЕ д. 28"</f>
        <v>622051 ОБЛ СВЕРДЛОВСКАЯ   Г НИЖНИЙ ТАГИЛ   Ш ВОСТОЧНОЕ д. 28</v>
      </c>
      <c r="M1409" t="str">
        <f t="shared" si="224"/>
        <v>2019-08-24</v>
      </c>
      <c r="N1409" t="str">
        <f>"-"</f>
        <v>-</v>
      </c>
      <c r="O1409" t="str">
        <f>"620000"</f>
        <v>620000</v>
      </c>
      <c r="P1409" t="str">
        <f>"ОБЛ СВЕРДЛОВСКАЯ"</f>
        <v>ОБЛ СВЕРДЛОВСКАЯ</v>
      </c>
      <c r="Q1409" t="str">
        <f>""</f>
        <v/>
      </c>
      <c r="R1409" t="str">
        <f>"Г НИЖНИЙ ТАГИЛ"</f>
        <v>Г НИЖНИЙ ТАГИЛ</v>
      </c>
      <c r="S1409" t="str">
        <f>""</f>
        <v/>
      </c>
      <c r="T1409" t="str">
        <f>"ПР-КТ ДЗЕРЖИНСКОГО"</f>
        <v>ПР-КТ ДЗЕРЖИНСКОГО</v>
      </c>
      <c r="U1409" s="1" t="str">
        <f>"58"</f>
        <v>58</v>
      </c>
      <c r="V1409" s="1" t="str">
        <f>""</f>
        <v/>
      </c>
      <c r="W1409" s="1" t="str">
        <f>""</f>
        <v/>
      </c>
      <c r="X1409" s="1" t="str">
        <f>""</f>
        <v/>
      </c>
      <c r="Y1409" s="1" t="str">
        <f>"94"</f>
        <v>94</v>
      </c>
      <c r="Z1409" t="str">
        <f>""</f>
        <v/>
      </c>
      <c r="AA1409" t="str">
        <f>"9226018925"</f>
        <v>9226018925</v>
      </c>
      <c r="AB1409" t="str">
        <f>"9222165086"</f>
        <v>9222165086</v>
      </c>
      <c r="AC1409" t="str">
        <f>"9226018925"</f>
        <v>9226018925</v>
      </c>
      <c r="AD1409" t="str">
        <f>"9222165086"</f>
        <v>9222165086</v>
      </c>
      <c r="AE1409" t="str">
        <f>""</f>
        <v/>
      </c>
    </row>
    <row r="1410" spans="1:31" x14ac:dyDescent="0.45">
      <c r="A1410" t="str">
        <f>"БИКМУРЗИНА НАТАЛЬЯ ВЯЧЕСЛАВОВНА"</f>
        <v>БИКМУРЗИНА НАТАЛЬЯ ВЯЧЕСЛАВОВНА</v>
      </c>
      <c r="B1410" t="str">
        <f>"1977-12-10"</f>
        <v>1977-12-10</v>
      </c>
      <c r="C1410" t="str">
        <f>"65 04 956541"</f>
        <v>65 04 956541</v>
      </c>
      <c r="D1410" t="str">
        <f>"4279011657439892"</f>
        <v>4279011657439892</v>
      </c>
      <c r="E1410" t="str">
        <f t="shared" si="233"/>
        <v>2021-05-31</v>
      </c>
      <c r="F1410" t="str">
        <f t="shared" si="234"/>
        <v>+</v>
      </c>
      <c r="G1410" t="str">
        <f t="shared" si="234"/>
        <v>+</v>
      </c>
      <c r="H1410" t="str">
        <f>"40817810816991391629"</f>
        <v>40817810816991391629</v>
      </c>
      <c r="I1410" t="str">
        <f>"7003"</f>
        <v>7003</v>
      </c>
      <c r="J1410" t="str">
        <f>"0727"</f>
        <v>0727</v>
      </c>
      <c r="K1410" t="str">
        <f>"15000.00"</f>
        <v>15000.00</v>
      </c>
      <c r="L1410" t="str">
        <f>"620000 ОБЛ СВЕРДЛОВСКАЯ   Г НИЖНИЙ ТАГИЛ   УЛ ПАРХОМЕНКО д. 1 корп. А"</f>
        <v>620000 ОБЛ СВЕРДЛОВСКАЯ   Г НИЖНИЙ ТАГИЛ   УЛ ПАРХОМЕНКО д. 1 корп. А</v>
      </c>
      <c r="M1410" t="str">
        <f t="shared" ref="M1410:M1473" si="235">"2019-08-24"</f>
        <v>2019-08-24</v>
      </c>
      <c r="N1410" t="str">
        <f>"МАО ТАГИЛ ТВ"</f>
        <v>МАО ТАГИЛ ТВ</v>
      </c>
      <c r="O1410" t="str">
        <f>"622042"</f>
        <v>622042</v>
      </c>
      <c r="P1410" t="str">
        <f>"ОБЛ СВЕРДЛОВСКАЯ"</f>
        <v>ОБЛ СВЕРДЛОВСКАЯ</v>
      </c>
      <c r="Q1410" t="str">
        <f>""</f>
        <v/>
      </c>
      <c r="R1410" t="str">
        <f>"Г НИЖНИЙ ТАГИЛ"</f>
        <v>Г НИЖНИЙ ТАГИЛ</v>
      </c>
      <c r="S1410" t="str">
        <f>""</f>
        <v/>
      </c>
      <c r="T1410" t="str">
        <f>"УЛ КРАСНАЯ"</f>
        <v>УЛ КРАСНАЯ</v>
      </c>
      <c r="U1410" s="1" t="str">
        <f>"13"</f>
        <v>13</v>
      </c>
      <c r="V1410" s="1" t="str">
        <f>""</f>
        <v/>
      </c>
      <c r="W1410" s="1" t="str">
        <f>""</f>
        <v/>
      </c>
      <c r="X1410" s="1" t="str">
        <f>""</f>
        <v/>
      </c>
      <c r="Y1410" s="1" t="str">
        <f>"58"</f>
        <v>58</v>
      </c>
      <c r="Z1410" t="str">
        <f>"9068568777"</f>
        <v>9068568777</v>
      </c>
      <c r="AA1410" t="str">
        <f>"9068124745"</f>
        <v>9068124745</v>
      </c>
      <c r="AB1410" t="str">
        <f>"9068124745"</f>
        <v>9068124745</v>
      </c>
      <c r="AC1410" t="str">
        <f>"9068124745"</f>
        <v>9068124745</v>
      </c>
      <c r="AD1410" t="str">
        <f>"9068124745"</f>
        <v>9068124745</v>
      </c>
      <c r="AE1410" t="str">
        <f>"9068568777"</f>
        <v>9068568777</v>
      </c>
    </row>
    <row r="1411" spans="1:31" x14ac:dyDescent="0.45">
      <c r="A1411" t="str">
        <f>"СУЮНДУКОВА ГУЛЬДАР ЮЛАЕВНА"</f>
        <v>СУЮНДУКОВА ГУЛЬДАР ЮЛАЕВНА</v>
      </c>
      <c r="B1411" t="str">
        <f>"1980-08-26"</f>
        <v>1980-08-26</v>
      </c>
      <c r="C1411" t="str">
        <f>"80 05 118777"</f>
        <v>80 05 118777</v>
      </c>
      <c r="D1411" t="str">
        <f>"4279011612149743"</f>
        <v>4279011612149743</v>
      </c>
      <c r="E1411" t="str">
        <f>"2021-06-30"</f>
        <v>2021-06-30</v>
      </c>
      <c r="F1411" t="str">
        <f t="shared" si="234"/>
        <v>+</v>
      </c>
      <c r="G1411" t="str">
        <f t="shared" si="234"/>
        <v>+</v>
      </c>
      <c r="H1411" t="str">
        <f>"40817810716991463194"</f>
        <v>40817810716991463194</v>
      </c>
      <c r="I1411" t="str">
        <f>"8598"</f>
        <v>8598</v>
      </c>
      <c r="J1411" t="str">
        <f>"0736"</f>
        <v>0736</v>
      </c>
      <c r="K1411" t="str">
        <f>"11000.00"</f>
        <v>11000.00</v>
      </c>
      <c r="L1411" t="str">
        <f>"453663 РЕСП БАШКОРТОСТАН Р-Н БАЙМАКСКИЙ   С ТЕМЯСОВО УЛ ПОЧТОВАЯ д. 6"</f>
        <v>453663 РЕСП БАШКОРТОСТАН Р-Н БАЙМАКСКИЙ   С ТЕМЯСОВО УЛ ПОЧТОВАЯ д. 6</v>
      </c>
      <c r="M1411" t="str">
        <f t="shared" si="235"/>
        <v>2019-08-24</v>
      </c>
      <c r="N1411" t="str">
        <f>"ТЕМЯСОВСКИЙ СЕЛЬСОВЕТ"</f>
        <v>ТЕМЯСОВСКИЙ СЕЛЬСОВЕТ</v>
      </c>
      <c r="O1411" t="str">
        <f>"453663"</f>
        <v>453663</v>
      </c>
      <c r="P1411" t="str">
        <f>"РЕСП БАШКОРТОСТАН"</f>
        <v>РЕСП БАШКОРТОСТАН</v>
      </c>
      <c r="Q1411" t="str">
        <f>"Р-Н БАЙМАКСКИЙ"</f>
        <v>Р-Н БАЙМАКСКИЙ</v>
      </c>
      <c r="R1411" t="str">
        <f>""</f>
        <v/>
      </c>
      <c r="S1411" t="str">
        <f>"С ТЕМЯСОВО"</f>
        <v>С ТЕМЯСОВО</v>
      </c>
      <c r="T1411" t="str">
        <f>"УЛ ХУДАЙБЕРДИНА"</f>
        <v>УЛ ХУДАЙБЕРДИНА</v>
      </c>
      <c r="U1411" s="1" t="str">
        <f>"69"</f>
        <v>69</v>
      </c>
      <c r="V1411" s="1" t="str">
        <f>""</f>
        <v/>
      </c>
      <c r="W1411" s="1" t="str">
        <f>""</f>
        <v/>
      </c>
      <c r="X1411" s="1" t="str">
        <f>""</f>
        <v/>
      </c>
      <c r="Y1411" s="1" t="str">
        <f>""</f>
        <v/>
      </c>
      <c r="Z1411" t="str">
        <f>"3475148294"</f>
        <v>3475148294</v>
      </c>
      <c r="AA1411" t="str">
        <f>"9033522720"</f>
        <v>9033522720</v>
      </c>
      <c r="AB1411" t="str">
        <f>"9033522720"</f>
        <v>9033522720</v>
      </c>
      <c r="AC1411" t="str">
        <f>"9631324110"</f>
        <v>9631324110</v>
      </c>
      <c r="AD1411" t="str">
        <f>"9033522720"</f>
        <v>9033522720</v>
      </c>
      <c r="AE1411" t="str">
        <f>"9631324110"</f>
        <v>9631324110</v>
      </c>
    </row>
    <row r="1412" spans="1:31" x14ac:dyDescent="0.45">
      <c r="A1412" t="str">
        <f>"ВАКАРИНА ИРИНА ВАЛЕНТИНОВНА"</f>
        <v>ВАКАРИНА ИРИНА ВАЛЕНТИНОВНА</v>
      </c>
      <c r="B1412" t="str">
        <f>"1971-02-15"</f>
        <v>1971-02-15</v>
      </c>
      <c r="C1412" t="str">
        <f>"71 15 208201"</f>
        <v>71 15 208201</v>
      </c>
      <c r="D1412" t="str">
        <f>"5484016705641611"</f>
        <v>5484016705641611</v>
      </c>
      <c r="E1412" t="str">
        <f t="shared" ref="E1412:E1424" si="236">"2021-05-31"</f>
        <v>2021-05-31</v>
      </c>
      <c r="F1412" t="str">
        <f t="shared" si="234"/>
        <v>+</v>
      </c>
      <c r="G1412" t="str">
        <f t="shared" si="234"/>
        <v>+</v>
      </c>
      <c r="H1412" t="str">
        <f>"40817810916992097123"</f>
        <v>40817810916992097123</v>
      </c>
      <c r="I1412" t="str">
        <f>"8647"</f>
        <v>8647</v>
      </c>
      <c r="J1412" t="str">
        <f>"0184"</f>
        <v>0184</v>
      </c>
      <c r="K1412" t="str">
        <f>"50000.00"</f>
        <v>50000.00</v>
      </c>
      <c r="L1412" t="str">
        <f>"625000 ОБЛ ТЮМЕНСКАЯ   Г ТЮМЕНЬ   УЛ ПЕРВОМАЙСКАЯ д. 21"</f>
        <v>625000 ОБЛ ТЮМЕНСКАЯ   Г ТЮМЕНЬ   УЛ ПЕРВОМАЙСКАЯ д. 21</v>
      </c>
      <c r="M1412" t="str">
        <f t="shared" si="235"/>
        <v>2019-08-24</v>
      </c>
      <c r="N1412" t="str">
        <f>"РОССЕЛЬХОЗ"</f>
        <v>РОССЕЛЬХОЗ</v>
      </c>
      <c r="O1412" t="str">
        <f>"625000"</f>
        <v>625000</v>
      </c>
      <c r="P1412" t="str">
        <f t="shared" ref="P1412:P1424" si="237">"ОБЛ ТЮМЕНСКАЯ"</f>
        <v>ОБЛ ТЮМЕНСКАЯ</v>
      </c>
      <c r="Q1412" t="str">
        <f>""</f>
        <v/>
      </c>
      <c r="R1412" t="str">
        <f>"Г ТЮМЕНЬ"</f>
        <v>Г ТЮМЕНЬ</v>
      </c>
      <c r="S1412" t="str">
        <f>""</f>
        <v/>
      </c>
      <c r="T1412" t="str">
        <f>"УЛ Ю.Р.Г.ЭРВЬЕ"</f>
        <v>УЛ Ю.Р.Г.ЭРВЬЕ</v>
      </c>
      <c r="U1412" s="1" t="str">
        <f>"16"</f>
        <v>16</v>
      </c>
      <c r="V1412" s="1" t="str">
        <f>""</f>
        <v/>
      </c>
      <c r="W1412" s="1" t="str">
        <f>""</f>
        <v/>
      </c>
      <c r="X1412" s="1" t="str">
        <f>""</f>
        <v/>
      </c>
      <c r="Y1412" s="1" t="str">
        <f>"97"</f>
        <v>97</v>
      </c>
      <c r="Z1412" t="str">
        <f>""</f>
        <v/>
      </c>
      <c r="AA1412" t="str">
        <f>"9123932829"</f>
        <v>9123932829</v>
      </c>
      <c r="AB1412" t="str">
        <f>"9220478090"</f>
        <v>9220478090</v>
      </c>
      <c r="AC1412" t="str">
        <f>"9123932829"</f>
        <v>9123932829</v>
      </c>
      <c r="AD1412" t="str">
        <f>"9220478090"</f>
        <v>9220478090</v>
      </c>
      <c r="AE1412" t="str">
        <f>""</f>
        <v/>
      </c>
    </row>
    <row r="1413" spans="1:31" x14ac:dyDescent="0.45">
      <c r="A1413" t="str">
        <f>"СЕМЕНОВА ЛАРИСА ВИКТОРОВНА"</f>
        <v>СЕМЕНОВА ЛАРИСА ВИКТОРОВНА</v>
      </c>
      <c r="B1413" t="str">
        <f>"1964-01-02"</f>
        <v>1964-01-02</v>
      </c>
      <c r="C1413" t="str">
        <f>"71 09 771062"</f>
        <v>71 09 771062</v>
      </c>
      <c r="D1413" t="str">
        <f>"5484016709573406"</f>
        <v>5484016709573406</v>
      </c>
      <c r="E1413" t="str">
        <f t="shared" si="236"/>
        <v>2021-05-31</v>
      </c>
      <c r="F1413" t="str">
        <f t="shared" si="234"/>
        <v>+</v>
      </c>
      <c r="G1413" t="str">
        <f t="shared" si="234"/>
        <v>+</v>
      </c>
      <c r="H1413" t="str">
        <f>"40817810716992654863"</f>
        <v>40817810716992654863</v>
      </c>
      <c r="I1413" t="str">
        <f>"8647"</f>
        <v>8647</v>
      </c>
      <c r="J1413" t="str">
        <f>"7770"</f>
        <v>7770</v>
      </c>
      <c r="K1413" t="str">
        <f>"190000.00"</f>
        <v>190000.00</v>
      </c>
      <c r="L1413" t="str">
        <f>"625000 ОБЛ ТЮМЕНСКАЯ   Г ТЮМЕНЬ   УЛ КОТОВСКОГО д. 55"</f>
        <v>625000 ОБЛ ТЮМЕНСКАЯ   Г ТЮМЕНЬ   УЛ КОТОВСКОГО д. 55</v>
      </c>
      <c r="M1413" t="str">
        <f t="shared" si="235"/>
        <v>2019-08-24</v>
      </c>
      <c r="N1413" t="str">
        <f>"ОКБ №1"</f>
        <v>ОКБ №1</v>
      </c>
      <c r="O1413" t="str">
        <f>"625043"</f>
        <v>625043</v>
      </c>
      <c r="P1413" t="str">
        <f t="shared" si="237"/>
        <v>ОБЛ ТЮМЕНСКАЯ</v>
      </c>
      <c r="Q1413" t="str">
        <f>""</f>
        <v/>
      </c>
      <c r="R1413" t="str">
        <f>"Г ТЮМЕНЬ"</f>
        <v>Г ТЮМЕНЬ</v>
      </c>
      <c r="S1413" t="str">
        <f>""</f>
        <v/>
      </c>
      <c r="T1413" t="str">
        <f>"УЛ ЕСЕНИНА"</f>
        <v>УЛ ЕСЕНИНА</v>
      </c>
      <c r="U1413" s="1" t="str">
        <f>"93"</f>
        <v>93</v>
      </c>
      <c r="V1413" s="1" t="str">
        <f>""</f>
        <v/>
      </c>
      <c r="W1413" s="1" t="str">
        <f>""</f>
        <v/>
      </c>
      <c r="X1413" s="1" t="str">
        <f>""</f>
        <v/>
      </c>
      <c r="Y1413" s="1" t="str">
        <f>""</f>
        <v/>
      </c>
      <c r="Z1413" t="str">
        <f>"+7 (3452) 560010"</f>
        <v>+7 (3452) 560010</v>
      </c>
      <c r="AA1413" t="str">
        <f>"+7 (912) 9210894"</f>
        <v>+7 (912) 9210894</v>
      </c>
      <c r="AB1413" t="str">
        <f>"+7 (912) 9210894"</f>
        <v>+7 (912) 9210894</v>
      </c>
      <c r="AC1413" t="str">
        <f>"9129210894"</f>
        <v>9129210894</v>
      </c>
      <c r="AD1413" t="str">
        <f>"9129210894"</f>
        <v>9129210894</v>
      </c>
      <c r="AE1413" t="str">
        <f>"3452560010"</f>
        <v>3452560010</v>
      </c>
    </row>
    <row r="1414" spans="1:31" x14ac:dyDescent="0.45">
      <c r="A1414" t="str">
        <f>"ОСОКИНА ЛИДИЯ АНАТОЛЬЕВНА"</f>
        <v>ОСОКИНА ЛИДИЯ АНАТОЛЬЕВНА</v>
      </c>
      <c r="B1414" t="str">
        <f>"1958-01-25"</f>
        <v>1958-01-25</v>
      </c>
      <c r="C1414" t="str">
        <f>"67 04 188848"</f>
        <v>67 04 188848</v>
      </c>
      <c r="D1414" t="str">
        <f>"4276016713664790"</f>
        <v>4276016713664790</v>
      </c>
      <c r="E1414" t="str">
        <f t="shared" si="236"/>
        <v>2021-05-31</v>
      </c>
      <c r="F1414" t="str">
        <f t="shared" si="234"/>
        <v>+</v>
      </c>
      <c r="G1414" t="str">
        <f t="shared" si="234"/>
        <v>+</v>
      </c>
      <c r="H1414" t="str">
        <f>"40817810316992097231"</f>
        <v>40817810316992097231</v>
      </c>
      <c r="I1414" t="str">
        <f>"1791"</f>
        <v>1791</v>
      </c>
      <c r="J1414" t="str">
        <f>"0110"</f>
        <v>0110</v>
      </c>
      <c r="K1414" t="str">
        <f>"100000.00"</f>
        <v>100000.00</v>
      </c>
      <c r="L1414" t="str">
        <f>"628126 АО ХАНТЫ-МАНСИЙСКИЙ Р-Н ОКТЯБРЬСКИЙ   П ПРИОБЬЕ УЛ КРЫМСКАЯ д. 41А кв. 36"</f>
        <v>628126 АО ХАНТЫ-МАНСИЙСКИЙ Р-Н ОКТЯБРЬСКИЙ   П ПРИОБЬЕ УЛ КРЫМСКАЯ д. 41А кв. 36</v>
      </c>
      <c r="M1414" t="str">
        <f t="shared" si="235"/>
        <v>2019-08-24</v>
      </c>
      <c r="N1414" t="str">
        <f>"ПЕНСИОНЕР"</f>
        <v>ПЕНСИОНЕР</v>
      </c>
      <c r="O1414" t="str">
        <f>"628126"</f>
        <v>628126</v>
      </c>
      <c r="P1414" t="str">
        <f t="shared" si="237"/>
        <v>ОБЛ ТЮМЕНСКАЯ</v>
      </c>
      <c r="Q1414" t="str">
        <f>"Р-Н ОКТЯБРЬСКИЙ"</f>
        <v>Р-Н ОКТЯБРЬСКИЙ</v>
      </c>
      <c r="R1414" t="str">
        <f>""</f>
        <v/>
      </c>
      <c r="S1414" t="str">
        <f>"П ПРИОБЬЕ"</f>
        <v>П ПРИОБЬЕ</v>
      </c>
      <c r="T1414" t="str">
        <f>"УЛ КРЫМСКАЯ"</f>
        <v>УЛ КРЫМСКАЯ</v>
      </c>
      <c r="U1414" s="1" t="str">
        <f>"41А"</f>
        <v>41А</v>
      </c>
      <c r="V1414" s="1" t="str">
        <f>""</f>
        <v/>
      </c>
      <c r="W1414" s="1" t="str">
        <f>""</f>
        <v/>
      </c>
      <c r="X1414" s="1" t="str">
        <f>""</f>
        <v/>
      </c>
      <c r="Y1414" s="1" t="str">
        <f>"36"</f>
        <v>36</v>
      </c>
      <c r="Z1414" t="str">
        <f>"9048844791"</f>
        <v>9048844791</v>
      </c>
      <c r="AA1414" t="str">
        <f>"3467861828"</f>
        <v>3467861828</v>
      </c>
      <c r="AB1414" t="str">
        <f>"9519755173"</f>
        <v>9519755173</v>
      </c>
      <c r="AC1414" t="str">
        <f>"3467861828"</f>
        <v>3467861828</v>
      </c>
      <c r="AD1414" t="str">
        <f>"9519755173"</f>
        <v>9519755173</v>
      </c>
      <c r="AE1414" t="str">
        <f>"9048844791"</f>
        <v>9048844791</v>
      </c>
    </row>
    <row r="1415" spans="1:31" x14ac:dyDescent="0.45">
      <c r="A1415" t="str">
        <f>"БАРАНЧУК АЛАН РУСЛАНОВИЧ"</f>
        <v>БАРАНЧУК АЛАН РУСЛАНОВИЧ</v>
      </c>
      <c r="B1415" t="str">
        <f>"1989-07-28"</f>
        <v>1989-07-28</v>
      </c>
      <c r="C1415" t="str">
        <f>"71 09 705686"</f>
        <v>71 09 705686</v>
      </c>
      <c r="D1415" t="str">
        <f>"4276016716611798"</f>
        <v>4276016716611798</v>
      </c>
      <c r="E1415" t="str">
        <f t="shared" si="236"/>
        <v>2021-05-31</v>
      </c>
      <c r="F1415" t="str">
        <f t="shared" si="234"/>
        <v>+</v>
      </c>
      <c r="G1415" t="str">
        <f t="shared" si="234"/>
        <v>+</v>
      </c>
      <c r="H1415" t="str">
        <f>"40817810716992299671"</f>
        <v>40817810716992299671</v>
      </c>
      <c r="I1415" t="str">
        <f>"8647"</f>
        <v>8647</v>
      </c>
      <c r="J1415" t="str">
        <f>"0189"</f>
        <v>0189</v>
      </c>
      <c r="K1415" t="str">
        <f>"50000.00"</f>
        <v>50000.00</v>
      </c>
      <c r="L1415" t="str">
        <f>"627750 ОБЛ ТЮМЕНСКАЯ   Г ИШИМ   УЛ ЧКАЛОВА д. 22 кв. 203"</f>
        <v>627750 ОБЛ ТЮМЕНСКАЯ   Г ИШИМ   УЛ ЧКАЛОВА д. 22 кв. 203</v>
      </c>
      <c r="M1415" t="str">
        <f t="shared" si="235"/>
        <v>2019-08-24</v>
      </c>
      <c r="N1415" t="str">
        <f>"АМИНОСИБ"</f>
        <v>АМИНОСИБ</v>
      </c>
      <c r="O1415" t="str">
        <f>"627750"</f>
        <v>627750</v>
      </c>
      <c r="P1415" t="str">
        <f t="shared" si="237"/>
        <v>ОБЛ ТЮМЕНСКАЯ</v>
      </c>
      <c r="Q1415" t="str">
        <f>""</f>
        <v/>
      </c>
      <c r="R1415" t="str">
        <f>"Г ИШИМ"</f>
        <v>Г ИШИМ</v>
      </c>
      <c r="S1415" t="str">
        <f>""</f>
        <v/>
      </c>
      <c r="T1415" t="str">
        <f>"УЛ БЕРЕГОВАЯ"</f>
        <v>УЛ БЕРЕГОВАЯ</v>
      </c>
      <c r="U1415" s="1" t="str">
        <f>"21"</f>
        <v>21</v>
      </c>
      <c r="V1415" s="1" t="str">
        <f>""</f>
        <v/>
      </c>
      <c r="W1415" s="1" t="str">
        <f>""</f>
        <v/>
      </c>
      <c r="X1415" s="1" t="str">
        <f>""</f>
        <v/>
      </c>
      <c r="Y1415" s="1" t="str">
        <f>"132"</f>
        <v>132</v>
      </c>
      <c r="Z1415" t="str">
        <f>""</f>
        <v/>
      </c>
      <c r="AA1415" t="str">
        <f>"3455160024"</f>
        <v>3455160024</v>
      </c>
      <c r="AB1415" t="str">
        <f>"9881547802"</f>
        <v>9881547802</v>
      </c>
      <c r="AC1415" t="str">
        <f>"3455160024"</f>
        <v>3455160024</v>
      </c>
      <c r="AD1415" t="str">
        <f>"9881547802"</f>
        <v>9881547802</v>
      </c>
      <c r="AE1415" t="str">
        <f>""</f>
        <v/>
      </c>
    </row>
    <row r="1416" spans="1:31" x14ac:dyDescent="0.45">
      <c r="A1416" t="str">
        <f>"НАСЫРОВА РОЗА МУХАРРАМОВНА"</f>
        <v>НАСЫРОВА РОЗА МУХАРРАМОВНА</v>
      </c>
      <c r="B1416" t="str">
        <f>"1964-10-05"</f>
        <v>1964-10-05</v>
      </c>
      <c r="C1416" t="str">
        <f>"67 09 964173"</f>
        <v>67 09 964173</v>
      </c>
      <c r="D1416" t="str">
        <f>"5484016707752168"</f>
        <v>5484016707752168</v>
      </c>
      <c r="E1416" t="str">
        <f t="shared" si="236"/>
        <v>2021-05-31</v>
      </c>
      <c r="F1416" t="str">
        <f t="shared" si="234"/>
        <v>+</v>
      </c>
      <c r="G1416" t="str">
        <f t="shared" si="234"/>
        <v>+</v>
      </c>
      <c r="H1416" t="str">
        <f>"40817810916992352033"</f>
        <v>40817810916992352033</v>
      </c>
      <c r="I1416" t="str">
        <f>"5940"</f>
        <v>5940</v>
      </c>
      <c r="J1416" t="str">
        <f>"7770"</f>
        <v>7770</v>
      </c>
      <c r="K1416" t="str">
        <f>"20000.00"</f>
        <v>20000.00</v>
      </c>
      <c r="L1416" t="str">
        <f>"628449 ОБЛ ТЮМЕНСКАЯ Р-Н СУРГУТСКИЙ Г ЛЯНТОР   МКР 7 д. 68"</f>
        <v>628449 ОБЛ ТЮМЕНСКАЯ Р-Н СУРГУТСКИЙ Г ЛЯНТОР   МКР 7 д. 68</v>
      </c>
      <c r="M1416" t="str">
        <f t="shared" si="235"/>
        <v>2019-08-24</v>
      </c>
      <c r="N1416" t="s">
        <v>80</v>
      </c>
      <c r="O1416" t="str">
        <f>"628449"</f>
        <v>628449</v>
      </c>
      <c r="P1416" t="str">
        <f t="shared" si="237"/>
        <v>ОБЛ ТЮМЕНСКАЯ</v>
      </c>
      <c r="Q1416" t="str">
        <f>"Р-Н СУРГУТСКИЙ"</f>
        <v>Р-Н СУРГУТСКИЙ</v>
      </c>
      <c r="R1416" t="str">
        <f>"Г ЛЯНТОР"</f>
        <v>Г ЛЯНТОР</v>
      </c>
      <c r="S1416" t="str">
        <f>""</f>
        <v/>
      </c>
      <c r="T1416" t="str">
        <f>"МКР 4"</f>
        <v>МКР 4</v>
      </c>
      <c r="U1416" s="1" t="str">
        <f>"9"</f>
        <v>9</v>
      </c>
      <c r="V1416" s="1" t="str">
        <f>""</f>
        <v/>
      </c>
      <c r="W1416" s="1" t="str">
        <f>""</f>
        <v/>
      </c>
      <c r="X1416" s="1" t="str">
        <f>""</f>
        <v/>
      </c>
      <c r="Y1416" s="1" t="str">
        <f>"5"</f>
        <v>5</v>
      </c>
      <c r="Z1416" t="str">
        <f>"+7 (34638) 24721"</f>
        <v>+7 (34638) 24721</v>
      </c>
      <c r="AA1416" t="str">
        <f>"+7 (34638) 24522"</f>
        <v>+7 (34638) 24522</v>
      </c>
      <c r="AB1416" t="str">
        <f>"+7 (922) 4075547"</f>
        <v>+7 (922) 4075547</v>
      </c>
      <c r="AC1416" t="str">
        <f>"9224075547"</f>
        <v>9224075547</v>
      </c>
      <c r="AD1416" t="str">
        <f>"9224075547"</f>
        <v>9224075547</v>
      </c>
      <c r="AE1416" t="str">
        <f>"3463824721"</f>
        <v>3463824721</v>
      </c>
    </row>
    <row r="1417" spans="1:31" x14ac:dyDescent="0.45">
      <c r="A1417" t="str">
        <f>"КОСАЧЕВА ВАЛЕНТИНА МИХАЙЛОВНА"</f>
        <v>КОСАЧЕВА ВАЛЕНТИНА МИХАЙЛОВНА</v>
      </c>
      <c r="B1417" t="str">
        <f>"1967-02-18"</f>
        <v>1967-02-18</v>
      </c>
      <c r="C1417" t="str">
        <f>"71 11 906832"</f>
        <v>71 11 906832</v>
      </c>
      <c r="D1417" t="str">
        <f>"5484016702106139"</f>
        <v>5484016702106139</v>
      </c>
      <c r="E1417" t="str">
        <f t="shared" si="236"/>
        <v>2021-05-31</v>
      </c>
      <c r="F1417" t="str">
        <f t="shared" si="234"/>
        <v>+</v>
      </c>
      <c r="G1417" t="str">
        <f t="shared" si="234"/>
        <v>+</v>
      </c>
      <c r="H1417" t="str">
        <f>"40817810916992352143"</f>
        <v>40817810916992352143</v>
      </c>
      <c r="I1417" t="str">
        <f>"8647"</f>
        <v>8647</v>
      </c>
      <c r="J1417" t="str">
        <f>"7770"</f>
        <v>7770</v>
      </c>
      <c r="K1417" t="str">
        <f>"58000.00"</f>
        <v>58000.00</v>
      </c>
      <c r="L1417" t="str">
        <f>"625521 ОБЛ ТЮМЕНСКАЯ Р-Н ТЮМЕНСКИЙ   РП БОГАНДИНСКИЙ УЛ КИРОВА д. 10А"</f>
        <v>625521 ОБЛ ТЮМЕНСКАЯ Р-Н ТЮМЕНСКИЙ   РП БОГАНДИНСКИЙ УЛ КИРОВА д. 10А</v>
      </c>
      <c r="M1417" t="str">
        <f t="shared" si="235"/>
        <v>2019-08-24</v>
      </c>
      <c r="N1417" t="str">
        <f>"ООО СТЕКЛОТЕХ"</f>
        <v>ООО СТЕКЛОТЕХ</v>
      </c>
      <c r="O1417" t="str">
        <f>"625001"</f>
        <v>625001</v>
      </c>
      <c r="P1417" t="str">
        <f t="shared" si="237"/>
        <v>ОБЛ ТЮМЕНСКАЯ</v>
      </c>
      <c r="Q1417" t="str">
        <f>""</f>
        <v/>
      </c>
      <c r="R1417" t="str">
        <f>"Г ТЮМЕНЬ"</f>
        <v>Г ТЮМЕНЬ</v>
      </c>
      <c r="S1417" t="str">
        <f>""</f>
        <v/>
      </c>
      <c r="T1417" t="str">
        <f>"УЛ ЯМСКАЯ"</f>
        <v>УЛ ЯМСКАЯ</v>
      </c>
      <c r="U1417" s="1" t="str">
        <f>"76"</f>
        <v>76</v>
      </c>
      <c r="V1417" s="1" t="str">
        <f>""</f>
        <v/>
      </c>
      <c r="W1417" s="1" t="str">
        <f>""</f>
        <v/>
      </c>
      <c r="X1417" s="1" t="str">
        <f>""</f>
        <v/>
      </c>
      <c r="Y1417" s="1" t="str">
        <f>"163"</f>
        <v>163</v>
      </c>
      <c r="Z1417" t="str">
        <f>"3452561011"</f>
        <v>3452561011</v>
      </c>
      <c r="AA1417" t="str">
        <f>"3452439497"</f>
        <v>3452439497</v>
      </c>
      <c r="AB1417" t="str">
        <f>"9088742611"</f>
        <v>9088742611</v>
      </c>
      <c r="AC1417" t="str">
        <f>"9088742611"</f>
        <v>9088742611</v>
      </c>
      <c r="AD1417" t="str">
        <f>"9088742611"</f>
        <v>9088742611</v>
      </c>
      <c r="AE1417" t="str">
        <f>"3452561011"</f>
        <v>3452561011</v>
      </c>
    </row>
    <row r="1418" spans="1:31" x14ac:dyDescent="0.45">
      <c r="A1418" t="str">
        <f>"ЮСУПОВА ГАЛИМА КУРМАНОВНА"</f>
        <v>ЮСУПОВА ГАЛИМА КУРМАНОВНА</v>
      </c>
      <c r="B1418" t="str">
        <f>"1968-09-26"</f>
        <v>1968-09-26</v>
      </c>
      <c r="C1418" t="str">
        <f>"67 13 329503"</f>
        <v>67 13 329503</v>
      </c>
      <c r="D1418" t="str">
        <f>"5484016704703495"</f>
        <v>5484016704703495</v>
      </c>
      <c r="E1418" t="str">
        <f t="shared" si="236"/>
        <v>2021-05-31</v>
      </c>
      <c r="F1418" t="str">
        <f>"Q"</f>
        <v>Q</v>
      </c>
      <c r="G1418" t="str">
        <f>"Q"</f>
        <v>Q</v>
      </c>
      <c r="H1418" t="str">
        <f>"40817810616992098697"</f>
        <v>40817810616992098697</v>
      </c>
      <c r="I1418" t="str">
        <f>"5940"</f>
        <v>5940</v>
      </c>
      <c r="J1418" t="str">
        <f>"7770"</f>
        <v>7770</v>
      </c>
      <c r="K1418" t="str">
        <f>"0.00"</f>
        <v>0.00</v>
      </c>
      <c r="L1418" t="str">
        <f>"628449 ОБЛ ТЮМЕНСКАЯ Р-Н СУРГУТСКИЙ Г ЛЯНТОР   МКР 7 д. 68"</f>
        <v>628449 ОБЛ ТЮМЕНСКАЯ Р-Н СУРГУТСКИЙ Г ЛЯНТОР   МКР 7 д. 68</v>
      </c>
      <c r="M1418" t="str">
        <f t="shared" si="235"/>
        <v>2019-08-24</v>
      </c>
      <c r="N1418" t="str">
        <f>"МБДОУ Д/С РОДНИЧОК"</f>
        <v>МБДОУ Д/С РОДНИЧОК</v>
      </c>
      <c r="O1418" t="str">
        <f>"628449"</f>
        <v>628449</v>
      </c>
      <c r="P1418" t="str">
        <f t="shared" si="237"/>
        <v>ОБЛ ТЮМЕНСКАЯ</v>
      </c>
      <c r="Q1418" t="str">
        <f>"Р-Н ХМАО СУРГУТСКИЙ"</f>
        <v>Р-Н ХМАО СУРГУТСКИЙ</v>
      </c>
      <c r="R1418" t="str">
        <f>"Г ЛЯНТОР"</f>
        <v>Г ЛЯНТОР</v>
      </c>
      <c r="S1418" t="str">
        <f>""</f>
        <v/>
      </c>
      <c r="T1418" t="str">
        <f>"МКР 4"</f>
        <v>МКР 4</v>
      </c>
      <c r="U1418" s="1" t="str">
        <f>"25/1"</f>
        <v>25/1</v>
      </c>
      <c r="V1418" s="1" t="str">
        <f>""</f>
        <v/>
      </c>
      <c r="W1418" s="1" t="str">
        <f>""</f>
        <v/>
      </c>
      <c r="X1418" s="1" t="str">
        <f>""</f>
        <v/>
      </c>
      <c r="Y1418" s="1" t="str">
        <f>"27"</f>
        <v>27</v>
      </c>
      <c r="Z1418" t="str">
        <f>"3463824721"</f>
        <v>3463824721</v>
      </c>
      <c r="AA1418" t="str">
        <f>"9088910300"</f>
        <v>9088910300</v>
      </c>
      <c r="AB1418" t="str">
        <f>"9088910300"</f>
        <v>9088910300</v>
      </c>
      <c r="AC1418" t="str">
        <f>"9088910300"</f>
        <v>9088910300</v>
      </c>
      <c r="AD1418" t="str">
        <f>"9088910300"</f>
        <v>9088910300</v>
      </c>
      <c r="AE1418" t="str">
        <f>"3463824721"</f>
        <v>3463824721</v>
      </c>
    </row>
    <row r="1419" spans="1:31" x14ac:dyDescent="0.45">
      <c r="A1419" t="str">
        <f>"МАЛЕТЬКИНА ИРИНА НИКОЛАЕВНА"</f>
        <v>МАЛЕТЬКИНА ИРИНА НИКОЛАЕВНА</v>
      </c>
      <c r="B1419" t="str">
        <f>"1964-08-20"</f>
        <v>1964-08-20</v>
      </c>
      <c r="C1419" t="str">
        <f>"74 09 701502"</f>
        <v>74 09 701502</v>
      </c>
      <c r="D1419" t="str">
        <f>"5484016703467571"</f>
        <v>5484016703467571</v>
      </c>
      <c r="E1419" t="str">
        <f t="shared" si="236"/>
        <v>2021-05-31</v>
      </c>
      <c r="F1419" t="str">
        <f>"Q"</f>
        <v>Q</v>
      </c>
      <c r="G1419" t="str">
        <f>"Q"</f>
        <v>Q</v>
      </c>
      <c r="H1419" t="str">
        <f>"40817810916992098656"</f>
        <v>40817810916992098656</v>
      </c>
      <c r="I1419" t="str">
        <f>"8369"</f>
        <v>8369</v>
      </c>
      <c r="J1419" t="str">
        <f>"7770"</f>
        <v>7770</v>
      </c>
      <c r="K1419" t="str">
        <f>"0.00"</f>
        <v>0.00</v>
      </c>
      <c r="L1419" t="str">
        <f>"629300 ОБЛ ТЮМЕНСКАЯ   Г НОВЫЙ УРЕНГОЙ   УЛ 26 СЬЕЗДА д. 3"</f>
        <v>629300 ОБЛ ТЮМЕНСКАЯ   Г НОВЫЙ УРЕНГОЙ   УЛ 26 СЬЕЗДА д. 3</v>
      </c>
      <c r="M1419" t="str">
        <f t="shared" si="235"/>
        <v>2019-08-24</v>
      </c>
      <c r="N1419" t="str">
        <f>"РЖД"</f>
        <v>РЖД</v>
      </c>
      <c r="O1419" t="str">
        <f>"629300"</f>
        <v>629300</v>
      </c>
      <c r="P1419" t="str">
        <f t="shared" si="237"/>
        <v>ОБЛ ТЮМЕНСКАЯ</v>
      </c>
      <c r="Q1419" t="str">
        <f>""</f>
        <v/>
      </c>
      <c r="R1419" t="str">
        <f>"Г НОВЫЙ УРЕНГОЙ"</f>
        <v>Г НОВЫЙ УРЕНГОЙ</v>
      </c>
      <c r="S1419" t="str">
        <f>""</f>
        <v/>
      </c>
      <c r="T1419" t="str">
        <f>"ПР-КТ ЛЕНИНГРАДСКИЙ"</f>
        <v>ПР-КТ ЛЕНИНГРАДСКИЙ</v>
      </c>
      <c r="U1419" s="1" t="str">
        <f>"10"</f>
        <v>10</v>
      </c>
      <c r="V1419" s="1" t="str">
        <f>""</f>
        <v/>
      </c>
      <c r="W1419" s="1" t="str">
        <f>""</f>
        <v/>
      </c>
      <c r="X1419" s="1" t="str">
        <f>""</f>
        <v/>
      </c>
      <c r="Y1419" s="1" t="str">
        <f>"183"</f>
        <v>183</v>
      </c>
      <c r="Z1419" t="str">
        <f>""</f>
        <v/>
      </c>
      <c r="AA1419" t="str">
        <f>"9320919001"</f>
        <v>9320919001</v>
      </c>
      <c r="AB1419" t="str">
        <f>"9222895365"</f>
        <v>9222895365</v>
      </c>
      <c r="AC1419" t="str">
        <f>"9320919001"</f>
        <v>9320919001</v>
      </c>
      <c r="AD1419" t="str">
        <f>"9222895365"</f>
        <v>9222895365</v>
      </c>
      <c r="AE1419" t="str">
        <f>""</f>
        <v/>
      </c>
    </row>
    <row r="1420" spans="1:31" x14ac:dyDescent="0.45">
      <c r="A1420" t="str">
        <f>"БУХАРЕВА ИРИНА НИКОЛАЕВНА"</f>
        <v>БУХАРЕВА ИРИНА НИКОЛАЕВНА</v>
      </c>
      <c r="B1420" t="str">
        <f>"1967-12-17"</f>
        <v>1967-12-17</v>
      </c>
      <c r="C1420" t="str">
        <f>"71 11 929940"</f>
        <v>71 11 929940</v>
      </c>
      <c r="D1420" t="str">
        <f>"5469016702796300"</f>
        <v>5469016702796300</v>
      </c>
      <c r="E1420" t="str">
        <f t="shared" si="236"/>
        <v>2021-05-31</v>
      </c>
      <c r="F1420" t="str">
        <f t="shared" ref="F1420:G1422" si="238">"+"</f>
        <v>+</v>
      </c>
      <c r="G1420" t="str">
        <f t="shared" si="238"/>
        <v>+</v>
      </c>
      <c r="H1420" t="str">
        <f>"40817810616992352281"</f>
        <v>40817810616992352281</v>
      </c>
      <c r="I1420" t="str">
        <f>"8647"</f>
        <v>8647</v>
      </c>
      <c r="J1420" t="str">
        <f>"0170"</f>
        <v>0170</v>
      </c>
      <c r="K1420" t="str">
        <f>"100000.00"</f>
        <v>100000.00</v>
      </c>
      <c r="L1420" t="str">
        <f>"625000 ОБЛ ТЮМЕНСКАЯ   Г ТЮМЕНЬ   УЛ АККУМУЛЯТОРНАЯ д. 1 стр. 2"</f>
        <v>625000 ОБЛ ТЮМЕНСКАЯ   Г ТЮМЕНЬ   УЛ АККУМУЛЯТОРНАЯ д. 1 стр. 2</v>
      </c>
      <c r="M1420" t="str">
        <f t="shared" si="235"/>
        <v>2019-08-24</v>
      </c>
      <c r="N1420" t="str">
        <f>"ФАБРИКА ПЛАСТИКОВЫЙ ИЗДЕЛИЙ"</f>
        <v>ФАБРИКА ПЛАСТИКОВЫЙ ИЗДЕЛИЙ</v>
      </c>
      <c r="O1420" t="str">
        <f>"627442"</f>
        <v>627442</v>
      </c>
      <c r="P1420" t="str">
        <f t="shared" si="237"/>
        <v>ОБЛ ТЮМЕНСКАЯ</v>
      </c>
      <c r="Q1420" t="str">
        <f>"Р-Н БЕРДЮЖСКИЙ"</f>
        <v>Р-Н БЕРДЮЖСКИЙ</v>
      </c>
      <c r="R1420" t="str">
        <f>""</f>
        <v/>
      </c>
      <c r="S1420" t="str">
        <f>"С ПОЛОЗАОЗЕРЬЕ"</f>
        <v>С ПОЛОЗАОЗЕРЬЕ</v>
      </c>
      <c r="T1420" t="str">
        <f>"УЛ МИРА"</f>
        <v>УЛ МИРА</v>
      </c>
      <c r="U1420" s="1" t="str">
        <f>"9"</f>
        <v>9</v>
      </c>
      <c r="V1420" s="1" t="str">
        <f>""</f>
        <v/>
      </c>
      <c r="W1420" s="1" t="str">
        <f>""</f>
        <v/>
      </c>
      <c r="X1420" s="1" t="str">
        <f>""</f>
        <v/>
      </c>
      <c r="Y1420" s="1" t="str">
        <f>""</f>
        <v/>
      </c>
      <c r="Z1420" t="str">
        <f>"3452342819"</f>
        <v>3452342819</v>
      </c>
      <c r="AA1420" t="str">
        <f>"9220004319"</f>
        <v>9220004319</v>
      </c>
      <c r="AB1420" t="str">
        <f>"9028125501"</f>
        <v>9028125501</v>
      </c>
      <c r="AC1420" t="str">
        <f>""</f>
        <v/>
      </c>
      <c r="AD1420" t="str">
        <f>"9028125501"</f>
        <v>9028125501</v>
      </c>
      <c r="AE1420" t="str">
        <f>"3452342819"</f>
        <v>3452342819</v>
      </c>
    </row>
    <row r="1421" spans="1:31" x14ac:dyDescent="0.45">
      <c r="A1421" t="str">
        <f>"ЮЛДАШЕВ РИНАТ МИРСАДОВИЧ"</f>
        <v>ЮЛДАШЕВ РИНАТ МИРСАДОВИЧ</v>
      </c>
      <c r="B1421" t="str">
        <f>"1968-12-29"</f>
        <v>1968-12-29</v>
      </c>
      <c r="C1421" t="str">
        <f>"71 13 036826"</f>
        <v>71 13 036826</v>
      </c>
      <c r="D1421" t="str">
        <f>"4279016716620713"</f>
        <v>4279016716620713</v>
      </c>
      <c r="E1421" t="str">
        <f t="shared" si="236"/>
        <v>2021-05-31</v>
      </c>
      <c r="F1421" t="str">
        <f t="shared" si="238"/>
        <v>+</v>
      </c>
      <c r="G1421" t="str">
        <f t="shared" si="238"/>
        <v>+</v>
      </c>
      <c r="H1421" t="str">
        <f>"40817810816992352308"</f>
        <v>40817810816992352308</v>
      </c>
      <c r="I1421" t="str">
        <f>"8647"</f>
        <v>8647</v>
      </c>
      <c r="J1421" t="str">
        <f>"0069"</f>
        <v>0069</v>
      </c>
      <c r="K1421" t="str">
        <f>"95000.00"</f>
        <v>95000.00</v>
      </c>
      <c r="L1421" t="str">
        <f>"625000 ОБЛ ТЮМЕНСКАЯ   Г ТЮМЕНЬ   УЛ МЕЛЬНИКАЙТЕ д. 106"</f>
        <v>625000 ОБЛ ТЮМЕНСКАЯ   Г ТЮМЕНЬ   УЛ МЕЛЬНИКАЙТЕ д. 106</v>
      </c>
      <c r="M1421" t="str">
        <f t="shared" si="235"/>
        <v>2019-08-24</v>
      </c>
      <c r="N1421" t="str">
        <f>"ЗАО ИК СИБИНТЕК"</f>
        <v>ЗАО ИК СИБИНТЕК</v>
      </c>
      <c r="O1421" t="str">
        <f>"625000"</f>
        <v>625000</v>
      </c>
      <c r="P1421" t="str">
        <f t="shared" si="237"/>
        <v>ОБЛ ТЮМЕНСКАЯ</v>
      </c>
      <c r="Q1421" t="str">
        <f>""</f>
        <v/>
      </c>
      <c r="R1421" t="str">
        <f>""</f>
        <v/>
      </c>
      <c r="S1421" t="str">
        <f>"С ЕМБАЕВО"</f>
        <v>С ЕМБАЕВО</v>
      </c>
      <c r="T1421" t="str">
        <f>"УЛ СОВХОЗНАЯ"</f>
        <v>УЛ СОВХОЗНАЯ</v>
      </c>
      <c r="U1421" s="1" t="str">
        <f>"61"</f>
        <v>61</v>
      </c>
      <c r="V1421" s="1" t="str">
        <f>""</f>
        <v/>
      </c>
      <c r="W1421" s="1" t="str">
        <f>""</f>
        <v/>
      </c>
      <c r="X1421" s="1" t="str">
        <f>""</f>
        <v/>
      </c>
      <c r="Y1421" s="1" t="str">
        <f>""</f>
        <v/>
      </c>
      <c r="Z1421" t="str">
        <f>""</f>
        <v/>
      </c>
      <c r="AA1421" t="str">
        <f>"9199368555"</f>
        <v>9199368555</v>
      </c>
      <c r="AB1421" t="str">
        <f>"9048757946"</f>
        <v>9048757946</v>
      </c>
      <c r="AC1421" t="str">
        <f>"9199368555"</f>
        <v>9199368555</v>
      </c>
      <c r="AD1421" t="str">
        <f>"9048757946"</f>
        <v>9048757946</v>
      </c>
      <c r="AE1421" t="str">
        <f>""</f>
        <v/>
      </c>
    </row>
    <row r="1422" spans="1:31" x14ac:dyDescent="0.45">
      <c r="A1422" t="str">
        <f>"САХАЦКАЯ ЕЛЕНА АЛЕКСЕЕВНА"</f>
        <v>САХАЦКАЯ ЕЛЕНА АЛЕКСЕЕВНА</v>
      </c>
      <c r="B1422" t="str">
        <f>"1977-01-27"</f>
        <v>1977-01-27</v>
      </c>
      <c r="C1422" t="str">
        <f>"67 05 531557"</f>
        <v>67 05 531557</v>
      </c>
      <c r="D1422" t="str">
        <f>"5484016708149281"</f>
        <v>5484016708149281</v>
      </c>
      <c r="E1422" t="str">
        <f t="shared" si="236"/>
        <v>2021-05-31</v>
      </c>
      <c r="F1422" t="str">
        <f t="shared" si="238"/>
        <v>+</v>
      </c>
      <c r="G1422" t="str">
        <f t="shared" si="238"/>
        <v>+</v>
      </c>
      <c r="H1422" t="str">
        <f>"40817810816992352379"</f>
        <v>40817810816992352379</v>
      </c>
      <c r="I1422" t="str">
        <f>"5940"</f>
        <v>5940</v>
      </c>
      <c r="J1422" t="str">
        <f>"7770"</f>
        <v>7770</v>
      </c>
      <c r="K1422" t="str">
        <f>"20000.00"</f>
        <v>20000.00</v>
      </c>
      <c r="L1422" t="str">
        <f>"628400 ОБЛ ТЮМЕНСКАЯ Р-Н СУРГУТСКИЙ Г ЛЯНТОР   МКР 7 д. 68"</f>
        <v>628400 ОБЛ ТЮМЕНСКАЯ Р-Н СУРГУТСКИЙ Г ЛЯНТОР   МКР 7 д. 68</v>
      </c>
      <c r="M1422" t="str">
        <f t="shared" si="235"/>
        <v>2019-08-24</v>
      </c>
      <c r="N1422" t="str">
        <f>"Д/С РОДНИЧОК"</f>
        <v>Д/С РОДНИЧОК</v>
      </c>
      <c r="O1422" t="str">
        <f>"628400"</f>
        <v>628400</v>
      </c>
      <c r="P1422" t="str">
        <f t="shared" si="237"/>
        <v>ОБЛ ТЮМЕНСКАЯ</v>
      </c>
      <c r="Q1422" t="str">
        <f>"Р-Н СУРГУТСКИЙ ХМАО"</f>
        <v>Р-Н СУРГУТСКИЙ ХМАО</v>
      </c>
      <c r="R1422" t="str">
        <f>"Г ЛЯНТОР"</f>
        <v>Г ЛЯНТОР</v>
      </c>
      <c r="S1422" t="str">
        <f>""</f>
        <v/>
      </c>
      <c r="T1422" t="str">
        <f>"МКР 3"</f>
        <v>МКР 3</v>
      </c>
      <c r="U1422" s="1" t="str">
        <f>"27"</f>
        <v>27</v>
      </c>
      <c r="V1422" s="1" t="str">
        <f>""</f>
        <v/>
      </c>
      <c r="W1422" s="1" t="str">
        <f>""</f>
        <v/>
      </c>
      <c r="X1422" s="1" t="str">
        <f>""</f>
        <v/>
      </c>
      <c r="Y1422" s="1" t="str">
        <f>"15"</f>
        <v>15</v>
      </c>
      <c r="Z1422" t="str">
        <f>"3463824915"</f>
        <v>3463824915</v>
      </c>
      <c r="AA1422" t="str">
        <f>"9028177626"</f>
        <v>9028177626</v>
      </c>
      <c r="AB1422" t="str">
        <f>"9028177626"</f>
        <v>9028177626</v>
      </c>
      <c r="AC1422" t="str">
        <f>"9028177626"</f>
        <v>9028177626</v>
      </c>
      <c r="AD1422" t="str">
        <f>"9028177626"</f>
        <v>9028177626</v>
      </c>
      <c r="AE1422" t="str">
        <f>"3463824915"</f>
        <v>3463824915</v>
      </c>
    </row>
    <row r="1423" spans="1:31" x14ac:dyDescent="0.45">
      <c r="A1423" t="str">
        <f>"САДЫКОВА РЕЗИДА РАВХАТОВНА"</f>
        <v>САДЫКОВА РЕЗИДА РАВХАТОВНА</v>
      </c>
      <c r="B1423" t="str">
        <f>"1977-07-01"</f>
        <v>1977-07-01</v>
      </c>
      <c r="C1423" t="str">
        <f>"67 02 753542"</f>
        <v>67 02 753542</v>
      </c>
      <c r="D1423" t="str">
        <f>"4279016710122005"</f>
        <v>4279016710122005</v>
      </c>
      <c r="E1423" t="str">
        <f t="shared" si="236"/>
        <v>2021-05-31</v>
      </c>
      <c r="F1423" t="str">
        <f>"Q"</f>
        <v>Q</v>
      </c>
      <c r="G1423" t="str">
        <f>"Q"</f>
        <v>Q</v>
      </c>
      <c r="H1423" t="str">
        <f>"40817810767720693156"</f>
        <v>40817810767720693156</v>
      </c>
      <c r="I1423" t="str">
        <f>"5940"</f>
        <v>5940</v>
      </c>
      <c r="J1423" t="str">
        <f>"0100"</f>
        <v>0100</v>
      </c>
      <c r="K1423" t="str">
        <f>"0.00"</f>
        <v>0.00</v>
      </c>
      <c r="L1423" t="str">
        <f>"628300 ОБЛ ТЮМЕНСКАЯ   Г НЕФТЕЮГАНСК   УЛ ПИОНЕРНАЯ ПРОМЗОНА"</f>
        <v>628300 ОБЛ ТЮМЕНСКАЯ   Г НЕФТЕЮГАНСК   УЛ ПИОНЕРНАЯ ПРОМЗОНА</v>
      </c>
      <c r="M1423" t="str">
        <f t="shared" si="235"/>
        <v>2019-08-24</v>
      </c>
      <c r="N1423" t="str">
        <f>"ГУУПФРФ НЕФТЕЮГАНСК ХМАО ЮГРЫ"</f>
        <v>ГУУПФРФ НЕФТЕЮГАНСК ХМАО ЮГРЫ</v>
      </c>
      <c r="O1423" t="str">
        <f>"628300"</f>
        <v>628300</v>
      </c>
      <c r="P1423" t="str">
        <f t="shared" si="237"/>
        <v>ОБЛ ТЮМЕНСКАЯ</v>
      </c>
      <c r="Q1423" t="str">
        <f>""</f>
        <v/>
      </c>
      <c r="R1423" t="str">
        <f>"Г НЕФТЕЮГАНСК"</f>
        <v>Г НЕФТЕЮГАНСК</v>
      </c>
      <c r="S1423" t="str">
        <f>""</f>
        <v/>
      </c>
      <c r="T1423" t="str">
        <f>"МКР 16"</f>
        <v>МКР 16</v>
      </c>
      <c r="U1423" s="1" t="str">
        <f>"10"</f>
        <v>10</v>
      </c>
      <c r="V1423" s="1" t="str">
        <f>""</f>
        <v/>
      </c>
      <c r="W1423" s="1" t="str">
        <f>""</f>
        <v/>
      </c>
      <c r="X1423" s="1" t="str">
        <f>""</f>
        <v/>
      </c>
      <c r="Y1423" s="1" t="str">
        <f>"38"</f>
        <v>38</v>
      </c>
      <c r="Z1423" t="str">
        <f>"3463296473"</f>
        <v>3463296473</v>
      </c>
      <c r="AA1423" t="str">
        <f>"9821888059"</f>
        <v>9821888059</v>
      </c>
      <c r="AB1423" t="str">
        <f>"9821888059"</f>
        <v>9821888059</v>
      </c>
      <c r="AC1423" t="str">
        <f>"9821888059"</f>
        <v>9821888059</v>
      </c>
      <c r="AD1423" t="str">
        <f>"9821888059"</f>
        <v>9821888059</v>
      </c>
      <c r="AE1423" t="str">
        <f>"3463296473"</f>
        <v>3463296473</v>
      </c>
    </row>
    <row r="1424" spans="1:31" x14ac:dyDescent="0.45">
      <c r="A1424" t="str">
        <f>"ДЕЖУРНАЯ АНАСТАСИЯ АНАТОЛЬЕВНА"</f>
        <v>ДЕЖУРНАЯ АНАСТАСИЯ АНАТОЛЬЕВНА</v>
      </c>
      <c r="B1424" t="str">
        <f>"1992-01-05"</f>
        <v>1992-01-05</v>
      </c>
      <c r="C1424" t="str">
        <f>"71 13 060185"</f>
        <v>71 13 060185</v>
      </c>
      <c r="D1424" t="str">
        <f>"4276016705661986"</f>
        <v>4276016705661986</v>
      </c>
      <c r="E1424" t="str">
        <f t="shared" si="236"/>
        <v>2021-05-31</v>
      </c>
      <c r="F1424" t="str">
        <f>"+"</f>
        <v>+</v>
      </c>
      <c r="G1424" t="str">
        <f>"+"</f>
        <v>+</v>
      </c>
      <c r="H1424" t="str">
        <f>"40817810316992352620"</f>
        <v>40817810316992352620</v>
      </c>
      <c r="I1424" t="str">
        <f>"8647"</f>
        <v>8647</v>
      </c>
      <c r="J1424" t="str">
        <f>"0268"</f>
        <v>0268</v>
      </c>
      <c r="K1424" t="str">
        <f>"80000.00"</f>
        <v>80000.00</v>
      </c>
      <c r="L1424" t="str">
        <f>"627250 ОБЛ ТЮМЕНСКАЯ Р-Н ЮРГИНСКИЙ   С ЮРГИНСКОЕ УЛ ЦЕНТРАЛЬНАЯ д. 49"</f>
        <v>627250 ОБЛ ТЮМЕНСКАЯ Р-Н ЮРГИНСКИЙ   С ЮРГИНСКОЕ УЛ ЦЕНТРАЛЬНАЯ д. 49</v>
      </c>
      <c r="M1424" t="str">
        <f t="shared" si="235"/>
        <v>2019-08-24</v>
      </c>
      <c r="N1424" t="str">
        <f>"АУ 'КЦСОН ЮМР'"</f>
        <v>АУ 'КЦСОН ЮМР'</v>
      </c>
      <c r="O1424" t="str">
        <f>"627250"</f>
        <v>627250</v>
      </c>
      <c r="P1424" t="str">
        <f t="shared" si="237"/>
        <v>ОБЛ ТЮМЕНСКАЯ</v>
      </c>
      <c r="Q1424" t="str">
        <f>"Р-Н ЮРГИНСКИЙ"</f>
        <v>Р-Н ЮРГИНСКИЙ</v>
      </c>
      <c r="R1424" t="str">
        <f>""</f>
        <v/>
      </c>
      <c r="S1424" t="str">
        <f>"С ЮРГИНСКОЕ"</f>
        <v>С ЮРГИНСКОЕ</v>
      </c>
      <c r="T1424" t="str">
        <f>"УЛ ЛЕНИНА"</f>
        <v>УЛ ЛЕНИНА</v>
      </c>
      <c r="U1424" s="1" t="str">
        <f>"14"</f>
        <v>14</v>
      </c>
      <c r="V1424" s="1" t="str">
        <f>""</f>
        <v/>
      </c>
      <c r="W1424" s="1" t="str">
        <f>""</f>
        <v/>
      </c>
      <c r="X1424" s="1" t="str">
        <f>""</f>
        <v/>
      </c>
      <c r="Y1424" s="1" t="str">
        <f>""</f>
        <v/>
      </c>
      <c r="Z1424" t="str">
        <f>""</f>
        <v/>
      </c>
      <c r="AA1424" t="str">
        <f>"3454324712"</f>
        <v>3454324712</v>
      </c>
      <c r="AB1424" t="str">
        <f>"9324832027"</f>
        <v>9324832027</v>
      </c>
      <c r="AC1424" t="str">
        <f>"3454324712"</f>
        <v>3454324712</v>
      </c>
      <c r="AD1424" t="str">
        <f>"9324832027"</f>
        <v>9324832027</v>
      </c>
      <c r="AE1424" t="str">
        <f>""</f>
        <v/>
      </c>
    </row>
    <row r="1425" spans="1:31" x14ac:dyDescent="0.45">
      <c r="A1425" t="str">
        <f>"КОНОНОВА ГУЗАЛИЯ ФАРИТОВНА"</f>
        <v>КОНОНОВА ГУЗАЛИЯ ФАРИТОВНА</v>
      </c>
      <c r="B1425" t="str">
        <f>"1973-05-05"</f>
        <v>1973-05-05</v>
      </c>
      <c r="C1425" t="str">
        <f>"80 18 743723"</f>
        <v>80 18 743723</v>
      </c>
      <c r="D1425" t="str">
        <f>"4854630419436475"</f>
        <v>4854630419436475</v>
      </c>
      <c r="E1425" t="str">
        <f>"2020-09-30"</f>
        <v>2020-09-30</v>
      </c>
      <c r="F1425" t="str">
        <f>"J"</f>
        <v>J</v>
      </c>
      <c r="G1425" t="str">
        <f>"Q"</f>
        <v>Q</v>
      </c>
      <c r="H1425" t="str">
        <f>"40817810116991391303"</f>
        <v>40817810116991391303</v>
      </c>
      <c r="I1425" t="str">
        <f>"8598"</f>
        <v>8598</v>
      </c>
      <c r="J1425" t="str">
        <f>"0470"</f>
        <v>0470</v>
      </c>
      <c r="K1425" t="str">
        <f>"0.00"</f>
        <v>0.00</v>
      </c>
      <c r="L1425" t="str">
        <f>"450000 РЕСП БАШКОРТОСТАН   Г БЕЛЕБЕЙ   УЛ СЫРТЛАНОВОЙ д. 1"</f>
        <v>450000 РЕСП БАШКОРТОСТАН   Г БЕЛЕБЕЙ   УЛ СЫРТЛАНОВОЙ д. 1</v>
      </c>
      <c r="M1425" t="str">
        <f t="shared" si="235"/>
        <v>2019-08-24</v>
      </c>
      <c r="N1425" t="str">
        <f>"АО БЕЛЗАН"</f>
        <v>АО БЕЛЗАН</v>
      </c>
      <c r="O1425" t="str">
        <f>"450000"</f>
        <v>450000</v>
      </c>
      <c r="P1425" t="str">
        <f>"РЕСП БАШКОРТОСТАН"</f>
        <v>РЕСП БАШКОРТОСТАН</v>
      </c>
      <c r="Q1425" t="str">
        <f>""</f>
        <v/>
      </c>
      <c r="R1425" t="str">
        <f>"Г БЕЛЕБЕЙ"</f>
        <v>Г БЕЛЕБЕЙ</v>
      </c>
      <c r="S1425" t="str">
        <f>""</f>
        <v/>
      </c>
      <c r="T1425" t="str">
        <f>"УЛ УФИМСКАЯ"</f>
        <v>УЛ УФИМСКАЯ</v>
      </c>
      <c r="U1425" s="1" t="str">
        <f>"12"</f>
        <v>12</v>
      </c>
      <c r="V1425" s="1" t="str">
        <f>""</f>
        <v/>
      </c>
      <c r="W1425" s="1" t="str">
        <f>""</f>
        <v/>
      </c>
      <c r="X1425" s="1" t="str">
        <f>""</f>
        <v/>
      </c>
      <c r="Y1425" s="1" t="str">
        <f>""</f>
        <v/>
      </c>
      <c r="Z1425" t="str">
        <f>""</f>
        <v/>
      </c>
      <c r="AA1425" t="str">
        <f>"9377896576"</f>
        <v>9377896576</v>
      </c>
      <c r="AB1425" t="str">
        <f>"9377896576"</f>
        <v>9377896576</v>
      </c>
      <c r="AC1425" t="str">
        <f>"0000000000"</f>
        <v>0000000000</v>
      </c>
      <c r="AD1425" t="str">
        <f>"9377896576"</f>
        <v>9377896576</v>
      </c>
      <c r="AE1425" t="str">
        <f>""</f>
        <v/>
      </c>
    </row>
    <row r="1426" spans="1:31" x14ac:dyDescent="0.45">
      <c r="A1426" t="str">
        <f>"ЗАКИРОВА ЭЛИНА РАФИКОВНА"</f>
        <v>ЗАКИРОВА ЭЛИНА РАФИКОВНА</v>
      </c>
      <c r="B1426" t="str">
        <f>"1979-07-20"</f>
        <v>1979-07-20</v>
      </c>
      <c r="C1426" t="str">
        <f>"65 04 553135"</f>
        <v>65 04 553135</v>
      </c>
      <c r="D1426" t="str">
        <f>"4854630205046884"</f>
        <v>4854630205046884</v>
      </c>
      <c r="E1426" t="str">
        <f>"2020-11-30"</f>
        <v>2020-11-30</v>
      </c>
      <c r="F1426" t="str">
        <f>"+"</f>
        <v>+</v>
      </c>
      <c r="G1426" t="str">
        <f>"+"</f>
        <v>+</v>
      </c>
      <c r="H1426" t="str">
        <f>"40817810416991391304"</f>
        <v>40817810416991391304</v>
      </c>
      <c r="I1426" t="str">
        <f>"7003"</f>
        <v>7003</v>
      </c>
      <c r="J1426" t="str">
        <f>"0016"</f>
        <v>0016</v>
      </c>
      <c r="K1426" t="str">
        <f>"550000.00"</f>
        <v>550000.00</v>
      </c>
      <c r="L1426" t="str">
        <f>"620000 ОБЛ СВЕРДЛОВСКАЯ   Г ЕКАТЕРИНБУРГ   УЛ СУРИКОВА д. 31 кв. 152"</f>
        <v>620000 ОБЛ СВЕРДЛОВСКАЯ   Г ЕКАТЕРИНБУРГ   УЛ СУРИКОВА д. 31 кв. 152</v>
      </c>
      <c r="M1426" t="str">
        <f t="shared" si="235"/>
        <v>2019-08-24</v>
      </c>
      <c r="N1426" t="str">
        <f>"-"</f>
        <v>-</v>
      </c>
      <c r="O1426" t="str">
        <f>"620000"</f>
        <v>620000</v>
      </c>
      <c r="P1426" t="str">
        <f>"ОБЛ СВЕРДЛОВСКАЯ"</f>
        <v>ОБЛ СВЕРДЛОВСКАЯ</v>
      </c>
      <c r="Q1426" t="str">
        <f>""</f>
        <v/>
      </c>
      <c r="R1426" t="str">
        <f>"Г ЕКАТЕРИНБУРГ"</f>
        <v>Г ЕКАТЕРИНБУРГ</v>
      </c>
      <c r="S1426" t="str">
        <f>""</f>
        <v/>
      </c>
      <c r="T1426" t="str">
        <f>"УЛ СУРИКОВА"</f>
        <v>УЛ СУРИКОВА</v>
      </c>
      <c r="U1426" s="1" t="str">
        <f>"31"</f>
        <v>31</v>
      </c>
      <c r="V1426" s="1" t="str">
        <f>""</f>
        <v/>
      </c>
      <c r="W1426" s="1" t="str">
        <f>""</f>
        <v/>
      </c>
      <c r="X1426" s="1" t="str">
        <f>""</f>
        <v/>
      </c>
      <c r="Y1426" s="1" t="str">
        <f>"152"</f>
        <v>152</v>
      </c>
      <c r="Z1426" t="str">
        <f>"9122611640"</f>
        <v>9122611640</v>
      </c>
      <c r="AA1426" t="str">
        <f>"9122611640"</f>
        <v>9122611640</v>
      </c>
      <c r="AB1426" t="str">
        <f>"9122611640"</f>
        <v>9122611640</v>
      </c>
      <c r="AC1426" t="str">
        <f>"9122611640"</f>
        <v>9122611640</v>
      </c>
      <c r="AD1426" t="str">
        <f>"9122611640"</f>
        <v>9122611640</v>
      </c>
      <c r="AE1426" t="str">
        <f>""</f>
        <v/>
      </c>
    </row>
    <row r="1427" spans="1:31" x14ac:dyDescent="0.45">
      <c r="A1427" t="str">
        <f>"ПИРУЛИН ВАЛЕРИЙ АНТОНОВИЧ"</f>
        <v>ПИРУЛИН ВАЛЕРИЙ АНТОНОВИЧ</v>
      </c>
      <c r="B1427" t="str">
        <f>"1957-08-04"</f>
        <v>1957-08-04</v>
      </c>
      <c r="C1427" t="str">
        <f>"65 04 540773"</f>
        <v>65 04 540773</v>
      </c>
      <c r="D1427" t="str">
        <f>"5313100321718388"</f>
        <v>5313100321718388</v>
      </c>
      <c r="E1427" t="str">
        <f>"2020-11-30"</f>
        <v>2020-11-30</v>
      </c>
      <c r="F1427" t="str">
        <f>"+"</f>
        <v>+</v>
      </c>
      <c r="G1427" t="str">
        <f>"+"</f>
        <v>+</v>
      </c>
      <c r="H1427" t="str">
        <f>"40817810716991391305"</f>
        <v>40817810716991391305</v>
      </c>
      <c r="I1427" t="str">
        <f>"7003"</f>
        <v>7003</v>
      </c>
      <c r="J1427" t="str">
        <f>"0841"</f>
        <v>0841</v>
      </c>
      <c r="K1427" t="str">
        <f>"100000.00"</f>
        <v>100000.00</v>
      </c>
      <c r="L1427" t="str">
        <f>"624351 ОБЛ СВЕРДЛОВСКАЯ   Г КАЧКАНАР   МКР 10-Й д. 61 кв. 123"</f>
        <v>624351 ОБЛ СВЕРДЛОВСКАЯ   Г КАЧКАНАР   МКР 10-Й д. 61 кв. 123</v>
      </c>
      <c r="M1427" t="str">
        <f t="shared" si="235"/>
        <v>2019-08-24</v>
      </c>
      <c r="N1427" t="str">
        <f>"ПЕНСИОНЕР"</f>
        <v>ПЕНСИОНЕР</v>
      </c>
      <c r="O1427" t="str">
        <f>"624351"</f>
        <v>624351</v>
      </c>
      <c r="P1427" t="str">
        <f>"ОБЛ СВЕРДЛОВСКАЯ"</f>
        <v>ОБЛ СВЕРДЛОВСКАЯ</v>
      </c>
      <c r="Q1427" t="str">
        <f>""</f>
        <v/>
      </c>
      <c r="R1427" t="str">
        <f>"Г КАЧКАНАР"</f>
        <v>Г КАЧКАНАР</v>
      </c>
      <c r="S1427" t="str">
        <f>""</f>
        <v/>
      </c>
      <c r="T1427" t="str">
        <f>"МКР 10-Й"</f>
        <v>МКР 10-Й</v>
      </c>
      <c r="U1427" s="1" t="str">
        <f>"61"</f>
        <v>61</v>
      </c>
      <c r="V1427" s="1" t="str">
        <f>""</f>
        <v/>
      </c>
      <c r="W1427" s="1" t="str">
        <f>""</f>
        <v/>
      </c>
      <c r="X1427" s="1" t="str">
        <f>""</f>
        <v/>
      </c>
      <c r="Y1427" s="1" t="str">
        <f>"123"</f>
        <v>123</v>
      </c>
      <c r="Z1427" t="str">
        <f>"343 4164271"</f>
        <v>343 4164271</v>
      </c>
      <c r="AA1427" t="str">
        <f>"3434161369"</f>
        <v>3434161369</v>
      </c>
      <c r="AB1427" t="str">
        <f>"9221139130"</f>
        <v>9221139130</v>
      </c>
      <c r="AC1427" t="str">
        <f>"3434161369"</f>
        <v>3434161369</v>
      </c>
      <c r="AD1427" t="str">
        <f>"9221139130"</f>
        <v>9221139130</v>
      </c>
      <c r="AE1427" t="str">
        <f>""</f>
        <v/>
      </c>
    </row>
    <row r="1428" spans="1:31" x14ac:dyDescent="0.45">
      <c r="A1428" t="str">
        <f>"БОГОДУШКО ГЕННАДИЙ ТИМОФЕЕВИЧ"</f>
        <v>БОГОДУШКО ГЕННАДИЙ ТИМОФЕЕВИЧ</v>
      </c>
      <c r="B1428" t="str">
        <f>"1954-02-26"</f>
        <v>1954-02-26</v>
      </c>
      <c r="C1428" t="str">
        <f>"67 04 192440"</f>
        <v>67 04 192440</v>
      </c>
      <c r="D1428" t="str">
        <f>"5313100161265284"</f>
        <v>5313100161265284</v>
      </c>
      <c r="E1428" t="str">
        <f>"2020-10-31"</f>
        <v>2020-10-31</v>
      </c>
      <c r="F1428" t="str">
        <f>"Y"</f>
        <v>Y</v>
      </c>
      <c r="G1428" t="str">
        <f>"Q"</f>
        <v>Q</v>
      </c>
      <c r="H1428" t="str">
        <f>"40817810416992451007"</f>
        <v>40817810416992451007</v>
      </c>
      <c r="I1428" t="str">
        <f>"5940"</f>
        <v>5940</v>
      </c>
      <c r="J1428" t="str">
        <f>"0138"</f>
        <v>0138</v>
      </c>
      <c r="K1428" t="str">
        <f>"0.00"</f>
        <v>0.00</v>
      </c>
      <c r="L1428" t="str">
        <f>"628600 ОБЛ ТЮМЕНСКАЯ   Г НИЖНЕВАРТОВСК   УЛ ИНТЕРНАЦИОНАЛЬНАЯ д. 37А кв. 62"</f>
        <v>628600 ОБЛ ТЮМЕНСКАЯ   Г НИЖНЕВАРТОВСК   УЛ ИНТЕРНАЦИОНАЛЬНАЯ д. 37А кв. 62</v>
      </c>
      <c r="M1428" t="str">
        <f t="shared" si="235"/>
        <v>2019-08-24</v>
      </c>
      <c r="N1428" t="str">
        <f>"ПЕНСИОНЕР"</f>
        <v>ПЕНСИОНЕР</v>
      </c>
      <c r="O1428" t="str">
        <f>"628600"</f>
        <v>628600</v>
      </c>
      <c r="P1428" t="str">
        <f>"ОБЛ ТЮМЕНСКАЯ"</f>
        <v>ОБЛ ТЮМЕНСКАЯ</v>
      </c>
      <c r="Q1428" t="str">
        <f>""</f>
        <v/>
      </c>
      <c r="R1428" t="str">
        <f>"Г НИЖНЕВАРТОВСК"</f>
        <v>Г НИЖНЕВАРТОВСК</v>
      </c>
      <c r="S1428" t="str">
        <f>""</f>
        <v/>
      </c>
      <c r="T1428" t="str">
        <f>"УЛ ИНТЕРНАЦИОНАЛЬНАЯ"</f>
        <v>УЛ ИНТЕРНАЦИОНАЛЬНАЯ</v>
      </c>
      <c r="U1428" s="1" t="str">
        <f>"37А"</f>
        <v>37А</v>
      </c>
      <c r="V1428" s="1" t="str">
        <f>""</f>
        <v/>
      </c>
      <c r="W1428" s="1" t="str">
        <f>""</f>
        <v/>
      </c>
      <c r="X1428" s="1" t="str">
        <f>""</f>
        <v/>
      </c>
      <c r="Y1428" s="1" t="str">
        <f>"62"</f>
        <v>62</v>
      </c>
      <c r="Z1428" t="str">
        <f>"9825348000"</f>
        <v>9825348000</v>
      </c>
      <c r="AA1428" t="str">
        <f>"9825348000"</f>
        <v>9825348000</v>
      </c>
      <c r="AB1428" t="str">
        <f>"9825348000"</f>
        <v>9825348000</v>
      </c>
      <c r="AC1428" t="str">
        <f>"9825348000"</f>
        <v>9825348000</v>
      </c>
      <c r="AD1428" t="str">
        <f>"9825348000"</f>
        <v>9825348000</v>
      </c>
      <c r="AE1428" t="str">
        <f>"9825348000"</f>
        <v>9825348000</v>
      </c>
    </row>
    <row r="1429" spans="1:31" x14ac:dyDescent="0.45">
      <c r="A1429" t="str">
        <f>"ХАЙРТДИНОВА ФАРИДА РИФОВНА"</f>
        <v>ХАЙРТДИНОВА ФАРИДА РИФОВНА</v>
      </c>
      <c r="B1429" t="str">
        <f>"1974-02-03"</f>
        <v>1974-02-03</v>
      </c>
      <c r="C1429" t="str">
        <f>"80 03 960060"</f>
        <v>80 03 960060</v>
      </c>
      <c r="D1429" t="str">
        <f>"4854630366366592"</f>
        <v>4854630366366592</v>
      </c>
      <c r="E1429" t="str">
        <f>"2020-11-30"</f>
        <v>2020-11-30</v>
      </c>
      <c r="F1429" t="str">
        <f t="shared" ref="F1429:G1436" si="239">"+"</f>
        <v>+</v>
      </c>
      <c r="G1429" t="str">
        <f t="shared" si="239"/>
        <v>+</v>
      </c>
      <c r="H1429" t="str">
        <f>"40817810116991391329"</f>
        <v>40817810116991391329</v>
      </c>
      <c r="I1429" t="str">
        <f>"8598"</f>
        <v>8598</v>
      </c>
      <c r="J1429" t="str">
        <f>"0622"</f>
        <v>0622</v>
      </c>
      <c r="K1429" t="str">
        <f>"10000.00"</f>
        <v>10000.00</v>
      </c>
      <c r="L1429" t="str">
        <f>"450000 РЕСП БАШКОРТОСТАН Р-Н ТАТЫШЛИНСКИЙ   С КУРДЫМ УЛ МЕХАНИЗАТОРОВ д. 45 корп. Б"</f>
        <v>450000 РЕСП БАШКОРТОСТАН Р-Н ТАТЫШЛИНСКИЙ   С КУРДЫМ УЛ МЕХАНИЗАТОРОВ д. 45 корп. Б</v>
      </c>
      <c r="M1429" t="str">
        <f t="shared" si="235"/>
        <v>2019-08-24</v>
      </c>
      <c r="N1429" t="str">
        <f>"ООО НУР"</f>
        <v>ООО НУР</v>
      </c>
      <c r="O1429" t="str">
        <f>"452842"</f>
        <v>452842</v>
      </c>
      <c r="P1429" t="str">
        <f>"РЕСП БАШКОРТОСТАН"</f>
        <v>РЕСП БАШКОРТОСТАН</v>
      </c>
      <c r="Q1429" t="str">
        <f>"Р-Н ТАТЫШЛИНСКИЙ"</f>
        <v>Р-Н ТАТЫШЛИНСКИЙ</v>
      </c>
      <c r="R1429" t="str">
        <f>""</f>
        <v/>
      </c>
      <c r="S1429" t="str">
        <f>"Д 1-ЗИРИМЗИБАШ"</f>
        <v>Д 1-ЗИРИМЗИБАШ</v>
      </c>
      <c r="T1429" t="str">
        <f>"УЛ ЦЕНТРАЛЬНАЯ"</f>
        <v>УЛ ЦЕНТРАЛЬНАЯ</v>
      </c>
      <c r="U1429" s="1" t="str">
        <f>"37"</f>
        <v>37</v>
      </c>
      <c r="V1429" s="1" t="str">
        <f>""</f>
        <v/>
      </c>
      <c r="W1429" s="1" t="str">
        <f>""</f>
        <v/>
      </c>
      <c r="X1429" s="1" t="str">
        <f>""</f>
        <v/>
      </c>
      <c r="Y1429" s="1" t="str">
        <f>""</f>
        <v/>
      </c>
      <c r="Z1429" t="str">
        <f>""</f>
        <v/>
      </c>
      <c r="AA1429" t="str">
        <f>"9876149823"</f>
        <v>9876149823</v>
      </c>
      <c r="AB1429" t="str">
        <f>"9876149823"</f>
        <v>9876149823</v>
      </c>
      <c r="AC1429" t="str">
        <f>"9876149823"</f>
        <v>9876149823</v>
      </c>
      <c r="AD1429" t="str">
        <f>"9876149823"</f>
        <v>9876149823</v>
      </c>
      <c r="AE1429" t="str">
        <f>""</f>
        <v/>
      </c>
    </row>
    <row r="1430" spans="1:31" x14ac:dyDescent="0.45">
      <c r="A1430" t="str">
        <f>"УШАКОВ ЯКОВ АНАТОЛЬЕВИЧ"</f>
        <v>УШАКОВ ЯКОВ АНАТОЛЬЕВИЧ</v>
      </c>
      <c r="B1430" t="str">
        <f>"1980-06-01"</f>
        <v>1980-06-01</v>
      </c>
      <c r="C1430" t="str">
        <f>"67 12 286395"</f>
        <v>67 12 286395</v>
      </c>
      <c r="D1430" t="str">
        <f>"4854630329141744"</f>
        <v>4854630329141744</v>
      </c>
      <c r="E1430" t="str">
        <f>"2020-04-30"</f>
        <v>2020-04-30</v>
      </c>
      <c r="F1430" t="str">
        <f t="shared" si="239"/>
        <v>+</v>
      </c>
      <c r="G1430" t="str">
        <f t="shared" si="239"/>
        <v>+</v>
      </c>
      <c r="H1430" t="str">
        <f>"40817810116992451103"</f>
        <v>40817810116992451103</v>
      </c>
      <c r="I1430" t="str">
        <f>"5940"</f>
        <v>5940</v>
      </c>
      <c r="J1430" t="str">
        <f>"0099"</f>
        <v>0099</v>
      </c>
      <c r="K1430" t="str">
        <f>"155000.00"</f>
        <v>155000.00</v>
      </c>
      <c r="L1430" t="str">
        <f>"628383 ОБЛ ТЮМЕНСКАЯ   Г ПЫТЬ-ЯХ   МКР 5 д. 8 кв. 1"</f>
        <v>628383 ОБЛ ТЮМЕНСКАЯ   Г ПЫТЬ-ЯХ   МКР 5 д. 8 кв. 1</v>
      </c>
      <c r="M1430" t="str">
        <f t="shared" si="235"/>
        <v>2019-08-24</v>
      </c>
      <c r="N1430" t="str">
        <f>"-"</f>
        <v>-</v>
      </c>
      <c r="O1430" t="str">
        <f>"628383"</f>
        <v>628383</v>
      </c>
      <c r="P1430" t="str">
        <f>"ОБЛ ТЮМЕНСКАЯ"</f>
        <v>ОБЛ ТЮМЕНСКАЯ</v>
      </c>
      <c r="Q1430" t="str">
        <f>""</f>
        <v/>
      </c>
      <c r="R1430" t="str">
        <f>"Г ПЫТЬ-ЯХ"</f>
        <v>Г ПЫТЬ-ЯХ</v>
      </c>
      <c r="S1430" t="str">
        <f>""</f>
        <v/>
      </c>
      <c r="T1430" t="str">
        <f>"МКР 5-Й"</f>
        <v>МКР 5-Й</v>
      </c>
      <c r="U1430" s="1" t="str">
        <f>"25"</f>
        <v>25</v>
      </c>
      <c r="V1430" s="1" t="str">
        <f>""</f>
        <v/>
      </c>
      <c r="W1430" s="1" t="str">
        <f>""</f>
        <v/>
      </c>
      <c r="X1430" s="1" t="str">
        <f>""</f>
        <v/>
      </c>
      <c r="Y1430" s="1" t="str">
        <f>"66"</f>
        <v>66</v>
      </c>
      <c r="Z1430" t="str">
        <f>""</f>
        <v/>
      </c>
      <c r="AA1430" t="str">
        <f>"9822248788"</f>
        <v>9822248788</v>
      </c>
      <c r="AB1430" t="str">
        <f>"9822248788"</f>
        <v>9822248788</v>
      </c>
      <c r="AC1430" t="str">
        <f>"9129061786"</f>
        <v>9129061786</v>
      </c>
      <c r="AD1430" t="str">
        <f>"9822248788"</f>
        <v>9822248788</v>
      </c>
      <c r="AE1430" t="str">
        <f>""</f>
        <v/>
      </c>
    </row>
    <row r="1431" spans="1:31" x14ac:dyDescent="0.45">
      <c r="A1431" t="str">
        <f>"КЕТОВА МАРИНА АНАТОЛЬЕВНА"</f>
        <v>КЕТОВА МАРИНА АНАТОЛЬЕВНА</v>
      </c>
      <c r="B1431" t="str">
        <f>"1981-06-25"</f>
        <v>1981-06-25</v>
      </c>
      <c r="C1431" t="str">
        <f>"65 15 041088"</f>
        <v>65 15 041088</v>
      </c>
      <c r="D1431" t="str">
        <f>"5313100614576956"</f>
        <v>5313100614576956</v>
      </c>
      <c r="E1431" t="str">
        <f>"2020-09-30"</f>
        <v>2020-09-30</v>
      </c>
      <c r="F1431" t="str">
        <f t="shared" si="239"/>
        <v>+</v>
      </c>
      <c r="G1431" t="str">
        <f t="shared" si="239"/>
        <v>+</v>
      </c>
      <c r="H1431" t="str">
        <f>"40817810516991391330"</f>
        <v>40817810516991391330</v>
      </c>
      <c r="I1431" t="str">
        <f>"7003"</f>
        <v>7003</v>
      </c>
      <c r="J1431" t="str">
        <f>"0691"</f>
        <v>0691</v>
      </c>
      <c r="K1431" t="str">
        <f>"135000.00"</f>
        <v>135000.00</v>
      </c>
      <c r="L1431" t="str">
        <f>"620000 ОБЛ СВЕРДЛОВСКАЯ   Г ПЕРВОУРАЛЬСК   УЛ ВАЙНЕРА д. 29 корп. А"</f>
        <v>620000 ОБЛ СВЕРДЛОВСКАЯ   Г ПЕРВОУРАЛЬСК   УЛ ВАЙНЕРА д. 29 корп. А</v>
      </c>
      <c r="M1431" t="str">
        <f t="shared" si="235"/>
        <v>2019-08-24</v>
      </c>
      <c r="N1431" t="str">
        <f>"ООО АВАНГАРД"</f>
        <v>ООО АВАНГАРД</v>
      </c>
      <c r="O1431" t="str">
        <f>"620000"</f>
        <v>620000</v>
      </c>
      <c r="P1431" t="str">
        <f>"ОБЛ СВЕРДЛОВСКАЯ"</f>
        <v>ОБЛ СВЕРДЛОВСКАЯ</v>
      </c>
      <c r="Q1431" t="str">
        <f>""</f>
        <v/>
      </c>
      <c r="R1431" t="str">
        <f>"Г ПЕРВОУРАЛЬСК"</f>
        <v>Г ПЕРВОУРАЛЬСК</v>
      </c>
      <c r="S1431" t="str">
        <f>""</f>
        <v/>
      </c>
      <c r="T1431" t="str">
        <f>"УЛ ПРОЛЕТАРСКАЯ"</f>
        <v>УЛ ПРОЛЕТАРСКАЯ</v>
      </c>
      <c r="U1431" s="1" t="str">
        <f>"76"</f>
        <v>76</v>
      </c>
      <c r="V1431" s="1" t="str">
        <f>""</f>
        <v/>
      </c>
      <c r="W1431" s="1" t="str">
        <f>""</f>
        <v/>
      </c>
      <c r="X1431" s="1" t="str">
        <f>""</f>
        <v/>
      </c>
      <c r="Y1431" s="1" t="str">
        <f>"28"</f>
        <v>28</v>
      </c>
      <c r="Z1431" t="str">
        <f>"3433229588"</f>
        <v>3433229588</v>
      </c>
      <c r="AA1431" t="str">
        <f>"3439279261"</f>
        <v>3439279261</v>
      </c>
      <c r="AB1431" t="str">
        <f>"9000479300"</f>
        <v>9000479300</v>
      </c>
      <c r="AC1431" t="str">
        <f>"9000479300"</f>
        <v>9000479300</v>
      </c>
      <c r="AD1431" t="str">
        <f>"9000479300"</f>
        <v>9000479300</v>
      </c>
      <c r="AE1431" t="str">
        <f>""</f>
        <v/>
      </c>
    </row>
    <row r="1432" spans="1:31" x14ac:dyDescent="0.45">
      <c r="A1432" t="str">
        <f>"ФЕДОРОВ АНДРЕЙ ВЛАДИМИРОВИЧ"</f>
        <v>ФЕДОРОВ АНДРЕЙ ВЛАДИМИРОВИЧ</v>
      </c>
      <c r="B1432" t="str">
        <f>"1969-10-13"</f>
        <v>1969-10-13</v>
      </c>
      <c r="C1432" t="str">
        <f>"75 14 496296"</f>
        <v>75 14 496296</v>
      </c>
      <c r="D1432" t="str">
        <f>"4854630421414007"</f>
        <v>4854630421414007</v>
      </c>
      <c r="E1432" t="str">
        <f>"2020-11-30"</f>
        <v>2020-11-30</v>
      </c>
      <c r="F1432" t="str">
        <f t="shared" si="239"/>
        <v>+</v>
      </c>
      <c r="G1432" t="str">
        <f t="shared" si="239"/>
        <v>+</v>
      </c>
      <c r="H1432" t="str">
        <f>"40817810816991391331"</f>
        <v>40817810816991391331</v>
      </c>
      <c r="I1432" t="str">
        <f>"8597"</f>
        <v>8597</v>
      </c>
      <c r="J1432" t="str">
        <f>"0320"</f>
        <v>0320</v>
      </c>
      <c r="K1432" t="str">
        <f>"200000.00"</f>
        <v>200000.00</v>
      </c>
      <c r="L1432" t="str">
        <f>"454000 ОБЛ ЧЕЛЯБИНСКАЯ П КАТАВ-ИВАНОВСКИЙ Г ЮРЮЗАНЬ   УЛ ЗАЙЦЕВА д. 10"</f>
        <v>454000 ОБЛ ЧЕЛЯБИНСКАЯ П КАТАВ-ИВАНОВСКИЙ Г ЮРЮЗАНЬ   УЛ ЗАЙЦЕВА д. 10</v>
      </c>
      <c r="M1432" t="str">
        <f t="shared" si="235"/>
        <v>2019-08-24</v>
      </c>
      <c r="N1432" t="str">
        <f>"ИП ФЕДОРОВ А В"</f>
        <v>ИП ФЕДОРОВ А В</v>
      </c>
      <c r="O1432" t="str">
        <f>"454000"</f>
        <v>454000</v>
      </c>
      <c r="P1432" t="str">
        <f>"ОБЛ ЧЕЛЯБИНСКАЯ"</f>
        <v>ОБЛ ЧЕЛЯБИНСКАЯ</v>
      </c>
      <c r="Q1432" t="str">
        <f>""</f>
        <v/>
      </c>
      <c r="R1432" t="str">
        <f>"Г ТРЕХГОРНЫЙ"</f>
        <v>Г ТРЕХГОРНЫЙ</v>
      </c>
      <c r="S1432" t="str">
        <f>""</f>
        <v/>
      </c>
      <c r="T1432" t="str">
        <f>"УЛ КОСМОНАВТОВ"</f>
        <v>УЛ КОСМОНАВТОВ</v>
      </c>
      <c r="U1432" s="1" t="str">
        <f>"8"</f>
        <v>8</v>
      </c>
      <c r="V1432" s="1" t="str">
        <f>""</f>
        <v/>
      </c>
      <c r="W1432" s="1" t="str">
        <f>""</f>
        <v/>
      </c>
      <c r="X1432" s="1" t="str">
        <f>""</f>
        <v/>
      </c>
      <c r="Y1432" s="1" t="str">
        <f>"23"</f>
        <v>23</v>
      </c>
      <c r="Z1432" t="str">
        <f>"9123170205"</f>
        <v>9123170205</v>
      </c>
      <c r="AA1432" t="str">
        <f>"3519141823"</f>
        <v>3519141823</v>
      </c>
      <c r="AB1432" t="str">
        <f>"9124751288"</f>
        <v>9124751288</v>
      </c>
      <c r="AC1432" t="str">
        <f>"9123170205"</f>
        <v>9123170205</v>
      </c>
      <c r="AD1432" t="str">
        <f>"9123170205"</f>
        <v>9123170205</v>
      </c>
      <c r="AE1432" t="str">
        <f>"9123170205"</f>
        <v>9123170205</v>
      </c>
    </row>
    <row r="1433" spans="1:31" x14ac:dyDescent="0.45">
      <c r="A1433" t="str">
        <f>"ЗАЛОЖНЫХ ЛЮБОВЬ АЛЕКСАНДРОВНА"</f>
        <v>ЗАЛОЖНЫХ ЛЮБОВЬ АЛЕКСАНДРОВНА</v>
      </c>
      <c r="B1433" t="str">
        <f>"1982-01-23"</f>
        <v>1982-01-23</v>
      </c>
      <c r="C1433" t="str">
        <f>"75 02 905827"</f>
        <v>75 02 905827</v>
      </c>
      <c r="D1433" t="str">
        <f>"5313100416832656"</f>
        <v>5313100416832656</v>
      </c>
      <c r="E1433" t="str">
        <f>"2021-03-31"</f>
        <v>2021-03-31</v>
      </c>
      <c r="F1433" t="str">
        <f t="shared" si="239"/>
        <v>+</v>
      </c>
      <c r="G1433" t="str">
        <f t="shared" si="239"/>
        <v>+</v>
      </c>
      <c r="H1433" t="str">
        <f>"40817810316991391352"</f>
        <v>40817810316991391352</v>
      </c>
      <c r="I1433" t="str">
        <f>"8597"</f>
        <v>8597</v>
      </c>
      <c r="J1433" t="str">
        <f>"0266"</f>
        <v>0266</v>
      </c>
      <c r="K1433" t="str">
        <f>"20000.00"</f>
        <v>20000.00</v>
      </c>
      <c r="L1433" t="str">
        <f>"454000 ОБЛ ЧЕЛЯБИНСКАЯ   Г ЧЕЛБИНСК   ПР-КТ ЛЕНИНА д. 26 корп. А"</f>
        <v>454000 ОБЛ ЧЕЛЯБИНСКАЯ   Г ЧЕЛБИНСК   ПР-КТ ЛЕНИНА д. 26 корп. А</v>
      </c>
      <c r="M1433" t="str">
        <f t="shared" si="235"/>
        <v>2019-08-24</v>
      </c>
      <c r="N1433" t="str">
        <f>"ООО ГРАНД ОТЕЛЬ ВИДГОФ"</f>
        <v>ООО ГРАНД ОТЕЛЬ ВИДГОФ</v>
      </c>
      <c r="O1433" t="str">
        <f>"454000"</f>
        <v>454000</v>
      </c>
      <c r="P1433" t="str">
        <f>"ОБЛ ЧЕЛЯБИНСКАЯ"</f>
        <v>ОБЛ ЧЕЛЯБИНСКАЯ</v>
      </c>
      <c r="Q1433" t="str">
        <f>""</f>
        <v/>
      </c>
      <c r="R1433" t="str">
        <f>"Г ЧЕЛЯБИНСК"</f>
        <v>Г ЧЕЛЯБИНСК</v>
      </c>
      <c r="S1433" t="str">
        <f>""</f>
        <v/>
      </c>
      <c r="T1433" t="str">
        <f>"УЛ ТЕПЛИЧНАЯ"</f>
        <v>УЛ ТЕПЛИЧНАЯ</v>
      </c>
      <c r="U1433" s="1" t="str">
        <f>"3"</f>
        <v>3</v>
      </c>
      <c r="V1433" s="1" t="str">
        <f>""</f>
        <v/>
      </c>
      <c r="W1433" s="1" t="str">
        <f>""</f>
        <v/>
      </c>
      <c r="X1433" s="1" t="str">
        <f>""</f>
        <v/>
      </c>
      <c r="Y1433" s="1" t="str">
        <f>"13"</f>
        <v>13</v>
      </c>
      <c r="Z1433" t="str">
        <f>""</f>
        <v/>
      </c>
      <c r="AA1433" t="str">
        <f>"9080562328"</f>
        <v>9080562328</v>
      </c>
      <c r="AB1433" t="str">
        <f>"9080562328"</f>
        <v>9080562328</v>
      </c>
      <c r="AC1433" t="str">
        <f>"9080562328"</f>
        <v>9080562328</v>
      </c>
      <c r="AD1433" t="str">
        <f>"9080562328"</f>
        <v>9080562328</v>
      </c>
      <c r="AE1433" t="str">
        <f>""</f>
        <v/>
      </c>
    </row>
    <row r="1434" spans="1:31" x14ac:dyDescent="0.45">
      <c r="A1434" t="str">
        <f>"ИСАЕВА АННА АНДРЕЕВНА"</f>
        <v>ИСАЕВА АННА АНДРЕЕВНА</v>
      </c>
      <c r="B1434" t="str">
        <f>"1991-11-22"</f>
        <v>1991-11-22</v>
      </c>
      <c r="C1434" t="str">
        <f>"65 12 433450"</f>
        <v>65 12 433450</v>
      </c>
      <c r="D1434" t="str">
        <f>"4279011648572470"</f>
        <v>4279011648572470</v>
      </c>
      <c r="E1434" t="str">
        <f t="shared" ref="E1434:E1452" si="240">"2021-05-31"</f>
        <v>2021-05-31</v>
      </c>
      <c r="F1434" t="str">
        <f t="shared" si="239"/>
        <v>+</v>
      </c>
      <c r="G1434" t="str">
        <f t="shared" si="239"/>
        <v>+</v>
      </c>
      <c r="H1434" t="str">
        <f>"40817810016991391380"</f>
        <v>40817810016991391380</v>
      </c>
      <c r="I1434" t="str">
        <f>"7003"</f>
        <v>7003</v>
      </c>
      <c r="J1434" t="str">
        <f>"0681"</f>
        <v>0681</v>
      </c>
      <c r="K1434" t="str">
        <f>"11000.00"</f>
        <v>11000.00</v>
      </c>
      <c r="L1434" t="str">
        <f>"620000 ОБЛ СВЕРДЛОВСКАЯ   Г ЕКАТЕРИНБУРГ   УЛ РЕПИНА д. 4"</f>
        <v>620000 ОБЛ СВЕРДЛОВСКАЯ   Г ЕКАТЕРИНБУРГ   УЛ РЕПИНА д. 4</v>
      </c>
      <c r="M1434" t="str">
        <f t="shared" si="235"/>
        <v>2019-08-24</v>
      </c>
      <c r="N1434" t="str">
        <f>"ФКУ СЕЗО 1"</f>
        <v>ФКУ СЕЗО 1</v>
      </c>
      <c r="O1434" t="str">
        <f>"620000"</f>
        <v>620000</v>
      </c>
      <c r="P1434" t="str">
        <f>"ОБЛ СВЕРДЛОВСКАЯ"</f>
        <v>ОБЛ СВЕРДЛОВСКАЯ</v>
      </c>
      <c r="Q1434" t="str">
        <f>""</f>
        <v/>
      </c>
      <c r="R1434" t="str">
        <f>"Г ПЕРВОУРАЛЬСК"</f>
        <v>Г ПЕРВОУРАЛЬСК</v>
      </c>
      <c r="S1434" t="str">
        <f>""</f>
        <v/>
      </c>
      <c r="T1434" t="str">
        <f>"УЛ ВАЙНЕРА"</f>
        <v>УЛ ВАЙНЕРА</v>
      </c>
      <c r="U1434" s="1" t="str">
        <f>"51"</f>
        <v>51</v>
      </c>
      <c r="V1434" s="1" t="str">
        <f>""</f>
        <v/>
      </c>
      <c r="W1434" s="1" t="str">
        <f>""</f>
        <v/>
      </c>
      <c r="X1434" s="1" t="str">
        <f>""</f>
        <v/>
      </c>
      <c r="Y1434" s="1" t="str">
        <f>"42"</f>
        <v>42</v>
      </c>
      <c r="Z1434" t="str">
        <f>"9530093069"</f>
        <v>9530093069</v>
      </c>
      <c r="AA1434" t="str">
        <f>"9041671098"</f>
        <v>9041671098</v>
      </c>
      <c r="AB1434" t="str">
        <f>"9041671098"</f>
        <v>9041671098</v>
      </c>
      <c r="AC1434" t="str">
        <f>"9041671098"</f>
        <v>9041671098</v>
      </c>
      <c r="AD1434" t="str">
        <f>"9041671098"</f>
        <v>9041671098</v>
      </c>
      <c r="AE1434" t="str">
        <f>"9530093069"</f>
        <v>9530093069</v>
      </c>
    </row>
    <row r="1435" spans="1:31" x14ac:dyDescent="0.45">
      <c r="A1435" t="str">
        <f>"БИКБАЕВА НАЗИРА МИННИХАНОВНА"</f>
        <v>БИКБАЕВА НАЗИРА МИННИХАНОВНА</v>
      </c>
      <c r="B1435" t="str">
        <f>"1978-05-02"</f>
        <v>1978-05-02</v>
      </c>
      <c r="C1435" t="str">
        <f>"80 02 809464"</f>
        <v>80 02 809464</v>
      </c>
      <c r="D1435" t="str">
        <f>"4279011620378078"</f>
        <v>4279011620378078</v>
      </c>
      <c r="E1435" t="str">
        <f t="shared" si="240"/>
        <v>2021-05-31</v>
      </c>
      <c r="F1435" t="str">
        <f t="shared" si="239"/>
        <v>+</v>
      </c>
      <c r="G1435" t="str">
        <f t="shared" si="239"/>
        <v>+</v>
      </c>
      <c r="H1435" t="str">
        <f>"40817810616991391382"</f>
        <v>40817810616991391382</v>
      </c>
      <c r="I1435" t="str">
        <f>"8598"</f>
        <v>8598</v>
      </c>
      <c r="J1435" t="str">
        <f>"0434"</f>
        <v>0434</v>
      </c>
      <c r="K1435" t="str">
        <f>"19000.00"</f>
        <v>19000.00</v>
      </c>
      <c r="L1435" t="str">
        <f>"450000 РЕСП БАШКОРТОСТАН Р-Н ДАВЛЕКАНОВСКИЙ   С ЧУЮНЧИ УЛ ЦЕНТРАЛЬНАЯ д. 53"</f>
        <v>450000 РЕСП БАШКОРТОСТАН Р-Н ДАВЛЕКАНОВСКИЙ   С ЧУЮНЧИ УЛ ЦЕНТРАЛЬНАЯ д. 53</v>
      </c>
      <c r="M1435" t="str">
        <f t="shared" si="235"/>
        <v>2019-08-24</v>
      </c>
      <c r="N1435" t="str">
        <f>"МОБУ СОШ С ЧУЮНЧИ"</f>
        <v>МОБУ СОШ С ЧУЮНЧИ</v>
      </c>
      <c r="O1435" t="str">
        <f>"450000"</f>
        <v>450000</v>
      </c>
      <c r="P1435" t="str">
        <f>"РЕСП БАШКОРТОСТАН"</f>
        <v>РЕСП БАШКОРТОСТАН</v>
      </c>
      <c r="Q1435" t="str">
        <f>"Р-Н ДАВЛЕКАНОВСКИЙ"</f>
        <v>Р-Н ДАВЛЕКАНОВСКИЙ</v>
      </c>
      <c r="R1435" t="str">
        <f>""</f>
        <v/>
      </c>
      <c r="S1435" t="str">
        <f>"С ЧУЮНЧИ"</f>
        <v>С ЧУЮНЧИ</v>
      </c>
      <c r="T1435" t="str">
        <f>"УЛ ЦЕНТРАЛЬНАЯ"</f>
        <v>УЛ ЦЕНТРАЛЬНАЯ</v>
      </c>
      <c r="U1435" s="1" t="str">
        <f>"53"</f>
        <v>53</v>
      </c>
      <c r="V1435" s="1" t="str">
        <f>""</f>
        <v/>
      </c>
      <c r="W1435" s="1" t="str">
        <f>""</f>
        <v/>
      </c>
      <c r="X1435" s="1" t="str">
        <f>""</f>
        <v/>
      </c>
      <c r="Y1435" s="1" t="str">
        <f>""</f>
        <v/>
      </c>
      <c r="Z1435" t="str">
        <f>"0000000000"</f>
        <v>0000000000</v>
      </c>
      <c r="AA1435" t="str">
        <f>"0000000000"</f>
        <v>0000000000</v>
      </c>
      <c r="AB1435" t="str">
        <f>"9273234386"</f>
        <v>9273234386</v>
      </c>
      <c r="AC1435" t="str">
        <f>"0000000000"</f>
        <v>0000000000</v>
      </c>
      <c r="AD1435" t="str">
        <f>"9273234386"</f>
        <v>9273234386</v>
      </c>
      <c r="AE1435" t="str">
        <f>"0000000000"</f>
        <v>0000000000</v>
      </c>
    </row>
    <row r="1436" spans="1:31" x14ac:dyDescent="0.45">
      <c r="A1436" t="str">
        <f>"ВАРДЕВАНЯН АСМИК КОРЬЮНОВНА"</f>
        <v>ВАРДЕВАНЯН АСМИК КОРЬЮНОВНА</v>
      </c>
      <c r="B1436" t="str">
        <f>"1976-03-27"</f>
        <v>1976-03-27</v>
      </c>
      <c r="C1436" t="str">
        <f>"75 13 369579"</f>
        <v>75 13 369579</v>
      </c>
      <c r="D1436" t="str">
        <f>"4279011687471972"</f>
        <v>4279011687471972</v>
      </c>
      <c r="E1436" t="str">
        <f t="shared" si="240"/>
        <v>2021-05-31</v>
      </c>
      <c r="F1436" t="str">
        <f t="shared" si="239"/>
        <v>+</v>
      </c>
      <c r="G1436" t="str">
        <f t="shared" si="239"/>
        <v>+</v>
      </c>
      <c r="H1436" t="str">
        <f>"40817810916991391383"</f>
        <v>40817810916991391383</v>
      </c>
      <c r="I1436" t="str">
        <f>"8597"</f>
        <v>8597</v>
      </c>
      <c r="J1436" t="str">
        <f>"0502"</f>
        <v>0502</v>
      </c>
      <c r="K1436" t="str">
        <f>"78000.00"</f>
        <v>78000.00</v>
      </c>
      <c r="L1436" t="str">
        <f>"454000 ОБЛ ЧЕЛЯБИНСКАЯ   ДП ЗЛАТОУСТ   ПР-КТ ГАГАРИНА 3 ЛИН д. 5"</f>
        <v>454000 ОБЛ ЧЕЛЯБИНСКАЯ   ДП ЗЛАТОУСТ   ПР-КТ ГАГАРИНА 3 ЛИН д. 5</v>
      </c>
      <c r="M1436" t="str">
        <f t="shared" si="235"/>
        <v>2019-08-24</v>
      </c>
      <c r="N1436" t="str">
        <f>"УПРАВЛЕНИЕ СОЦ.ЗАЩИТЫ"</f>
        <v>УПРАВЛЕНИЕ СОЦ.ЗАЩИТЫ</v>
      </c>
      <c r="O1436" t="str">
        <f>"454000"</f>
        <v>454000</v>
      </c>
      <c r="P1436" t="str">
        <f>"ОБЛ ЧЕЛЯБИНСКАЯ"</f>
        <v>ОБЛ ЧЕЛЯБИНСКАЯ</v>
      </c>
      <c r="Q1436" t="str">
        <f>""</f>
        <v/>
      </c>
      <c r="R1436" t="str">
        <f>"Г ЗЛАТОУСТ"</f>
        <v>Г ЗЛАТОУСТ</v>
      </c>
      <c r="S1436" t="str">
        <f>""</f>
        <v/>
      </c>
      <c r="T1436" t="str">
        <f>"УЛ УРИЦКОГО"</f>
        <v>УЛ УРИЦКОГО</v>
      </c>
      <c r="U1436" s="1" t="str">
        <f>"40"</f>
        <v>40</v>
      </c>
      <c r="V1436" s="1" t="str">
        <f>""</f>
        <v/>
      </c>
      <c r="W1436" s="1" t="str">
        <f>""</f>
        <v/>
      </c>
      <c r="X1436" s="1" t="str">
        <f>""</f>
        <v/>
      </c>
      <c r="Y1436" s="1" t="str">
        <f>"61"</f>
        <v>61</v>
      </c>
      <c r="Z1436" t="str">
        <f>"3513654044"</f>
        <v>3513654044</v>
      </c>
      <c r="AA1436" t="str">
        <f>"9194009419"</f>
        <v>9194009419</v>
      </c>
      <c r="AB1436" t="str">
        <f>"9617841296"</f>
        <v>9617841296</v>
      </c>
      <c r="AC1436" t="str">
        <f>"9194009419"</f>
        <v>9194009419</v>
      </c>
      <c r="AD1436" t="str">
        <f>"9617841296"</f>
        <v>9617841296</v>
      </c>
      <c r="AE1436" t="str">
        <f>"9194009119"</f>
        <v>9194009119</v>
      </c>
    </row>
    <row r="1437" spans="1:31" x14ac:dyDescent="0.45">
      <c r="A1437" t="str">
        <f>"КОЛИСНИЧЕНКО СЕРГЕЙ ВАЛЕРЬЕВИЧ"</f>
        <v>КОЛИСНИЧЕНКО СЕРГЕЙ ВАЛЕРЬЕВИЧ</v>
      </c>
      <c r="B1437" t="str">
        <f>"1982-10-01"</f>
        <v>1982-10-01</v>
      </c>
      <c r="C1437" t="str">
        <f>"75 04 325151"</f>
        <v>75 04 325151</v>
      </c>
      <c r="D1437" t="str">
        <f>"4279011665832385"</f>
        <v>4279011665832385</v>
      </c>
      <c r="E1437" t="str">
        <f t="shared" si="240"/>
        <v>2021-05-31</v>
      </c>
      <c r="F1437" t="str">
        <f>"Y"</f>
        <v>Y</v>
      </c>
      <c r="G1437" t="str">
        <f>"Q"</f>
        <v>Q</v>
      </c>
      <c r="H1437" t="str">
        <f>"40817810216991391384"</f>
        <v>40817810216991391384</v>
      </c>
      <c r="I1437" t="str">
        <f>"7003"</f>
        <v>7003</v>
      </c>
      <c r="J1437" t="str">
        <f>"0457"</f>
        <v>0457</v>
      </c>
      <c r="K1437" t="str">
        <f>"0.00"</f>
        <v>0.00</v>
      </c>
      <c r="L1437" t="str">
        <f>"454000 ОБЛ ЧЕЛЯБИНСКАЯ     П АНДРЕЕВСКИЙ УЛ ГАГАРИНА д. 1 кв. 1"</f>
        <v>454000 ОБЛ ЧЕЛЯБИНСКАЯ     П АНДРЕЕВСКИЙ УЛ ГАГАРИНА д. 1 кв. 1</v>
      </c>
      <c r="M1437" t="str">
        <f t="shared" si="235"/>
        <v>2019-08-24</v>
      </c>
      <c r="N1437" t="str">
        <f>"ИП КОЛИСНИЧЕНКО"</f>
        <v>ИП КОЛИСНИЧЕНКО</v>
      </c>
      <c r="O1437" t="str">
        <f>"454000"</f>
        <v>454000</v>
      </c>
      <c r="P1437" t="str">
        <f>"ОБЛ ЧЕЛЯБИНСКАЯ"</f>
        <v>ОБЛ ЧЕЛЯБИНСКАЯ</v>
      </c>
      <c r="Q1437" t="str">
        <f>""</f>
        <v/>
      </c>
      <c r="R1437" t="str">
        <f>""</f>
        <v/>
      </c>
      <c r="S1437" t="str">
        <f>"П АНДРЕЕВСКИЙ"</f>
        <v>П АНДРЕЕВСКИЙ</v>
      </c>
      <c r="T1437" t="str">
        <f>"УЛ ГАГАРИНА"</f>
        <v>УЛ ГАГАРИНА</v>
      </c>
      <c r="U1437" s="1" t="str">
        <f>"1"</f>
        <v>1</v>
      </c>
      <c r="V1437" s="1" t="str">
        <f>""</f>
        <v/>
      </c>
      <c r="W1437" s="1" t="str">
        <f>""</f>
        <v/>
      </c>
      <c r="X1437" s="1" t="str">
        <f>""</f>
        <v/>
      </c>
      <c r="Y1437" s="1" t="str">
        <f>"1"</f>
        <v>1</v>
      </c>
      <c r="Z1437" t="str">
        <f>"9222012403"</f>
        <v>9222012403</v>
      </c>
      <c r="AA1437" t="str">
        <f>"9222012403"</f>
        <v>9222012403</v>
      </c>
      <c r="AB1437" t="str">
        <f>"9222012403"</f>
        <v>9222012403</v>
      </c>
      <c r="AC1437" t="str">
        <f>"9222012403"</f>
        <v>9222012403</v>
      </c>
      <c r="AD1437" t="str">
        <f>"9222012403"</f>
        <v>9222012403</v>
      </c>
      <c r="AE1437" t="str">
        <f>"9222012403"</f>
        <v>9222012403</v>
      </c>
    </row>
    <row r="1438" spans="1:31" x14ac:dyDescent="0.45">
      <c r="A1438" t="str">
        <f>"АРСУЕВ ИСЛАМ МИХАЙЛОВИЧ"</f>
        <v>АРСУЕВ ИСЛАМ МИХАЙЛОВИЧ</v>
      </c>
      <c r="B1438" t="str">
        <f>"1976-09-20"</f>
        <v>1976-09-20</v>
      </c>
      <c r="C1438" t="str">
        <f>"75 00 384719"</f>
        <v>75 00 384719</v>
      </c>
      <c r="D1438" t="str">
        <f>"4279011666454197"</f>
        <v>4279011666454197</v>
      </c>
      <c r="E1438" t="str">
        <f t="shared" si="240"/>
        <v>2021-05-31</v>
      </c>
      <c r="F1438" t="str">
        <f t="shared" ref="F1438:G1447" si="241">"+"</f>
        <v>+</v>
      </c>
      <c r="G1438" t="str">
        <f t="shared" si="241"/>
        <v>+</v>
      </c>
      <c r="H1438" t="str">
        <f>"40817810116991391471"</f>
        <v>40817810116991391471</v>
      </c>
      <c r="I1438" t="str">
        <f>"8597"</f>
        <v>8597</v>
      </c>
      <c r="J1438" t="str">
        <f>"0331"</f>
        <v>0331</v>
      </c>
      <c r="K1438" t="str">
        <f>"530000.00"</f>
        <v>530000.00</v>
      </c>
      <c r="L1438" t="str">
        <f>"454000 ОБЛ ЧЕЛЯБИНСКАЯ   Г МАГНИТОГОРСК   УЛ КАЛМЫКОВА д. 8 корп. 3 офис 4"</f>
        <v>454000 ОБЛ ЧЕЛЯБИНСКАЯ   Г МАГНИТОГОРСК   УЛ КАЛМЫКОВА д. 8 корп. 3 офис 4</v>
      </c>
      <c r="M1438" t="str">
        <f t="shared" si="235"/>
        <v>2019-08-24</v>
      </c>
      <c r="N1438" t="str">
        <f>"ООО МСК"</f>
        <v>ООО МСК</v>
      </c>
      <c r="O1438" t="str">
        <f>"454000"</f>
        <v>454000</v>
      </c>
      <c r="P1438" t="str">
        <f>"ОБЛ ЧЕЛЯБИНСКАЯ"</f>
        <v>ОБЛ ЧЕЛЯБИНСКАЯ</v>
      </c>
      <c r="Q1438" t="str">
        <f>"Р-Н НАГАЙБАКСКИЙ"</f>
        <v>Р-Н НАГАЙБАКСКИЙ</v>
      </c>
      <c r="R1438" t="str">
        <f>"П СЕВЕРНЫЙ"</f>
        <v>П СЕВЕРНЫЙ</v>
      </c>
      <c r="S1438" t="str">
        <f>""</f>
        <v/>
      </c>
      <c r="T1438" t="str">
        <f>"УЛ НАГОРНАЯ"</f>
        <v>УЛ НАГОРНАЯ</v>
      </c>
      <c r="U1438" s="1" t="str">
        <f>"2"</f>
        <v>2</v>
      </c>
      <c r="V1438" s="1" t="str">
        <f>""</f>
        <v/>
      </c>
      <c r="W1438" s="1" t="str">
        <f>""</f>
        <v/>
      </c>
      <c r="X1438" s="1" t="str">
        <f>""</f>
        <v/>
      </c>
      <c r="Y1438" s="1" t="str">
        <f>"10"</f>
        <v>10</v>
      </c>
      <c r="Z1438" t="str">
        <f>""</f>
        <v/>
      </c>
      <c r="AA1438" t="str">
        <f>"9193122880"</f>
        <v>9193122880</v>
      </c>
      <c r="AB1438" t="str">
        <f>"9227164678"</f>
        <v>9227164678</v>
      </c>
      <c r="AC1438" t="str">
        <f>"9193122880"</f>
        <v>9193122880</v>
      </c>
      <c r="AD1438" t="str">
        <f>"9227164678"</f>
        <v>9227164678</v>
      </c>
      <c r="AE1438" t="str">
        <f>""</f>
        <v/>
      </c>
    </row>
    <row r="1439" spans="1:31" x14ac:dyDescent="0.45">
      <c r="A1439" t="str">
        <f>"ГЛАДКОВ ВАСИЛИЙ ВЛАДИМИРОВИЧ"</f>
        <v>ГЛАДКОВ ВАСИЛИЙ ВЛАДИМИРОВИЧ</v>
      </c>
      <c r="B1439" t="str">
        <f>"1984-07-31"</f>
        <v>1984-07-31</v>
      </c>
      <c r="C1439" t="str">
        <f>"37 09 346209"</f>
        <v>37 09 346209</v>
      </c>
      <c r="D1439" t="str">
        <f>"4279011631342790"</f>
        <v>4279011631342790</v>
      </c>
      <c r="E1439" t="str">
        <f t="shared" si="240"/>
        <v>2021-05-31</v>
      </c>
      <c r="F1439" t="str">
        <f t="shared" si="241"/>
        <v>+</v>
      </c>
      <c r="G1439" t="str">
        <f t="shared" si="241"/>
        <v>+</v>
      </c>
      <c r="H1439" t="str">
        <f>"40817810216991391478"</f>
        <v>40817810216991391478</v>
      </c>
      <c r="I1439" t="str">
        <f>"8599"</f>
        <v>8599</v>
      </c>
      <c r="J1439" t="str">
        <f>"0206"</f>
        <v>0206</v>
      </c>
      <c r="K1439" t="str">
        <f>"22000.00"</f>
        <v>22000.00</v>
      </c>
      <c r="L1439" t="str">
        <f>"641000 ОБЛ КУРГАНСКАЯ     Г ПЕТУХОВО УЛ ЮБИЛЕЙНАЯ д. 2"</f>
        <v>641000 ОБЛ КУРГАНСКАЯ     Г ПЕТУХОВО УЛ ЮБИЛЕЙНАЯ д. 2</v>
      </c>
      <c r="M1439" t="str">
        <f t="shared" si="235"/>
        <v>2019-08-24</v>
      </c>
      <c r="N1439" t="str">
        <f>"ВЧ2016"</f>
        <v>ВЧ2016</v>
      </c>
      <c r="O1439" t="str">
        <f>"641000"</f>
        <v>641000</v>
      </c>
      <c r="P1439" t="str">
        <f>"ОБЛ КУРГАНСКАЯ"</f>
        <v>ОБЛ КУРГАНСКАЯ</v>
      </c>
      <c r="Q1439" t="str">
        <f>""</f>
        <v/>
      </c>
      <c r="R1439" t="str">
        <f>""</f>
        <v/>
      </c>
      <c r="S1439" t="str">
        <f>"Г ПЕТУХОВО"</f>
        <v>Г ПЕТУХОВО</v>
      </c>
      <c r="T1439" t="str">
        <f>"УЛ ГОГОЛДЯ"</f>
        <v>УЛ ГОГОЛДЯ</v>
      </c>
      <c r="U1439" s="1" t="str">
        <f>"50"</f>
        <v>50</v>
      </c>
      <c r="V1439" s="1" t="str">
        <f>""</f>
        <v/>
      </c>
      <c r="W1439" s="1" t="str">
        <f>""</f>
        <v/>
      </c>
      <c r="X1439" s="1" t="str">
        <f>""</f>
        <v/>
      </c>
      <c r="Y1439" s="1" t="str">
        <f>"2"</f>
        <v>2</v>
      </c>
      <c r="Z1439" t="str">
        <f>"3523532110"</f>
        <v>3523532110</v>
      </c>
      <c r="AA1439" t="str">
        <f>"3523538710"</f>
        <v>3523538710</v>
      </c>
      <c r="AB1439" t="str">
        <f>"9512683355"</f>
        <v>9512683355</v>
      </c>
      <c r="AC1439" t="str">
        <f>"3523538710"</f>
        <v>3523538710</v>
      </c>
      <c r="AD1439" t="str">
        <f>"9512683355"</f>
        <v>9512683355</v>
      </c>
      <c r="AE1439" t="str">
        <f>"3523532110"</f>
        <v>3523532110</v>
      </c>
    </row>
    <row r="1440" spans="1:31" x14ac:dyDescent="0.45">
      <c r="A1440" t="str">
        <f>"СУБАЕВ РУСТЕМ ВИНЕРОВИЧ"</f>
        <v>СУБАЕВ РУСТЕМ ВИНЕРОВИЧ</v>
      </c>
      <c r="B1440" t="str">
        <f>"1994-12-29"</f>
        <v>1994-12-29</v>
      </c>
      <c r="C1440" t="str">
        <f>"80 15 139769"</f>
        <v>80 15 139769</v>
      </c>
      <c r="D1440" t="str">
        <f>"4279011690222479"</f>
        <v>4279011690222479</v>
      </c>
      <c r="E1440" t="str">
        <f t="shared" si="240"/>
        <v>2021-05-31</v>
      </c>
      <c r="F1440" t="str">
        <f t="shared" si="241"/>
        <v>+</v>
      </c>
      <c r="G1440" t="str">
        <f t="shared" si="241"/>
        <v>+</v>
      </c>
      <c r="H1440" t="str">
        <f>"40817810316991391475"</f>
        <v>40817810316991391475</v>
      </c>
      <c r="I1440" t="str">
        <f>"8598"</f>
        <v>8598</v>
      </c>
      <c r="J1440" t="str">
        <f>"0221"</f>
        <v>0221</v>
      </c>
      <c r="K1440" t="str">
        <f>"70000.00"</f>
        <v>70000.00</v>
      </c>
      <c r="L1440" t="str">
        <f>"450000 РЕСП БАШКОРТОСТАН   Г УФА   УЛ МИРА д. 6"</f>
        <v>450000 РЕСП БАШКОРТОСТАН   Г УФА   УЛ МИРА д. 6</v>
      </c>
      <c r="M1440" t="str">
        <f t="shared" si="235"/>
        <v>2019-08-24</v>
      </c>
      <c r="N1440" t="str">
        <f>"ОТДЕЛ ФИЛИАЛА ГКУ РЦСПМ ПО ГОР УФЕ РБ В ОРДЖОН РАЙОНЕ"</f>
        <v>ОТДЕЛ ФИЛИАЛА ГКУ РЦСПМ ПО ГОР УФЕ РБ В ОРДЖОН РАЙОНЕ</v>
      </c>
      <c r="O1440" t="str">
        <f>"450000"</f>
        <v>450000</v>
      </c>
      <c r="P1440" t="str">
        <f>"РЕСП БАШКОРТОСТАН"</f>
        <v>РЕСП БАШКОРТОСТАН</v>
      </c>
      <c r="Q1440" t="str">
        <f>""</f>
        <v/>
      </c>
      <c r="R1440" t="str">
        <f>"Г УФА"</f>
        <v>Г УФА</v>
      </c>
      <c r="S1440" t="str">
        <f>""</f>
        <v/>
      </c>
      <c r="T1440" t="str">
        <f>"УЛ ГЕОРГИЯ МУШНИКОВА"</f>
        <v>УЛ ГЕОРГИЯ МУШНИКОВА</v>
      </c>
      <c r="U1440" s="1" t="str">
        <f>"9"</f>
        <v>9</v>
      </c>
      <c r="V1440" s="1" t="str">
        <f>""</f>
        <v/>
      </c>
      <c r="W1440" s="1" t="str">
        <f>"3"</f>
        <v>3</v>
      </c>
      <c r="X1440" s="1" t="str">
        <f>""</f>
        <v/>
      </c>
      <c r="Y1440" s="1" t="str">
        <f>"359"</f>
        <v>359</v>
      </c>
      <c r="Z1440" t="str">
        <f>""</f>
        <v/>
      </c>
      <c r="AA1440" t="str">
        <f>"9191560617"</f>
        <v>9191560617</v>
      </c>
      <c r="AB1440" t="str">
        <f>"9191560617"</f>
        <v>9191560617</v>
      </c>
      <c r="AC1440" t="str">
        <f>"9191560617"</f>
        <v>9191560617</v>
      </c>
      <c r="AD1440" t="str">
        <f>"9191560617"</f>
        <v>9191560617</v>
      </c>
      <c r="AE1440" t="str">
        <f>""</f>
        <v/>
      </c>
    </row>
    <row r="1441" spans="1:31" x14ac:dyDescent="0.45">
      <c r="A1441" t="str">
        <f>"ФАТКУЛЛИНА ЛИЛИЯ РИНАТОВНА"</f>
        <v>ФАТКУЛЛИНА ЛИЛИЯ РИНАТОВНА</v>
      </c>
      <c r="B1441" t="str">
        <f>"1978-06-12"</f>
        <v>1978-06-12</v>
      </c>
      <c r="C1441" t="str">
        <f>"80 11 363485"</f>
        <v>80 11 363485</v>
      </c>
      <c r="D1441" t="str">
        <f>"4279011652527881"</f>
        <v>4279011652527881</v>
      </c>
      <c r="E1441" t="str">
        <f t="shared" si="240"/>
        <v>2021-05-31</v>
      </c>
      <c r="F1441" t="str">
        <f t="shared" si="241"/>
        <v>+</v>
      </c>
      <c r="G1441" t="str">
        <f t="shared" si="241"/>
        <v>+</v>
      </c>
      <c r="H1441" t="str">
        <f>"40817810516991391482"</f>
        <v>40817810516991391482</v>
      </c>
      <c r="I1441" t="str">
        <f>"8598"</f>
        <v>8598</v>
      </c>
      <c r="J1441" t="str">
        <f>"0299"</f>
        <v>0299</v>
      </c>
      <c r="K1441" t="str">
        <f>"270000.00"</f>
        <v>270000.00</v>
      </c>
      <c r="L1441" t="str">
        <f>"450000 РЕСП БАШКОРТОСТАН   Г БЕЛОРЕЦК   УЛ МАЯКОВСКОГО д. 10"</f>
        <v>450000 РЕСП БАШКОРТОСТАН   Г БЕЛОРЕЦК   УЛ МАЯКОВСКОГО д. 10</v>
      </c>
      <c r="M1441" t="str">
        <f t="shared" si="235"/>
        <v>2019-08-24</v>
      </c>
      <c r="N1441" t="str">
        <f>"РЦДО БЕЛОРЕЦК"</f>
        <v>РЦДО БЕЛОРЕЦК</v>
      </c>
      <c r="O1441" t="str">
        <f>"450000"</f>
        <v>450000</v>
      </c>
      <c r="P1441" t="str">
        <f>"РЕСП БАШКОРТОСТАН"</f>
        <v>РЕСП БАШКОРТОСТАН</v>
      </c>
      <c r="Q1441" t="str">
        <f>""</f>
        <v/>
      </c>
      <c r="R1441" t="str">
        <f>"Г БЕЛОРЕЦК"</f>
        <v>Г БЕЛОРЕЦК</v>
      </c>
      <c r="S1441" t="str">
        <f>""</f>
        <v/>
      </c>
      <c r="T1441" t="str">
        <f>"УЛ МОЛОДЕЖНАЯ"</f>
        <v>УЛ МОЛОДЕЖНАЯ</v>
      </c>
      <c r="U1441" s="1" t="str">
        <f>"46"</f>
        <v>46</v>
      </c>
      <c r="V1441" s="1" t="str">
        <f>""</f>
        <v/>
      </c>
      <c r="W1441" s="1" t="str">
        <f>""</f>
        <v/>
      </c>
      <c r="X1441" s="1" t="str">
        <f>""</f>
        <v/>
      </c>
      <c r="Y1441" s="1" t="str">
        <f>""</f>
        <v/>
      </c>
      <c r="Z1441" t="str">
        <f>"9649510772"</f>
        <v>9649510772</v>
      </c>
      <c r="AA1441" t="str">
        <f>"9649510772"</f>
        <v>9649510772</v>
      </c>
      <c r="AB1441" t="str">
        <f>"9649510772"</f>
        <v>9649510772</v>
      </c>
      <c r="AC1441" t="str">
        <f>"9649510772"</f>
        <v>9649510772</v>
      </c>
      <c r="AD1441" t="str">
        <f>"9649510772"</f>
        <v>9649510772</v>
      </c>
      <c r="AE1441" t="str">
        <f>"9649510772"</f>
        <v>9649510772</v>
      </c>
    </row>
    <row r="1442" spans="1:31" x14ac:dyDescent="0.45">
      <c r="A1442" t="str">
        <f>"ВОЛЕГОВА ИРИНА ВАСИЛЬЕВНА"</f>
        <v>ВОЛЕГОВА ИРИНА ВАСИЛЬЕВНА</v>
      </c>
      <c r="B1442" t="str">
        <f>"1990-12-05"</f>
        <v>1990-12-05</v>
      </c>
      <c r="C1442" t="str">
        <f>"65 11 054237"</f>
        <v>65 11 054237</v>
      </c>
      <c r="D1442" t="str">
        <f>"4279011624481795"</f>
        <v>4279011624481795</v>
      </c>
      <c r="E1442" t="str">
        <f t="shared" si="240"/>
        <v>2021-05-31</v>
      </c>
      <c r="F1442" t="str">
        <f t="shared" si="241"/>
        <v>+</v>
      </c>
      <c r="G1442" t="str">
        <f t="shared" si="241"/>
        <v>+</v>
      </c>
      <c r="H1442" t="str">
        <f>"40817810016991391474"</f>
        <v>40817810016991391474</v>
      </c>
      <c r="I1442" t="str">
        <f>"7003"</f>
        <v>7003</v>
      </c>
      <c r="J1442" t="str">
        <f>"0712"</f>
        <v>0712</v>
      </c>
      <c r="K1442" t="str">
        <f>"100000.00"</f>
        <v>100000.00</v>
      </c>
      <c r="L1442" t="str">
        <f>"620000 ОБЛ СВЕРДЛОВСКАЯ   Г РЕВДА   УЛ ПРИВОКЗАЛЬНАЯ д. 2А"</f>
        <v>620000 ОБЛ СВЕРДЛОВСКАЯ   Г РЕВДА   УЛ ПРИВОКЗАЛЬНАЯ д. 2А</v>
      </c>
      <c r="M1442" t="str">
        <f t="shared" si="235"/>
        <v>2019-08-24</v>
      </c>
      <c r="N1442" t="str">
        <f>"ООО КАБЕЛЬНЫЙ ЗАВОД КАБЭКС"</f>
        <v>ООО КАБЕЛЬНЫЙ ЗАВОД КАБЭКС</v>
      </c>
      <c r="O1442" t="str">
        <f>"620000"</f>
        <v>620000</v>
      </c>
      <c r="P1442" t="str">
        <f>"ОБЛ СВЕРДЛОВСКАЯ"</f>
        <v>ОБЛ СВЕРДЛОВСКАЯ</v>
      </c>
      <c r="Q1442" t="str">
        <f>""</f>
        <v/>
      </c>
      <c r="R1442" t="str">
        <f>"Г РЕВДА"</f>
        <v>Г РЕВДА</v>
      </c>
      <c r="S1442" t="str">
        <f>""</f>
        <v/>
      </c>
      <c r="T1442" t="str">
        <f>"УЛ КИРЗАВОД"</f>
        <v>УЛ КИРЗАВОД</v>
      </c>
      <c r="U1442" s="1" t="str">
        <f>"29"</f>
        <v>29</v>
      </c>
      <c r="V1442" s="1" t="str">
        <f>""</f>
        <v/>
      </c>
      <c r="W1442" s="1" t="str">
        <f>""</f>
        <v/>
      </c>
      <c r="X1442" s="1" t="str">
        <f>""</f>
        <v/>
      </c>
      <c r="Y1442" s="1" t="str">
        <f>"59"</f>
        <v>59</v>
      </c>
      <c r="Z1442" t="str">
        <f>"3433800887"</f>
        <v>3433800887</v>
      </c>
      <c r="AA1442" t="str">
        <f>"9122226866"</f>
        <v>9122226866</v>
      </c>
      <c r="AB1442" t="str">
        <f>"9122226866"</f>
        <v>9122226866</v>
      </c>
      <c r="AC1442" t="str">
        <f>"9122226866"</f>
        <v>9122226866</v>
      </c>
      <c r="AD1442" t="str">
        <f>"9122226866"</f>
        <v>9122226866</v>
      </c>
      <c r="AE1442" t="str">
        <f>"3433800887"</f>
        <v>3433800887</v>
      </c>
    </row>
    <row r="1443" spans="1:31" x14ac:dyDescent="0.45">
      <c r="A1443" t="str">
        <f>"ЗАЙНУТДИНОВ АЗАТ НУРИСОВИЧ"</f>
        <v>ЗАЙНУТДИНОВ АЗАТ НУРИСОВИЧ</v>
      </c>
      <c r="B1443" t="str">
        <f>"1990-05-16"</f>
        <v>1990-05-16</v>
      </c>
      <c r="C1443" t="str">
        <f>"75 12 121159"</f>
        <v>75 12 121159</v>
      </c>
      <c r="D1443" t="str">
        <f>"4279011623843581"</f>
        <v>4279011623843581</v>
      </c>
      <c r="E1443" t="str">
        <f t="shared" si="240"/>
        <v>2021-05-31</v>
      </c>
      <c r="F1443" t="str">
        <f t="shared" si="241"/>
        <v>+</v>
      </c>
      <c r="G1443" t="str">
        <f t="shared" si="241"/>
        <v>+</v>
      </c>
      <c r="H1443" t="str">
        <f>"40817810716991391486"</f>
        <v>40817810716991391486</v>
      </c>
      <c r="I1443" t="str">
        <f>"8597"</f>
        <v>8597</v>
      </c>
      <c r="J1443" t="str">
        <f>"0486"</f>
        <v>0486</v>
      </c>
      <c r="K1443" t="str">
        <f>"50000.00"</f>
        <v>50000.00</v>
      </c>
      <c r="L1443" t="str">
        <f>"454000 ОБЛ ЧЕЛЯБИНСКАЯ   Г ЧЕЛЯБИНСК   УЛ ЕНИСЕЙСКАЯ д. 47"</f>
        <v>454000 ОБЛ ЧЕЛЯБИНСКАЯ   Г ЧЕЛЯБИНСК   УЛ ЕНИСЕЙСКАЯ д. 47</v>
      </c>
      <c r="M1443" t="str">
        <f t="shared" si="235"/>
        <v>2019-08-24</v>
      </c>
      <c r="N1443" t="str">
        <f>"ЧСГС"</f>
        <v>ЧСГС</v>
      </c>
      <c r="O1443" t="str">
        <f>"454000"</f>
        <v>454000</v>
      </c>
      <c r="P1443" t="str">
        <f>"ОБЛ ЧЕЛЯБИНСКАЯ"</f>
        <v>ОБЛ ЧЕЛЯБИНСКАЯ</v>
      </c>
      <c r="Q1443" t="str">
        <f>""</f>
        <v/>
      </c>
      <c r="R1443" t="str">
        <f>"Г ЕМАНЖЕЛИНСК"</f>
        <v>Г ЕМАНЖЕЛИНСК</v>
      </c>
      <c r="S1443" t="str">
        <f>""</f>
        <v/>
      </c>
      <c r="T1443" t="str">
        <f>"УЛ ОСТРОВСКОГО"</f>
        <v>УЛ ОСТРОВСКОГО</v>
      </c>
      <c r="U1443" s="1" t="str">
        <f>"48"</f>
        <v>48</v>
      </c>
      <c r="V1443" s="1" t="str">
        <f>""</f>
        <v/>
      </c>
      <c r="W1443" s="1" t="str">
        <f>""</f>
        <v/>
      </c>
      <c r="X1443" s="1" t="str">
        <f>""</f>
        <v/>
      </c>
      <c r="Y1443" s="1" t="str">
        <f>"60"</f>
        <v>60</v>
      </c>
      <c r="Z1443" t="str">
        <f>"3517304747"</f>
        <v>3517304747</v>
      </c>
      <c r="AA1443" t="str">
        <f>"9000788134"</f>
        <v>9000788134</v>
      </c>
      <c r="AB1443" t="str">
        <f>"9000788134"</f>
        <v>9000788134</v>
      </c>
      <c r="AC1443" t="str">
        <f>"9000788134"</f>
        <v>9000788134</v>
      </c>
      <c r="AD1443" t="str">
        <f>"9000788134"</f>
        <v>9000788134</v>
      </c>
      <c r="AE1443" t="str">
        <f>""</f>
        <v/>
      </c>
    </row>
    <row r="1444" spans="1:31" x14ac:dyDescent="0.45">
      <c r="A1444" t="str">
        <f>"БОБРОВКО СЕРГЕЙ МИХАЙЛОВИЧ"</f>
        <v>БОБРОВКО СЕРГЕЙ МИХАЙЛОВИЧ</v>
      </c>
      <c r="B1444" t="str">
        <f>"1990-10-19"</f>
        <v>1990-10-19</v>
      </c>
      <c r="C1444" t="str">
        <f>"80 15 237466"</f>
        <v>80 15 237466</v>
      </c>
      <c r="D1444" t="str">
        <f>"4279011616467893"</f>
        <v>4279011616467893</v>
      </c>
      <c r="E1444" t="str">
        <f t="shared" si="240"/>
        <v>2021-05-31</v>
      </c>
      <c r="F1444" t="str">
        <f t="shared" si="241"/>
        <v>+</v>
      </c>
      <c r="G1444" t="str">
        <f t="shared" si="241"/>
        <v>+</v>
      </c>
      <c r="H1444" t="str">
        <f>"40817810316991391640"</f>
        <v>40817810316991391640</v>
      </c>
      <c r="I1444" t="str">
        <f>"8598"</f>
        <v>8598</v>
      </c>
      <c r="J1444" t="str">
        <f>"0320"</f>
        <v>0320</v>
      </c>
      <c r="K1444" t="str">
        <f>"120000.00"</f>
        <v>120000.00</v>
      </c>
      <c r="L1444" t="str">
        <f>"450000 РЕСП БАШКОРТОСТАН   Г БЕЛОРЕЦК   УЛ ЧКАЛОВА д. 9"</f>
        <v>450000 РЕСП БАШКОРТОСТАН   Г БЕЛОРЕЦК   УЛ ЧКАЛОВА д. 9</v>
      </c>
      <c r="M1444" t="str">
        <f t="shared" si="235"/>
        <v>2019-08-24</v>
      </c>
      <c r="N1444" t="str">
        <f>"ООО ДЕКА-С"</f>
        <v>ООО ДЕКА-С</v>
      </c>
      <c r="O1444" t="str">
        <f>"450000"</f>
        <v>450000</v>
      </c>
      <c r="P1444" t="str">
        <f>"РЕСП БАШКОРТОСТАН"</f>
        <v>РЕСП БАШКОРТОСТАН</v>
      </c>
      <c r="Q1444" t="str">
        <f>""</f>
        <v/>
      </c>
      <c r="R1444" t="str">
        <f>"Г БЕЛОРЕЦК"</f>
        <v>Г БЕЛОРЕЦК</v>
      </c>
      <c r="S1444" t="str">
        <f>""</f>
        <v/>
      </c>
      <c r="T1444" t="str">
        <f>"УЛ УРАЛЬСКАЯ"</f>
        <v>УЛ УРАЛЬСКАЯ</v>
      </c>
      <c r="U1444" s="1" t="str">
        <f>"223"</f>
        <v>223</v>
      </c>
      <c r="V1444" s="1" t="str">
        <f>""</f>
        <v/>
      </c>
      <c r="W1444" s="1" t="str">
        <f>""</f>
        <v/>
      </c>
      <c r="X1444" s="1" t="str">
        <f>""</f>
        <v/>
      </c>
      <c r="Y1444" s="1" t="str">
        <f>""</f>
        <v/>
      </c>
      <c r="Z1444" t="str">
        <f>""</f>
        <v/>
      </c>
      <c r="AA1444" t="str">
        <f>"9608042113"</f>
        <v>9608042113</v>
      </c>
      <c r="AB1444" t="str">
        <f>"9996238508"</f>
        <v>9996238508</v>
      </c>
      <c r="AC1444" t="str">
        <f>"9608042113"</f>
        <v>9608042113</v>
      </c>
      <c r="AD1444" t="str">
        <f>"9996238508"</f>
        <v>9996238508</v>
      </c>
      <c r="AE1444" t="str">
        <f>""</f>
        <v/>
      </c>
    </row>
    <row r="1445" spans="1:31" x14ac:dyDescent="0.45">
      <c r="A1445" t="str">
        <f>"АЛЕКСЕЕВА ЯНА ВЛАДИСЛАВОВНА"</f>
        <v>АЛЕКСЕЕВА ЯНА ВЛАДИСЛАВОВНА</v>
      </c>
      <c r="B1445" t="str">
        <f>"1979-12-18"</f>
        <v>1979-12-18</v>
      </c>
      <c r="C1445" t="str">
        <f>"65 02 772854"</f>
        <v>65 02 772854</v>
      </c>
      <c r="D1445" t="str">
        <f>"4279011675644200"</f>
        <v>4279011675644200</v>
      </c>
      <c r="E1445" t="str">
        <f t="shared" si="240"/>
        <v>2021-05-31</v>
      </c>
      <c r="F1445" t="str">
        <f t="shared" si="241"/>
        <v>+</v>
      </c>
      <c r="G1445" t="str">
        <f t="shared" si="241"/>
        <v>+</v>
      </c>
      <c r="H1445" t="str">
        <f>"40817810616991391638"</f>
        <v>40817810616991391638</v>
      </c>
      <c r="I1445" t="str">
        <f>"7003"</f>
        <v>7003</v>
      </c>
      <c r="J1445" t="str">
        <f>"0787"</f>
        <v>0787</v>
      </c>
      <c r="K1445" t="str">
        <f>"200000.00"</f>
        <v>200000.00</v>
      </c>
      <c r="L1445" t="str">
        <f>"623950 ОБЛ СВЕРДЛОВСКАЯ   Г ТАВДА   УЛ ПОБЕДЫ д. 7 кв. 2"</f>
        <v>623950 ОБЛ СВЕРДЛОВСКАЯ   Г ТАВДА   УЛ ПОБЕДЫ д. 7 кв. 2</v>
      </c>
      <c r="M1445" t="str">
        <f t="shared" si="235"/>
        <v>2019-08-24</v>
      </c>
      <c r="N1445" t="str">
        <f>"ИП АЛЕКСЕЕВА"</f>
        <v>ИП АЛЕКСЕЕВА</v>
      </c>
      <c r="O1445" t="str">
        <f>"623950"</f>
        <v>623950</v>
      </c>
      <c r="P1445" t="str">
        <f>"ОБЛ СВЕРДЛОВСКАЯ"</f>
        <v>ОБЛ СВЕРДЛОВСКАЯ</v>
      </c>
      <c r="Q1445" t="str">
        <f>""</f>
        <v/>
      </c>
      <c r="R1445" t="str">
        <f>"Г ТАВДА"</f>
        <v>Г ТАВДА</v>
      </c>
      <c r="S1445" t="str">
        <f>""</f>
        <v/>
      </c>
      <c r="T1445" t="str">
        <f>"УЛ КРАСНОГВАРДЕЙСКАЯ"</f>
        <v>УЛ КРАСНОГВАРДЕЙСКАЯ</v>
      </c>
      <c r="U1445" s="1" t="str">
        <f>"73"</f>
        <v>73</v>
      </c>
      <c r="V1445" s="1" t="str">
        <f>""</f>
        <v/>
      </c>
      <c r="W1445" s="1" t="str">
        <f>""</f>
        <v/>
      </c>
      <c r="X1445" s="1" t="str">
        <f>""</f>
        <v/>
      </c>
      <c r="Y1445" s="1" t="str">
        <f>""</f>
        <v/>
      </c>
      <c r="Z1445" t="str">
        <f>""</f>
        <v/>
      </c>
      <c r="AA1445" t="str">
        <f>"3436032365"</f>
        <v>3436032365</v>
      </c>
      <c r="AB1445" t="str">
        <f>"9089058388"</f>
        <v>9089058388</v>
      </c>
      <c r="AC1445" t="str">
        <f>"3436032365"</f>
        <v>3436032365</v>
      </c>
      <c r="AD1445" t="str">
        <f>"9089058388"</f>
        <v>9089058388</v>
      </c>
      <c r="AE1445" t="str">
        <f>""</f>
        <v/>
      </c>
    </row>
    <row r="1446" spans="1:31" x14ac:dyDescent="0.45">
      <c r="A1446" t="str">
        <f>"НИГМАДЬЯНОВ ДМИТРИЙ ДИМОВИЧ"</f>
        <v>НИГМАДЬЯНОВ ДМИТРИЙ ДИМОВИЧ</v>
      </c>
      <c r="B1446" t="str">
        <f>"1971-06-02"</f>
        <v>1971-06-02</v>
      </c>
      <c r="C1446" t="str">
        <f>"75 16 816145"</f>
        <v>75 16 816145</v>
      </c>
      <c r="D1446" t="str">
        <f>"4817810001919304"</f>
        <v>4817810001919304</v>
      </c>
      <c r="E1446" t="str">
        <f t="shared" si="240"/>
        <v>2021-05-31</v>
      </c>
      <c r="F1446" t="str">
        <f t="shared" si="241"/>
        <v>+</v>
      </c>
      <c r="G1446" t="str">
        <f t="shared" si="241"/>
        <v>+</v>
      </c>
      <c r="H1446" t="str">
        <f>"40817810316991391637"</f>
        <v>40817810316991391637</v>
      </c>
      <c r="I1446" t="str">
        <f>"8597"</f>
        <v>8597</v>
      </c>
      <c r="J1446" t="str">
        <f>"0294"</f>
        <v>0294</v>
      </c>
      <c r="K1446" t="str">
        <f>"980000.00"</f>
        <v>980000.00</v>
      </c>
      <c r="L1446" t="str">
        <f>"454000 ОБЛ ЧЕЛЯБИНСКАЯ   Г ЧЕЛЯБИНСК   ПР-КТ КОМСОМОЛЬСКИЙ д. 83 офис 181"</f>
        <v>454000 ОБЛ ЧЕЛЯБИНСКАЯ   Г ЧЕЛЯБИНСК   ПР-КТ КОМСОМОЛЬСКИЙ д. 83 офис 181</v>
      </c>
      <c r="M1446" t="str">
        <f t="shared" si="235"/>
        <v>2019-08-24</v>
      </c>
      <c r="N1446" t="str">
        <f>"ООО ИВА СИЗ"</f>
        <v>ООО ИВА СИЗ</v>
      </c>
      <c r="O1446" t="str">
        <f>"454000"</f>
        <v>454000</v>
      </c>
      <c r="P1446" t="str">
        <f>"ОБЛ ЧЕЛЯБИНСКАЯ"</f>
        <v>ОБЛ ЧЕЛЯБИНСКАЯ</v>
      </c>
      <c r="Q1446" t="str">
        <f>""</f>
        <v/>
      </c>
      <c r="R1446" t="str">
        <f>"Г ЧЕЛЯБИНСК"</f>
        <v>Г ЧЕЛЯБИНСК</v>
      </c>
      <c r="S1446" t="str">
        <f>""</f>
        <v/>
      </c>
      <c r="T1446" t="str">
        <f>"УЛ ЧИЧЕРИНА"</f>
        <v>УЛ ЧИЧЕРИНА</v>
      </c>
      <c r="U1446" s="1" t="str">
        <f>"25"</f>
        <v>25</v>
      </c>
      <c r="V1446" s="1" t="str">
        <f>""</f>
        <v/>
      </c>
      <c r="W1446" s="1" t="str">
        <f>""</f>
        <v/>
      </c>
      <c r="X1446" s="1" t="str">
        <f>""</f>
        <v/>
      </c>
      <c r="Y1446" s="1" t="str">
        <f>"81"</f>
        <v>81</v>
      </c>
      <c r="Z1446" t="str">
        <f>""</f>
        <v/>
      </c>
      <c r="AA1446" t="str">
        <f>"9227503541"</f>
        <v>9227503541</v>
      </c>
      <c r="AB1446" t="str">
        <f>"9227382655"</f>
        <v>9227382655</v>
      </c>
      <c r="AC1446" t="str">
        <f>"9227503541"</f>
        <v>9227503541</v>
      </c>
      <c r="AD1446" t="str">
        <f>"9227382655"</f>
        <v>9227382655</v>
      </c>
      <c r="AE1446" t="str">
        <f>""</f>
        <v/>
      </c>
    </row>
    <row r="1447" spans="1:31" x14ac:dyDescent="0.45">
      <c r="A1447" t="str">
        <f>"БЕРСЕНЕВ СЕРГЕЙ ИГОРЕВИЧ"</f>
        <v>БЕРСЕНЕВ СЕРГЕЙ ИГОРЕВИЧ</v>
      </c>
      <c r="B1447" t="str">
        <f>"1993-02-09"</f>
        <v>1993-02-09</v>
      </c>
      <c r="C1447" t="str">
        <f>"65 13 568427"</f>
        <v>65 13 568427</v>
      </c>
      <c r="D1447" t="str">
        <f>"4279011619255402"</f>
        <v>4279011619255402</v>
      </c>
      <c r="E1447" t="str">
        <f t="shared" si="240"/>
        <v>2021-05-31</v>
      </c>
      <c r="F1447" t="str">
        <f t="shared" si="241"/>
        <v>+</v>
      </c>
      <c r="G1447" t="str">
        <f t="shared" si="241"/>
        <v>+</v>
      </c>
      <c r="H1447" t="str">
        <f>"40817810116991391646"</f>
        <v>40817810116991391646</v>
      </c>
      <c r="I1447" t="str">
        <f>"7003"</f>
        <v>7003</v>
      </c>
      <c r="J1447" t="str">
        <f>"0626"</f>
        <v>0626</v>
      </c>
      <c r="K1447" t="str">
        <f>"100000.00"</f>
        <v>100000.00</v>
      </c>
      <c r="L1447" t="str">
        <f>"620000 ОБЛ СВЕРДЛОВСКАЯ   Г АСБЕСТ   ПР-КТ ЛЕНИНА д. 9 кв. 18"</f>
        <v>620000 ОБЛ СВЕРДЛОВСКАЯ   Г АСБЕСТ   ПР-КТ ЛЕНИНА д. 9 кв. 18</v>
      </c>
      <c r="M1447" t="str">
        <f t="shared" si="235"/>
        <v>2019-08-24</v>
      </c>
      <c r="N1447" t="str">
        <f>"ИП БЕРСЕНЕВ"</f>
        <v>ИП БЕРСЕНЕВ</v>
      </c>
      <c r="O1447" t="str">
        <f>"620000"</f>
        <v>620000</v>
      </c>
      <c r="P1447" t="str">
        <f>"ОБЛ СВЕРДЛОВСКАЯ"</f>
        <v>ОБЛ СВЕРДЛОВСКАЯ</v>
      </c>
      <c r="Q1447" t="str">
        <f>""</f>
        <v/>
      </c>
      <c r="R1447" t="str">
        <f>"Г АСБЕСТ"</f>
        <v>Г АСБЕСТ</v>
      </c>
      <c r="S1447" t="str">
        <f>""</f>
        <v/>
      </c>
      <c r="T1447" t="str">
        <f>"ПР-КТ ЛЕНИНА"</f>
        <v>ПР-КТ ЛЕНИНА</v>
      </c>
      <c r="U1447" s="1" t="str">
        <f>"9"</f>
        <v>9</v>
      </c>
      <c r="V1447" s="1" t="str">
        <f>""</f>
        <v/>
      </c>
      <c r="W1447" s="1" t="str">
        <f>""</f>
        <v/>
      </c>
      <c r="X1447" s="1" t="str">
        <f>""</f>
        <v/>
      </c>
      <c r="Y1447" s="1" t="str">
        <f>"18"</f>
        <v>18</v>
      </c>
      <c r="Z1447" t="str">
        <f>"9221539366"</f>
        <v>9221539366</v>
      </c>
      <c r="AA1447" t="str">
        <f>"9221539366"</f>
        <v>9221539366</v>
      </c>
      <c r="AB1447" t="str">
        <f>"9221539366"</f>
        <v>9221539366</v>
      </c>
      <c r="AC1447" t="str">
        <f>"9221539366"</f>
        <v>9221539366</v>
      </c>
      <c r="AD1447" t="str">
        <f>"9221539366"</f>
        <v>9221539366</v>
      </c>
      <c r="AE1447" t="str">
        <f>"9221539366"</f>
        <v>9221539366</v>
      </c>
    </row>
    <row r="1448" spans="1:31" x14ac:dyDescent="0.45">
      <c r="A1448" t="str">
        <f>"ШУЛЬГИН ВИКТОР ВЛАДИМИРОВИЧ"</f>
        <v>ШУЛЬГИН ВИКТОР ВЛАДИМИРОВИЧ</v>
      </c>
      <c r="B1448" t="str">
        <f>"1979-09-22"</f>
        <v>1979-09-22</v>
      </c>
      <c r="C1448" t="str">
        <f>"65 12 559006"</f>
        <v>65 12 559006</v>
      </c>
      <c r="D1448" t="str">
        <f>"4279011652579882"</f>
        <v>4279011652579882</v>
      </c>
      <c r="E1448" t="str">
        <f t="shared" si="240"/>
        <v>2021-05-31</v>
      </c>
      <c r="F1448" t="str">
        <f>"+"</f>
        <v>+</v>
      </c>
      <c r="G1448" t="str">
        <f>"W"</f>
        <v>W</v>
      </c>
      <c r="H1448" t="str">
        <f>"40817810216991391643"</f>
        <v>40817810216991391643</v>
      </c>
      <c r="I1448" t="str">
        <f>"7003"</f>
        <v>7003</v>
      </c>
      <c r="J1448" t="str">
        <f>"0607"</f>
        <v>0607</v>
      </c>
      <c r="K1448" t="str">
        <f>"62000.00"</f>
        <v>62000.00</v>
      </c>
      <c r="L1448" t="str">
        <f>"620000 ОБЛ СВЕРДЛОВСКАЯ   Г ЕКАТЕРИНБУРГ   УЛ РОЩИНСКАЯ д. 11 офис 411"</f>
        <v>620000 ОБЛ СВЕРДЛОВСКАЯ   Г ЕКАТЕРИНБУРГ   УЛ РОЩИНСКАЯ д. 11 офис 411</v>
      </c>
      <c r="M1448" t="str">
        <f t="shared" si="235"/>
        <v>2019-08-24</v>
      </c>
      <c r="N1448" t="str">
        <f>"ООО ПРЕМЬЕР"</f>
        <v>ООО ПРЕМЬЕР</v>
      </c>
      <c r="O1448" t="str">
        <f>"620000"</f>
        <v>620000</v>
      </c>
      <c r="P1448" t="str">
        <f>"ОБЛ СВЕРДЛОВСКАЯ"</f>
        <v>ОБЛ СВЕРДЛОВСКАЯ</v>
      </c>
      <c r="Q1448" t="str">
        <f>"Р-Н ТАЛИЦКИЙ"</f>
        <v>Р-Н ТАЛИЦКИЙ</v>
      </c>
      <c r="R1448" t="str">
        <f>"Г ТАЛИЦА"</f>
        <v>Г ТАЛИЦА</v>
      </c>
      <c r="S1448" t="str">
        <f>""</f>
        <v/>
      </c>
      <c r="T1448" t="str">
        <f>"УЛ ПУШКИНА"</f>
        <v>УЛ ПУШКИНА</v>
      </c>
      <c r="U1448" s="1" t="str">
        <f>"4"</f>
        <v>4</v>
      </c>
      <c r="V1448" s="1" t="str">
        <f>""</f>
        <v/>
      </c>
      <c r="W1448" s="1" t="str">
        <f>""</f>
        <v/>
      </c>
      <c r="X1448" s="1" t="str">
        <f>""</f>
        <v/>
      </c>
      <c r="Y1448" s="1" t="str">
        <f>"50"</f>
        <v>50</v>
      </c>
      <c r="Z1448" t="str">
        <f>""</f>
        <v/>
      </c>
      <c r="AA1448" t="str">
        <f>"9002137744"</f>
        <v>9002137744</v>
      </c>
      <c r="AB1448" t="str">
        <f>"9221310479"</f>
        <v>9221310479</v>
      </c>
      <c r="AC1448" t="str">
        <f>"9002137744"</f>
        <v>9002137744</v>
      </c>
      <c r="AD1448" t="str">
        <f>"9002137744"</f>
        <v>9002137744</v>
      </c>
      <c r="AE1448" t="str">
        <f>""</f>
        <v/>
      </c>
    </row>
    <row r="1449" spans="1:31" x14ac:dyDescent="0.45">
      <c r="A1449" t="str">
        <f>"СМАЕВА ЮЛИЯ НИКОЛАЕВНА"</f>
        <v>СМАЕВА ЮЛИЯ НИКОЛАЕВНА</v>
      </c>
      <c r="B1449" t="str">
        <f>"1990-09-16"</f>
        <v>1990-09-16</v>
      </c>
      <c r="C1449" t="str">
        <f>"80 16 372202"</f>
        <v>80 16 372202</v>
      </c>
      <c r="D1449" t="str">
        <f>"4279011665505809"</f>
        <v>4279011665505809</v>
      </c>
      <c r="E1449" t="str">
        <f t="shared" si="240"/>
        <v>2021-05-31</v>
      </c>
      <c r="F1449" t="str">
        <f>"+"</f>
        <v>+</v>
      </c>
      <c r="G1449" t="str">
        <f>"+"</f>
        <v>+</v>
      </c>
      <c r="H1449" t="str">
        <f>"40817810516991391631"</f>
        <v>40817810516991391631</v>
      </c>
      <c r="I1449" t="str">
        <f>"8598"</f>
        <v>8598</v>
      </c>
      <c r="J1449" t="str">
        <f>"0160"</f>
        <v>0160</v>
      </c>
      <c r="K1449" t="str">
        <f>"85000.00"</f>
        <v>85000.00</v>
      </c>
      <c r="L1449" t="str">
        <f>"450000 РЕСП БАШКОРТОСТАН   Г УФА   УЛ ПР. ОКТЯБРЯ д. 37 корп. 4"</f>
        <v>450000 РЕСП БАШКОРТОСТАН   Г УФА   УЛ ПР. ОКТЯБРЯ д. 37 корп. 4</v>
      </c>
      <c r="M1449" t="str">
        <f t="shared" si="235"/>
        <v>2019-08-24</v>
      </c>
      <c r="N1449" t="str">
        <f>"МАДОУ №84"</f>
        <v>МАДОУ №84</v>
      </c>
      <c r="O1449" t="str">
        <f>"450000"</f>
        <v>450000</v>
      </c>
      <c r="P1449" t="str">
        <f>"РЕСП БАШКОРТОСТАН"</f>
        <v>РЕСП БАШКОРТОСТАН</v>
      </c>
      <c r="Q1449" t="str">
        <f>"Р-Н УФИМСКИЙ"</f>
        <v>Р-Н УФИМСКИЙ</v>
      </c>
      <c r="R1449" t="str">
        <f>""</f>
        <v/>
      </c>
      <c r="S1449" t="str">
        <f>"С АВДОН"</f>
        <v>С АВДОН</v>
      </c>
      <c r="T1449" t="str">
        <f>"УЛ 60 ЛЕТ СССР"</f>
        <v>УЛ 60 ЛЕТ СССР</v>
      </c>
      <c r="U1449" s="1" t="str">
        <f>"25"</f>
        <v>25</v>
      </c>
      <c r="V1449" s="1" t="str">
        <f>""</f>
        <v/>
      </c>
      <c r="W1449" s="1" t="str">
        <f>""</f>
        <v/>
      </c>
      <c r="X1449" s="1" t="str">
        <f>""</f>
        <v/>
      </c>
      <c r="Y1449" s="1" t="str">
        <f>"6"</f>
        <v>6</v>
      </c>
      <c r="Z1449" t="str">
        <f>"+7 (347) 2232386"</f>
        <v>+7 (347) 2232386</v>
      </c>
      <c r="AA1449" t="str">
        <f>"+7 (927) 0806067"</f>
        <v>+7 (927) 0806067</v>
      </c>
      <c r="AB1449" t="str">
        <f>"+7 (960) 3895369"</f>
        <v>+7 (960) 3895369</v>
      </c>
      <c r="AC1449" t="str">
        <f>"9270806067"</f>
        <v>9270806067</v>
      </c>
      <c r="AD1449" t="str">
        <f>"9270806067"</f>
        <v>9270806067</v>
      </c>
      <c r="AE1449" t="str">
        <f>""</f>
        <v/>
      </c>
    </row>
    <row r="1450" spans="1:31" x14ac:dyDescent="0.45">
      <c r="A1450" t="str">
        <f>"МОРДОВЦЕВА АЛЕНА ВИТАЛЬЕВНА"</f>
        <v>МОРДОВЦЕВА АЛЕНА ВИТАЛЬЕВНА</v>
      </c>
      <c r="B1450" t="str">
        <f>"1985-12-29"</f>
        <v>1985-12-29</v>
      </c>
      <c r="C1450" t="str">
        <f>"65 07 304737"</f>
        <v>65 07 304737</v>
      </c>
      <c r="D1450" t="str">
        <f>"4279011680922609"</f>
        <v>4279011680922609</v>
      </c>
      <c r="E1450" t="str">
        <f t="shared" si="240"/>
        <v>2021-05-31</v>
      </c>
      <c r="F1450" t="str">
        <f>"Y"</f>
        <v>Y</v>
      </c>
      <c r="G1450" t="str">
        <f>"Q"</f>
        <v>Q</v>
      </c>
      <c r="H1450" t="str">
        <f>"40817810316991391653"</f>
        <v>40817810316991391653</v>
      </c>
      <c r="I1450" t="str">
        <f>"7003"</f>
        <v>7003</v>
      </c>
      <c r="J1450" t="str">
        <f>"0887"</f>
        <v>0887</v>
      </c>
      <c r="K1450" t="str">
        <f t="shared" ref="K1450:K1451" si="242">"0.00"</f>
        <v>0.00</v>
      </c>
      <c r="L1450" t="str">
        <f>"620000 ОБЛ СВЕРДЛОВСКАЯ   Г ЕКАТЕРИНБУРГ   УЛ КРАСНОУРАЛЬСКАЯ д. 21 корп. А"</f>
        <v>620000 ОБЛ СВЕРДЛОВСКАЯ   Г ЕКАТЕРИНБУРГ   УЛ КРАСНОУРАЛЬСКАЯ д. 21 корп. А</v>
      </c>
      <c r="M1450" t="str">
        <f t="shared" si="235"/>
        <v>2019-08-24</v>
      </c>
      <c r="N1450" t="str">
        <f>"МБДОУ 539"</f>
        <v>МБДОУ 539</v>
      </c>
      <c r="O1450" t="str">
        <f>"620000"</f>
        <v>620000</v>
      </c>
      <c r="P1450" t="str">
        <f>"ОБЛ СВЕРДЛОВСКАЯ"</f>
        <v>ОБЛ СВЕРДЛОВСКАЯ</v>
      </c>
      <c r="Q1450" t="str">
        <f>""</f>
        <v/>
      </c>
      <c r="R1450" t="str">
        <f>"Г ЕКАТЕРИНБУРГ"</f>
        <v>Г ЕКАТЕРИНБУРГ</v>
      </c>
      <c r="S1450" t="str">
        <f>""</f>
        <v/>
      </c>
      <c r="T1450" t="str">
        <f>"УЛ МЕЛАЛЛУРГОВ"</f>
        <v>УЛ МЕЛАЛЛУРГОВ</v>
      </c>
      <c r="U1450" s="1" t="str">
        <f>"44"</f>
        <v>44</v>
      </c>
      <c r="V1450" s="1" t="str">
        <f>""</f>
        <v/>
      </c>
      <c r="W1450" s="1" t="str">
        <f>""</f>
        <v/>
      </c>
      <c r="X1450" s="1" t="str">
        <f>""</f>
        <v/>
      </c>
      <c r="Y1450" s="1" t="str">
        <f>"74"</f>
        <v>74</v>
      </c>
      <c r="Z1450" t="str">
        <f>"3432424358"</f>
        <v>3432424358</v>
      </c>
      <c r="AA1450" t="str">
        <f>"3432315332"</f>
        <v>3432315332</v>
      </c>
      <c r="AB1450" t="str">
        <f>"9521473042"</f>
        <v>9521473042</v>
      </c>
      <c r="AC1450" t="str">
        <f>"9531473042"</f>
        <v>9531473042</v>
      </c>
      <c r="AD1450" t="str">
        <f>"9531473042"</f>
        <v>9531473042</v>
      </c>
      <c r="AE1450" t="str">
        <f>"9531473042"</f>
        <v>9531473042</v>
      </c>
    </row>
    <row r="1451" spans="1:31" x14ac:dyDescent="0.45">
      <c r="A1451" t="str">
        <f>"ВЕРЕТЕННИКОВ АЛЕКСАНДР АЛЕКСАНДРОВИЧ"</f>
        <v>ВЕРЕТЕННИКОВ АЛЕКСАНДР АЛЕКСАНДРОВИЧ</v>
      </c>
      <c r="B1451" t="str">
        <f>"1996-03-26"</f>
        <v>1996-03-26</v>
      </c>
      <c r="C1451" t="str">
        <f>"65 16 301994"</f>
        <v>65 16 301994</v>
      </c>
      <c r="D1451" t="str">
        <f>"4279011639950594"</f>
        <v>4279011639950594</v>
      </c>
      <c r="E1451" t="str">
        <f t="shared" si="240"/>
        <v>2021-05-31</v>
      </c>
      <c r="F1451" t="str">
        <f>"Q"</f>
        <v>Q</v>
      </c>
      <c r="G1451" t="str">
        <f>"Q"</f>
        <v>Q</v>
      </c>
      <c r="H1451" t="str">
        <f>"40817810516991391644"</f>
        <v>40817810516991391644</v>
      </c>
      <c r="I1451" t="str">
        <f>"7003"</f>
        <v>7003</v>
      </c>
      <c r="J1451" t="str">
        <f>"0899"</f>
        <v>0899</v>
      </c>
      <c r="K1451" t="str">
        <f t="shared" si="242"/>
        <v>0.00</v>
      </c>
      <c r="L1451" t="str">
        <f>"620000 ОБЛ СВЕРДЛОВСКАЯ   Г ЕКАТЕРИНБУРГ   УЛ ПОБЕДЫ"</f>
        <v>620000 ОБЛ СВЕРДЛОВСКАЯ   Г ЕКАТЕРИНБУРГ   УЛ ПОБЕДЫ</v>
      </c>
      <c r="M1451" t="str">
        <f t="shared" si="235"/>
        <v>2019-08-24</v>
      </c>
      <c r="N1451" t="str">
        <f>"16543283"</f>
        <v>16543283</v>
      </c>
      <c r="O1451" t="str">
        <f>"624285"</f>
        <v>624285</v>
      </c>
      <c r="P1451" t="str">
        <f>"ОБЛ СВЕРДЛОВСКАЯ"</f>
        <v>ОБЛ СВЕРДЛОВСКАЯ</v>
      </c>
      <c r="Q1451" t="str">
        <f>""</f>
        <v/>
      </c>
      <c r="R1451" t="str">
        <f>"Г АСБЕСТ"</f>
        <v>Г АСБЕСТ</v>
      </c>
      <c r="S1451" t="str">
        <f>"РП РЕФТИНСКИЙ"</f>
        <v>РП РЕФТИНСКИЙ</v>
      </c>
      <c r="T1451" t="str">
        <f>"УЛ МОЛОДЕЖНАЯ"</f>
        <v>УЛ МОЛОДЕЖНАЯ</v>
      </c>
      <c r="U1451" s="1" t="str">
        <f>"3"</f>
        <v>3</v>
      </c>
      <c r="V1451" s="1" t="str">
        <f>""</f>
        <v/>
      </c>
      <c r="W1451" s="1" t="str">
        <f>""</f>
        <v/>
      </c>
      <c r="X1451" s="1" t="str">
        <f>""</f>
        <v/>
      </c>
      <c r="Y1451" s="1" t="str">
        <f>"85"</f>
        <v>85</v>
      </c>
      <c r="Z1451" t="str">
        <f>"9995592403"</f>
        <v>9995592403</v>
      </c>
      <c r="AA1451" t="str">
        <f>"9995592433"</f>
        <v>9995592433</v>
      </c>
      <c r="AB1451" t="str">
        <f>"9995592433"</f>
        <v>9995592433</v>
      </c>
      <c r="AC1451" t="str">
        <f>"9995592433"</f>
        <v>9995592433</v>
      </c>
      <c r="AD1451" t="str">
        <f>"9995592433"</f>
        <v>9995592433</v>
      </c>
      <c r="AE1451" t="str">
        <f>""</f>
        <v/>
      </c>
    </row>
    <row r="1452" spans="1:31" x14ac:dyDescent="0.45">
      <c r="A1452" t="str">
        <f>"ЛУГОВОЙ АЛЕКСАНДР СЕРГЕЕВИЧ"</f>
        <v>ЛУГОВОЙ АЛЕКСАНДР СЕРГЕЕВИЧ</v>
      </c>
      <c r="B1452" t="str">
        <f>"1976-03-17"</f>
        <v>1976-03-17</v>
      </c>
      <c r="C1452" t="str">
        <f>"75 00 846112"</f>
        <v>75 00 846112</v>
      </c>
      <c r="D1452" t="str">
        <f>"4279011655367392"</f>
        <v>4279011655367392</v>
      </c>
      <c r="E1452" t="str">
        <f t="shared" si="240"/>
        <v>2021-05-31</v>
      </c>
      <c r="F1452" t="str">
        <f t="shared" ref="F1452:G1458" si="243">"+"</f>
        <v>+</v>
      </c>
      <c r="G1452" t="str">
        <f t="shared" si="243"/>
        <v>+</v>
      </c>
      <c r="H1452" t="str">
        <f>"40817810416991391634"</f>
        <v>40817810416991391634</v>
      </c>
      <c r="I1452" t="str">
        <f>"8597"</f>
        <v>8597</v>
      </c>
      <c r="J1452" t="str">
        <f>"0341"</f>
        <v>0341</v>
      </c>
      <c r="K1452" t="str">
        <f>"165000.00"</f>
        <v>165000.00</v>
      </c>
      <c r="L1452" t="str">
        <f>"454000 ОБЛ ЧЕЛЯБИНСКАЯ   Г МАГНИТОГОРСК   УЛ ВОКЗАЛЬНАЯ д. 2 корп. 2"</f>
        <v>454000 ОБЛ ЧЕЛЯБИНСКАЯ   Г МАГНИТОГОРСК   УЛ ВОКЗАЛЬНАЯ д. 2 корп. 2</v>
      </c>
      <c r="M1452" t="str">
        <f t="shared" si="235"/>
        <v>2019-08-24</v>
      </c>
      <c r="N1452" t="str">
        <f>"ООО ТЛК"</f>
        <v>ООО ТЛК</v>
      </c>
      <c r="O1452" t="str">
        <f>"454000"</f>
        <v>454000</v>
      </c>
      <c r="P1452" t="str">
        <f>"ОБЛ ЧЕЛЯБИНСКАЯ"</f>
        <v>ОБЛ ЧЕЛЯБИНСКАЯ</v>
      </c>
      <c r="Q1452" t="str">
        <f>""</f>
        <v/>
      </c>
      <c r="R1452" t="str">
        <f>"Г МАГНИТОГОРСК"</f>
        <v>Г МАГНИТОГОРСК</v>
      </c>
      <c r="S1452" t="str">
        <f>""</f>
        <v/>
      </c>
      <c r="T1452" t="str">
        <f>"УЛ ПРАВДЫ"</f>
        <v>УЛ ПРАВДЫ</v>
      </c>
      <c r="U1452" s="1" t="str">
        <f>"48"</f>
        <v>48</v>
      </c>
      <c r="V1452" s="1" t="str">
        <f>""</f>
        <v/>
      </c>
      <c r="W1452" s="1" t="str">
        <f>""</f>
        <v/>
      </c>
      <c r="X1452" s="1" t="str">
        <f>""</f>
        <v/>
      </c>
      <c r="Y1452" s="1" t="str">
        <f>"65"</f>
        <v>65</v>
      </c>
      <c r="Z1452" t="str">
        <f>""</f>
        <v/>
      </c>
      <c r="AA1452" t="str">
        <f>"9128050017"</f>
        <v>9128050017</v>
      </c>
      <c r="AB1452" t="str">
        <f>"9128050017"</f>
        <v>9128050017</v>
      </c>
      <c r="AC1452" t="str">
        <f>"9128050017"</f>
        <v>9128050017</v>
      </c>
      <c r="AD1452" t="str">
        <f>"9128050017"</f>
        <v>9128050017</v>
      </c>
      <c r="AE1452" t="str">
        <f>""</f>
        <v/>
      </c>
    </row>
    <row r="1453" spans="1:31" x14ac:dyDescent="0.45">
      <c r="A1453" t="str">
        <f>"КАРМАНОВА ЛЮДМИЛА ДМИТРИЕВНА"</f>
        <v>КАРМАНОВА ЛЮДМИЛА ДМИТРИЕВНА</v>
      </c>
      <c r="B1453" t="str">
        <f>"1954-09-19"</f>
        <v>1954-09-19</v>
      </c>
      <c r="C1453" t="str">
        <f>"65 03 941649"</f>
        <v>65 03 941649</v>
      </c>
      <c r="D1453" t="str">
        <f>"4279011630624123"</f>
        <v>4279011630624123</v>
      </c>
      <c r="E1453" t="str">
        <f>"2021-06-30"</f>
        <v>2021-06-30</v>
      </c>
      <c r="F1453" t="str">
        <f t="shared" si="243"/>
        <v>+</v>
      </c>
      <c r="G1453" t="str">
        <f t="shared" si="243"/>
        <v>+</v>
      </c>
      <c r="H1453" t="str">
        <f>"40817810016991463195"</f>
        <v>40817810016991463195</v>
      </c>
      <c r="I1453" t="str">
        <f>"7003"</f>
        <v>7003</v>
      </c>
      <c r="J1453" t="str">
        <f>"0714"</f>
        <v>0714</v>
      </c>
      <c r="K1453" t="str">
        <f>"180000.00"</f>
        <v>180000.00</v>
      </c>
      <c r="L1453" t="str">
        <f>"620000 ОБЛ СВЕРДЛОВСКАЯ   Г НЕВЬЯНСК   УЛ КРАСНОАРМЕЙСКАЯ д. 14"</f>
        <v>620000 ОБЛ СВЕРДЛОВСКАЯ   Г НЕВЬЯНСК   УЛ КРАСНОАРМЕЙСКАЯ д. 14</v>
      </c>
      <c r="M1453" t="str">
        <f t="shared" si="235"/>
        <v>2019-08-24</v>
      </c>
      <c r="N1453" t="str">
        <f>"УПФР В Г. НЕВЬЯНСКЕ"</f>
        <v>УПФР В Г. НЕВЬЯНСКЕ</v>
      </c>
      <c r="O1453" t="str">
        <f>"620000"</f>
        <v>620000</v>
      </c>
      <c r="P1453" t="str">
        <f>"ОБЛ СВЕРДЛОВСКАЯ"</f>
        <v>ОБЛ СВЕРДЛОВСКАЯ</v>
      </c>
      <c r="Q1453" t="str">
        <f>""</f>
        <v/>
      </c>
      <c r="R1453" t="str">
        <f>"Г НЕВЬЯНСК"</f>
        <v>Г НЕВЬЯНСК</v>
      </c>
      <c r="S1453" t="str">
        <f>""</f>
        <v/>
      </c>
      <c r="T1453" t="str">
        <f>"УЛ МАТВЕЕВА"</f>
        <v>УЛ МАТВЕЕВА</v>
      </c>
      <c r="U1453" s="1" t="str">
        <f>"32"</f>
        <v>32</v>
      </c>
      <c r="V1453" s="1" t="str">
        <f>""</f>
        <v/>
      </c>
      <c r="W1453" s="1" t="str">
        <f>"1"</f>
        <v>1</v>
      </c>
      <c r="X1453" s="1" t="str">
        <f>""</f>
        <v/>
      </c>
      <c r="Y1453" s="1" t="str">
        <f>"40"</f>
        <v>40</v>
      </c>
      <c r="Z1453" t="str">
        <f>""</f>
        <v/>
      </c>
      <c r="AA1453" t="str">
        <f>"9090202018"</f>
        <v>9090202018</v>
      </c>
      <c r="AB1453" t="str">
        <f>"9090201986"</f>
        <v>9090201986</v>
      </c>
      <c r="AC1453" t="str">
        <f>"9090202018"</f>
        <v>9090202018</v>
      </c>
      <c r="AD1453" t="str">
        <f>"9090201986"</f>
        <v>9090201986</v>
      </c>
      <c r="AE1453" t="str">
        <f>""</f>
        <v/>
      </c>
    </row>
    <row r="1454" spans="1:31" x14ac:dyDescent="0.45">
      <c r="A1454" t="str">
        <f>"ПОНОМАРЁВ ИВАН ГЕОРГИЕВИЧ"</f>
        <v>ПОНОМАРЁВ ИВАН ГЕОРГИЕВИЧ</v>
      </c>
      <c r="B1454" t="str">
        <f>"1989-05-18"</f>
        <v>1989-05-18</v>
      </c>
      <c r="C1454" t="str">
        <f>"65 14 895902"</f>
        <v>65 14 895902</v>
      </c>
      <c r="D1454" t="str">
        <f>"4279011668265369"</f>
        <v>4279011668265369</v>
      </c>
      <c r="E1454" t="str">
        <f>"2021-06-30"</f>
        <v>2021-06-30</v>
      </c>
      <c r="F1454" t="str">
        <f t="shared" si="243"/>
        <v>+</v>
      </c>
      <c r="G1454" t="str">
        <f t="shared" si="243"/>
        <v>+</v>
      </c>
      <c r="H1454" t="str">
        <f>"40817810816991463201"</f>
        <v>40817810816991463201</v>
      </c>
      <c r="I1454" t="str">
        <f>"7003"</f>
        <v>7003</v>
      </c>
      <c r="J1454" t="str">
        <f>"0859"</f>
        <v>0859</v>
      </c>
      <c r="K1454" t="str">
        <f>"93000.00"</f>
        <v>93000.00</v>
      </c>
      <c r="L1454" t="str">
        <f>"620000 ОБЛ СВЕРДЛОВСКАЯ   Г СЕРОВ   УЛ ЛЕНИНА д. 22"</f>
        <v>620000 ОБЛ СВЕРДЛОВСКАЯ   Г СЕРОВ   УЛ ЛЕНИНА д. 22</v>
      </c>
      <c r="M1454" t="str">
        <f t="shared" si="235"/>
        <v>2019-08-24</v>
      </c>
      <c r="N1454" t="str">
        <f>"ПРОМЭЛЕКТРОМОНТАЖ"</f>
        <v>ПРОМЭЛЕКТРОМОНТАЖ</v>
      </c>
      <c r="O1454" t="str">
        <f>"620000"</f>
        <v>620000</v>
      </c>
      <c r="P1454" t="str">
        <f>"ОБЛ СВЕРДЛОВСКАЯ"</f>
        <v>ОБЛ СВЕРДЛОВСКАЯ</v>
      </c>
      <c r="Q1454" t="str">
        <f>""</f>
        <v/>
      </c>
      <c r="R1454" t="str">
        <f>"Г НИЖНЯЯ ТУРА"</f>
        <v>Г НИЖНЯЯ ТУРА</v>
      </c>
      <c r="S1454" t="str">
        <f>""</f>
        <v/>
      </c>
      <c r="T1454" t="str">
        <f>"УЛ КАРЛА МАРКСА"</f>
        <v>УЛ КАРЛА МАРКСА</v>
      </c>
      <c r="U1454" s="1" t="str">
        <f>"28"</f>
        <v>28</v>
      </c>
      <c r="V1454" s="1" t="str">
        <f>""</f>
        <v/>
      </c>
      <c r="W1454" s="1" t="str">
        <f>""</f>
        <v/>
      </c>
      <c r="X1454" s="1" t="str">
        <f>""</f>
        <v/>
      </c>
      <c r="Y1454" s="1" t="str">
        <f>"7"</f>
        <v>7</v>
      </c>
      <c r="Z1454" t="str">
        <f>"9527441431"</f>
        <v>9527441431</v>
      </c>
      <c r="AA1454" t="str">
        <f>"9021557454"</f>
        <v>9021557454</v>
      </c>
      <c r="AB1454" t="str">
        <f>"9021557454"</f>
        <v>9021557454</v>
      </c>
      <c r="AC1454" t="str">
        <f>"9021557454"</f>
        <v>9021557454</v>
      </c>
      <c r="AD1454" t="str">
        <f>"9021557454"</f>
        <v>9021557454</v>
      </c>
      <c r="AE1454" t="str">
        <f>"9527441431"</f>
        <v>9527441431</v>
      </c>
    </row>
    <row r="1455" spans="1:31" x14ac:dyDescent="0.45">
      <c r="A1455" t="str">
        <f>"ЖИЛЯКОВА АНАСТАСИЯ СЕРГЕЕВНА"</f>
        <v>ЖИЛЯКОВА АНАСТАСИЯ СЕРГЕЕВНА</v>
      </c>
      <c r="B1455" t="str">
        <f>"1993-02-07"</f>
        <v>1993-02-07</v>
      </c>
      <c r="C1455" t="str">
        <f>"37 12 518462"</f>
        <v>37 12 518462</v>
      </c>
      <c r="D1455" t="str">
        <f>"4279011695664915"</f>
        <v>4279011695664915</v>
      </c>
      <c r="E1455" t="str">
        <f>"2021-06-30"</f>
        <v>2021-06-30</v>
      </c>
      <c r="F1455" t="str">
        <f t="shared" si="243"/>
        <v>+</v>
      </c>
      <c r="G1455" t="str">
        <f t="shared" si="243"/>
        <v>+</v>
      </c>
      <c r="H1455" t="str">
        <f>"40817810116991463202"</f>
        <v>40817810116991463202</v>
      </c>
      <c r="I1455" t="str">
        <f>"8599"</f>
        <v>8599</v>
      </c>
      <c r="J1455" t="str">
        <f>"7770"</f>
        <v>7770</v>
      </c>
      <c r="K1455" t="str">
        <f>"150000.00"</f>
        <v>150000.00</v>
      </c>
      <c r="L1455" t="str">
        <f>"641000 ОБЛ КУРГАНСКАЯ     РП ВАРГАШИ УЛ ЛЕНИНА д. 14"</f>
        <v>641000 ОБЛ КУРГАНСКАЯ     РП ВАРГАШИ УЛ ЛЕНИНА д. 14</v>
      </c>
      <c r="M1455" t="str">
        <f t="shared" si="235"/>
        <v>2019-08-24</v>
      </c>
      <c r="N1455" t="str">
        <f>"ВАРГАШИНСКЯ ЦРБ"</f>
        <v>ВАРГАШИНСКЯ ЦРБ</v>
      </c>
      <c r="O1455" t="str">
        <f>"641000"</f>
        <v>641000</v>
      </c>
      <c r="P1455" t="str">
        <f>"ОБЛ КУРГАНСКАЯ"</f>
        <v>ОБЛ КУРГАНСКАЯ</v>
      </c>
      <c r="Q1455" t="str">
        <f>"Р-Н МОКРОУСОВСКИЙ"</f>
        <v>Р-Н МОКРОУСОВСКИЙ</v>
      </c>
      <c r="R1455" t="str">
        <f>""</f>
        <v/>
      </c>
      <c r="S1455" t="str">
        <f>"С МОКРОУСОВО"</f>
        <v>С МОКРОУСОВО</v>
      </c>
      <c r="T1455" t="str">
        <f>"УЛ 1 МАЯ"</f>
        <v>УЛ 1 МАЯ</v>
      </c>
      <c r="U1455" s="1" t="str">
        <f>"11"</f>
        <v>11</v>
      </c>
      <c r="V1455" s="1" t="str">
        <f>""</f>
        <v/>
      </c>
      <c r="W1455" s="1" t="str">
        <f>""</f>
        <v/>
      </c>
      <c r="X1455" s="1" t="str">
        <f>""</f>
        <v/>
      </c>
      <c r="Y1455" s="1" t="str">
        <f>""</f>
        <v/>
      </c>
      <c r="Z1455" t="str">
        <f>"3523332570"</f>
        <v>3523332570</v>
      </c>
      <c r="AA1455" t="str">
        <f>"9821337699"</f>
        <v>9821337699</v>
      </c>
      <c r="AB1455" t="str">
        <f>"9821337699"</f>
        <v>9821337699</v>
      </c>
      <c r="AC1455" t="str">
        <f>"9821337699"</f>
        <v>9821337699</v>
      </c>
      <c r="AD1455" t="str">
        <f>"9821337699"</f>
        <v>9821337699</v>
      </c>
      <c r="AE1455" t="str">
        <f>"3523332570"</f>
        <v>3523332570</v>
      </c>
    </row>
    <row r="1456" spans="1:31" x14ac:dyDescent="0.45">
      <c r="A1456" t="str">
        <f>"ЧЕРНЕЦОВА ОКСАНА ВЛАДИМИРОВНА"</f>
        <v>ЧЕРНЕЦОВА ОКСАНА ВЛАДИМИРОВНА</v>
      </c>
      <c r="B1456" t="str">
        <f>"1984-07-28"</f>
        <v>1984-07-28</v>
      </c>
      <c r="C1456" t="str">
        <f>"65 05 209018"</f>
        <v>65 05 209018</v>
      </c>
      <c r="D1456" t="str">
        <f>"4279011650399580"</f>
        <v>4279011650399580</v>
      </c>
      <c r="E1456" t="str">
        <f>"2021-06-30"</f>
        <v>2021-06-30</v>
      </c>
      <c r="F1456" t="str">
        <f t="shared" si="243"/>
        <v>+</v>
      </c>
      <c r="G1456" t="str">
        <f t="shared" si="243"/>
        <v>+</v>
      </c>
      <c r="H1456" t="str">
        <f>"40817810016991463205"</f>
        <v>40817810016991463205</v>
      </c>
      <c r="I1456" t="str">
        <f>"7003"</f>
        <v>7003</v>
      </c>
      <c r="J1456" t="str">
        <f>"0857"</f>
        <v>0857</v>
      </c>
      <c r="K1456" t="str">
        <f>"90000.00"</f>
        <v>90000.00</v>
      </c>
      <c r="L1456" t="str">
        <f>"620000 ОБЛ СВЕРДЛОВСКАЯ   Г КРАСНОТУРЬИНСК   УЛ МЕТАЛЛУРГОВ д. 1"</f>
        <v>620000 ОБЛ СВЕРДЛОВСКАЯ   Г КРАСНОТУРЬИНСК   УЛ МЕТАЛЛУРГОВ д. 1</v>
      </c>
      <c r="M1456" t="str">
        <f t="shared" si="235"/>
        <v>2019-08-24</v>
      </c>
      <c r="N1456" t="str">
        <f>"КРАСНОТУРЬИНСКОЕ ЛПУ"</f>
        <v>КРАСНОТУРЬИНСКОЕ ЛПУ</v>
      </c>
      <c r="O1456" t="str">
        <f>"620000"</f>
        <v>620000</v>
      </c>
      <c r="P1456" t="str">
        <f>"ОБЛ СВЕРДЛОВСКАЯ"</f>
        <v>ОБЛ СВЕРДЛОВСКАЯ</v>
      </c>
      <c r="Q1456" t="str">
        <f>""</f>
        <v/>
      </c>
      <c r="R1456" t="str">
        <f>"Г КРАСНОТУРЬИНСК"</f>
        <v>Г КРАСНОТУРЬИНСК</v>
      </c>
      <c r="S1456" t="str">
        <f>""</f>
        <v/>
      </c>
      <c r="T1456" t="str">
        <f>"УЛ КАРЛА МАРКСА"</f>
        <v>УЛ КАРЛА МАРКСА</v>
      </c>
      <c r="U1456" s="1" t="str">
        <f>"19"</f>
        <v>19</v>
      </c>
      <c r="V1456" s="1" t="str">
        <f>""</f>
        <v/>
      </c>
      <c r="W1456" s="1" t="str">
        <f>""</f>
        <v/>
      </c>
      <c r="X1456" s="1" t="str">
        <f>""</f>
        <v/>
      </c>
      <c r="Y1456" s="1" t="str">
        <f>"9"</f>
        <v>9</v>
      </c>
      <c r="Z1456" t="str">
        <f>"9530077988"</f>
        <v>9530077988</v>
      </c>
      <c r="AA1456" t="str">
        <f>"9530077991"</f>
        <v>9530077991</v>
      </c>
      <c r="AB1456" t="str">
        <f>"9530077991"</f>
        <v>9530077991</v>
      </c>
      <c r="AC1456" t="str">
        <f>"9530077991"</f>
        <v>9530077991</v>
      </c>
      <c r="AD1456" t="str">
        <f>"9530077991"</f>
        <v>9530077991</v>
      </c>
      <c r="AE1456" t="str">
        <f>"9530077988"</f>
        <v>9530077988</v>
      </c>
    </row>
    <row r="1457" spans="1:31" x14ac:dyDescent="0.45">
      <c r="A1457" t="str">
        <f>"САЛАВАТОВА ЮЛИЯ ШАЙМУРАТОВНА"</f>
        <v>САЛАВАТОВА ЮЛИЯ ШАЙМУРАТОВНА</v>
      </c>
      <c r="B1457" t="str">
        <f>"1995-07-12"</f>
        <v>1995-07-12</v>
      </c>
      <c r="C1457" t="str">
        <f>"80 15 226955"</f>
        <v>80 15 226955</v>
      </c>
      <c r="D1457" t="str">
        <f>"4854630209739419"</f>
        <v>4854630209739419</v>
      </c>
      <c r="E1457" t="str">
        <f>"2021-04-30"</f>
        <v>2021-04-30</v>
      </c>
      <c r="F1457" t="str">
        <f t="shared" si="243"/>
        <v>+</v>
      </c>
      <c r="G1457" t="str">
        <f t="shared" si="243"/>
        <v>+</v>
      </c>
      <c r="H1457" t="str">
        <f>"40817810516991429626"</f>
        <v>40817810516991429626</v>
      </c>
      <c r="I1457" t="str">
        <f>"8598"</f>
        <v>8598</v>
      </c>
      <c r="J1457" t="str">
        <f>"0655"</f>
        <v>0655</v>
      </c>
      <c r="K1457" t="str">
        <f>"125000.00"</f>
        <v>125000.00</v>
      </c>
      <c r="L1457" t="str">
        <f>"450000 РЕСП БАШКОРТОСТАН Р-Н ТУЙМАЗИНСКИЙ   С СУБХАНКУЛОВО УЛ ШКОЛЬНАЯ д. 3"</f>
        <v>450000 РЕСП БАШКОРТОСТАН Р-Н ТУЙМАЗИНСКИЙ   С СУБХАНКУЛОВО УЛ ШКОЛЬНАЯ д. 3</v>
      </c>
      <c r="M1457" t="str">
        <f t="shared" si="235"/>
        <v>2019-08-24</v>
      </c>
      <c r="N1457" t="str">
        <f>"ПАО ТРАНСНЕФТЬ"</f>
        <v>ПАО ТРАНСНЕФТЬ</v>
      </c>
      <c r="O1457" t="str">
        <f>"450000"</f>
        <v>450000</v>
      </c>
      <c r="P1457" t="str">
        <f>"РЕСП БАШКОРТОСТАН"</f>
        <v>РЕСП БАШКОРТОСТАН</v>
      </c>
      <c r="Q1457" t="str">
        <f>"Р-Н ТУЙМАЗИНСКИЙ"</f>
        <v>Р-Н ТУЙМАЗИНСКИЙ</v>
      </c>
      <c r="R1457" t="str">
        <f>""</f>
        <v/>
      </c>
      <c r="S1457" t="str">
        <f>"С НИКОЛАЕВКА"</f>
        <v>С НИКОЛАЕВКА</v>
      </c>
      <c r="T1457" t="str">
        <f>"УЛ ШОССЕЙНАЯ"</f>
        <v>УЛ ШОССЕЙНАЯ</v>
      </c>
      <c r="U1457" s="1" t="str">
        <f>"18"</f>
        <v>18</v>
      </c>
      <c r="V1457" s="1" t="str">
        <f>""</f>
        <v/>
      </c>
      <c r="W1457" s="1" t="str">
        <f>""</f>
        <v/>
      </c>
      <c r="X1457" s="1" t="str">
        <f>""</f>
        <v/>
      </c>
      <c r="Y1457" s="1" t="str">
        <f>""</f>
        <v/>
      </c>
      <c r="Z1457" t="str">
        <f>"+7 (347) 2461644"</f>
        <v>+7 (347) 2461644</v>
      </c>
      <c r="AA1457" t="str">
        <f>"+7 (34782) 32606"</f>
        <v>+7 (34782) 32606</v>
      </c>
      <c r="AB1457" t="str">
        <f>"9279445993"</f>
        <v>9279445993</v>
      </c>
      <c r="AC1457" t="str">
        <f>"9279445993"</f>
        <v>9279445993</v>
      </c>
      <c r="AD1457" t="str">
        <f>"9279445993"</f>
        <v>9279445993</v>
      </c>
      <c r="AE1457" t="str">
        <f>""</f>
        <v/>
      </c>
    </row>
    <row r="1458" spans="1:31" x14ac:dyDescent="0.45">
      <c r="A1458" t="str">
        <f>"АНТИПИНА НАТАЛЬЯ ВАСИЛЬЕВНА"</f>
        <v>АНТИПИНА НАТАЛЬЯ ВАСИЛЬЕВНА</v>
      </c>
      <c r="B1458" t="str">
        <f>"1959-12-12"</f>
        <v>1959-12-12</v>
      </c>
      <c r="C1458" t="str">
        <f>"65 05 357914"</f>
        <v>65 05 357914</v>
      </c>
      <c r="D1458" t="str">
        <f>"4854630199885602"</f>
        <v>4854630199885602</v>
      </c>
      <c r="E1458" t="str">
        <f>"2021-04-30"</f>
        <v>2021-04-30</v>
      </c>
      <c r="F1458" t="str">
        <f t="shared" si="243"/>
        <v>+</v>
      </c>
      <c r="G1458" t="str">
        <f t="shared" si="243"/>
        <v>+</v>
      </c>
      <c r="H1458" t="str">
        <f>"40817810816991429627"</f>
        <v>40817810816991429627</v>
      </c>
      <c r="I1458" t="str">
        <f>"7003"</f>
        <v>7003</v>
      </c>
      <c r="J1458" t="str">
        <f>"0458"</f>
        <v>0458</v>
      </c>
      <c r="K1458" t="str">
        <f>"25000.00"</f>
        <v>25000.00</v>
      </c>
      <c r="L1458" t="str">
        <f>"620000 ОБЛ СВЕРДЛОВСКАЯ   Г ЕКТЕРИНБУРГ   УЛ ТЕХНИЧЕСКАЯ д. 22 корп. А"</f>
        <v>620000 ОБЛ СВЕРДЛОВСКАЯ   Г ЕКТЕРИНБУРГ   УЛ ТЕХНИЧЕСКАЯ д. 22 корп. А</v>
      </c>
      <c r="M1458" t="str">
        <f t="shared" si="235"/>
        <v>2019-08-24</v>
      </c>
      <c r="N1458" t="str">
        <f>"МАДОУ №179"</f>
        <v>МАДОУ №179</v>
      </c>
      <c r="O1458" t="str">
        <f>"620000"</f>
        <v>620000</v>
      </c>
      <c r="P1458" t="str">
        <f>"ОБЛ СВЕРДЛОВСКАЯ"</f>
        <v>ОБЛ СВЕРДЛОВСКАЯ</v>
      </c>
      <c r="Q1458" t="str">
        <f>""</f>
        <v/>
      </c>
      <c r="R1458" t="str">
        <f>"Г ЕКАТЕРИНБУРГ"</f>
        <v>Г ЕКАТЕРИНБУРГ</v>
      </c>
      <c r="S1458" t="str">
        <f>""</f>
        <v/>
      </c>
      <c r="T1458" t="str">
        <f>"УЛ СОФЬИ ПЕРОВСКОЙ"</f>
        <v>УЛ СОФЬИ ПЕРОВСКОЙ</v>
      </c>
      <c r="U1458" s="1" t="str">
        <f>"115"</f>
        <v>115</v>
      </c>
      <c r="V1458" s="1" t="str">
        <f>""</f>
        <v/>
      </c>
      <c r="W1458" s="1" t="str">
        <f>""</f>
        <v/>
      </c>
      <c r="X1458" s="1" t="str">
        <f>""</f>
        <v/>
      </c>
      <c r="Y1458" s="1" t="str">
        <f>"232"</f>
        <v>232</v>
      </c>
      <c r="Z1458" t="str">
        <f>""</f>
        <v/>
      </c>
      <c r="AA1458" t="str">
        <f>"9030850736"</f>
        <v>9030850736</v>
      </c>
      <c r="AB1458" t="str">
        <f>"9030850736"</f>
        <v>9030850736</v>
      </c>
      <c r="AC1458" t="str">
        <f>"9030850736"</f>
        <v>9030850736</v>
      </c>
      <c r="AD1458" t="str">
        <f>"9030850736"</f>
        <v>9030850736</v>
      </c>
      <c r="AE1458" t="str">
        <f>""</f>
        <v/>
      </c>
    </row>
    <row r="1459" spans="1:31" x14ac:dyDescent="0.45">
      <c r="A1459" t="str">
        <f>"ДУШКИНА ЕЛЕНА ВЛАДИМИРОВНА"</f>
        <v>ДУШКИНА ЕЛЕНА ВЛАДИМИРОВНА</v>
      </c>
      <c r="B1459" t="str">
        <f>"1968-01-18"</f>
        <v>1968-01-18</v>
      </c>
      <c r="C1459" t="str">
        <f>"67 12 277188"</f>
        <v>67 12 277188</v>
      </c>
      <c r="D1459" t="str">
        <f>"5484016708987078"</f>
        <v>5484016708987078</v>
      </c>
      <c r="E1459" t="str">
        <f t="shared" ref="E1459:E1465" si="244">"2021-05-31"</f>
        <v>2021-05-31</v>
      </c>
      <c r="F1459" t="str">
        <f>"Y"</f>
        <v>Y</v>
      </c>
      <c r="G1459" t="str">
        <f>"Q"</f>
        <v>Q</v>
      </c>
      <c r="H1459" t="str">
        <f>"40817810616992299739"</f>
        <v>40817810616992299739</v>
      </c>
      <c r="I1459" t="str">
        <f>"1791"</f>
        <v>1791</v>
      </c>
      <c r="J1459" t="str">
        <f>"0133"</f>
        <v>0133</v>
      </c>
      <c r="K1459" t="str">
        <f>"0.00"</f>
        <v>0.00</v>
      </c>
      <c r="L1459" t="str">
        <f>"628181 ОБЛ ТЮМЕНСКАЯ   Г НЯГАНЬ   УЛ СИБИРСКАЯ д. 40"</f>
        <v>628181 ОБЛ ТЮМЕНСКАЯ   Г НЯГАНЬ   УЛ СИБИРСКАЯ д. 40</v>
      </c>
      <c r="M1459" t="str">
        <f t="shared" si="235"/>
        <v>2019-08-24</v>
      </c>
      <c r="N1459" t="str">
        <f>"АО НЭРС"</f>
        <v>АО НЭРС</v>
      </c>
      <c r="O1459" t="str">
        <f>"628181"</f>
        <v>628181</v>
      </c>
      <c r="P1459" t="str">
        <f t="shared" ref="P1459:P1468" si="245">"ОБЛ ТЮМЕНСКАЯ"</f>
        <v>ОБЛ ТЮМЕНСКАЯ</v>
      </c>
      <c r="Q1459" t="str">
        <f>""</f>
        <v/>
      </c>
      <c r="R1459" t="str">
        <f>"Г НЯГАНЬ"</f>
        <v>Г НЯГАНЬ</v>
      </c>
      <c r="S1459" t="str">
        <f>"РЗД АВТОДОРОГА Г.НЯГАНЬ-П.УНЪЮГАН"</f>
        <v>РЗД АВТОДОРОГА Г.НЯГАНЬ-П.УНЪЮГАН</v>
      </c>
      <c r="T1459" t="str">
        <f>"УЛ САДОВЫЙ МАССИВ 35, ПР 5"</f>
        <v>УЛ САДОВЫЙ МАССИВ 35, ПР 5</v>
      </c>
      <c r="U1459" s="1" t="str">
        <f>"188"</f>
        <v>188</v>
      </c>
      <c r="V1459" s="1" t="str">
        <f>""</f>
        <v/>
      </c>
      <c r="W1459" s="1" t="str">
        <f>""</f>
        <v/>
      </c>
      <c r="X1459" s="1" t="str">
        <f>""</f>
        <v/>
      </c>
      <c r="Y1459" s="1" t="str">
        <f>""</f>
        <v/>
      </c>
      <c r="Z1459" t="str">
        <f>"3467254124"</f>
        <v>3467254124</v>
      </c>
      <c r="AA1459" t="str">
        <f>"9088878841"</f>
        <v>9088878841</v>
      </c>
      <c r="AB1459" t="str">
        <f>"9088878841"</f>
        <v>9088878841</v>
      </c>
      <c r="AC1459" t="str">
        <f>"9088878841"</f>
        <v>9088878841</v>
      </c>
      <c r="AD1459" t="str">
        <f>"9088878841"</f>
        <v>9088878841</v>
      </c>
      <c r="AE1459" t="str">
        <f>"3467254124"</f>
        <v>3467254124</v>
      </c>
    </row>
    <row r="1460" spans="1:31" x14ac:dyDescent="0.45">
      <c r="A1460" t="str">
        <f>"КОНДРАТЬЕВ АЛЕКСАНДР ВЛАДИМИРОВИЧ"</f>
        <v>КОНДРАТЬЕВ АЛЕКСАНДР ВЛАДИМИРОВИЧ</v>
      </c>
      <c r="B1460" t="str">
        <f>"1976-09-02"</f>
        <v>1976-09-02</v>
      </c>
      <c r="C1460" t="str">
        <f>"67 02 874934"</f>
        <v>67 02 874934</v>
      </c>
      <c r="D1460" t="str">
        <f>"4279016722317908"</f>
        <v>4279016722317908</v>
      </c>
      <c r="E1460" t="str">
        <f t="shared" si="244"/>
        <v>2021-05-31</v>
      </c>
      <c r="F1460" t="str">
        <f t="shared" ref="F1460:G1464" si="246">"+"</f>
        <v>+</v>
      </c>
      <c r="G1460" t="str">
        <f t="shared" si="246"/>
        <v>+</v>
      </c>
      <c r="H1460" t="str">
        <f>"40817810016992301366"</f>
        <v>40817810016992301366</v>
      </c>
      <c r="I1460" t="str">
        <f>"5940"</f>
        <v>5940</v>
      </c>
      <c r="J1460" t="str">
        <f>"0112"</f>
        <v>0112</v>
      </c>
      <c r="K1460" t="str">
        <f>"205000.00"</f>
        <v>205000.00</v>
      </c>
      <c r="L1460" t="str">
        <f>"628600 ОБЛ ТЮМЕНСКАЯ   Г НИЖНЕВАРОТОВСК   УЛ 12 КМ САМОТЛОРСКОЙ ДОРОГИ"</f>
        <v>628600 ОБЛ ТЮМЕНСКАЯ   Г НИЖНЕВАРОТОВСК   УЛ 12 КМ САМОТЛОРСКОЙ ДОРОГИ</v>
      </c>
      <c r="M1460" t="str">
        <f t="shared" si="235"/>
        <v>2019-08-24</v>
      </c>
      <c r="N1460" t="str">
        <f>"ООО МАШЗАВОД-СЕРВИС"</f>
        <v>ООО МАШЗАВОД-СЕРВИС</v>
      </c>
      <c r="O1460" t="str">
        <f>"628600"</f>
        <v>628600</v>
      </c>
      <c r="P1460" t="str">
        <f t="shared" si="245"/>
        <v>ОБЛ ТЮМЕНСКАЯ</v>
      </c>
      <c r="Q1460" t="str">
        <f>""</f>
        <v/>
      </c>
      <c r="R1460" t="str">
        <f>"Г НИЖНЕВАРТОВСК"</f>
        <v>Г НИЖНЕВАРТОВСК</v>
      </c>
      <c r="S1460" t="str">
        <f>""</f>
        <v/>
      </c>
      <c r="T1460" t="str">
        <f>"УЛ СЕВЕРНАЯ"</f>
        <v>УЛ СЕВЕРНАЯ</v>
      </c>
      <c r="U1460" s="1" t="str">
        <f>"20"</f>
        <v>20</v>
      </c>
      <c r="V1460" s="1" t="str">
        <f>""</f>
        <v/>
      </c>
      <c r="W1460" s="1" t="str">
        <f>""</f>
        <v/>
      </c>
      <c r="X1460" s="1" t="str">
        <f>""</f>
        <v/>
      </c>
      <c r="Y1460" s="1" t="str">
        <f>"6"</f>
        <v>6</v>
      </c>
      <c r="Z1460" t="str">
        <f>""</f>
        <v/>
      </c>
      <c r="AA1460" t="str">
        <f>"9224330486"</f>
        <v>9224330486</v>
      </c>
      <c r="AB1460" t="str">
        <f>"9821976086"</f>
        <v>9821976086</v>
      </c>
      <c r="AC1460" t="str">
        <f>"9224330486"</f>
        <v>9224330486</v>
      </c>
      <c r="AD1460" t="str">
        <f>"9821976086"</f>
        <v>9821976086</v>
      </c>
      <c r="AE1460" t="str">
        <f>""</f>
        <v/>
      </c>
    </row>
    <row r="1461" spans="1:31" x14ac:dyDescent="0.45">
      <c r="A1461" t="str">
        <f>"ПАТАЛАЙ ОЛЬГА АЛЕКСАНДРОВНА"</f>
        <v>ПАТАЛАЙ ОЛЬГА АЛЕКСАНДРОВНА</v>
      </c>
      <c r="B1461" t="str">
        <f>"1994-06-23"</f>
        <v>1994-06-23</v>
      </c>
      <c r="C1461" t="str">
        <f>"71 14 070453"</f>
        <v>71 14 070453</v>
      </c>
      <c r="D1461" t="str">
        <f>"5484016705255347"</f>
        <v>5484016705255347</v>
      </c>
      <c r="E1461" t="str">
        <f t="shared" si="244"/>
        <v>2021-05-31</v>
      </c>
      <c r="F1461" t="str">
        <f t="shared" si="246"/>
        <v>+</v>
      </c>
      <c r="G1461" t="str">
        <f t="shared" si="246"/>
        <v>+</v>
      </c>
      <c r="H1461" t="str">
        <f>"40817810016992097308"</f>
        <v>40817810016992097308</v>
      </c>
      <c r="I1461" t="str">
        <f>"8647"</f>
        <v>8647</v>
      </c>
      <c r="J1461" t="str">
        <f>"7770"</f>
        <v>7770</v>
      </c>
      <c r="K1461" t="str">
        <f>"25000.00"</f>
        <v>25000.00</v>
      </c>
      <c r="L1461" t="str">
        <f>"625000 ОБЛ ТЮМЕНСКАЯ   Г ТЮМЕНЬ   УЛ ДЗЕРЖИНСКОГО д. 15 офис 702"</f>
        <v>625000 ОБЛ ТЮМЕНСКАЯ   Г ТЮМЕНЬ   УЛ ДЗЕРЖИНСКОГО д. 15 офис 702</v>
      </c>
      <c r="M1461" t="str">
        <f t="shared" si="235"/>
        <v>2019-08-24</v>
      </c>
      <c r="N1461" t="str">
        <f>"ООО СИЮПРОФКОНСАЛТ"</f>
        <v>ООО СИЮПРОФКОНСАЛТ</v>
      </c>
      <c r="O1461" t="str">
        <f>"626380"</f>
        <v>626380</v>
      </c>
      <c r="P1461" t="str">
        <f t="shared" si="245"/>
        <v>ОБЛ ТЮМЕНСКАЯ</v>
      </c>
      <c r="Q1461" t="str">
        <f>"Р-Н ИСЕТСКИЙ"</f>
        <v>Р-Н ИСЕТСКИЙ</v>
      </c>
      <c r="R1461" t="str">
        <f>""</f>
        <v/>
      </c>
      <c r="S1461" t="str">
        <f>"С ИСЕТСКОЕ"</f>
        <v>С ИСЕТСКОЕ</v>
      </c>
      <c r="T1461" t="str">
        <f>"УЛ СТЕПНАЯ"</f>
        <v>УЛ СТЕПНАЯ</v>
      </c>
      <c r="U1461" s="1" t="str">
        <f>"4"</f>
        <v>4</v>
      </c>
      <c r="V1461" s="1" t="str">
        <f>""</f>
        <v/>
      </c>
      <c r="W1461" s="1" t="str">
        <f>""</f>
        <v/>
      </c>
      <c r="X1461" s="1" t="str">
        <f>""</f>
        <v/>
      </c>
      <c r="Y1461" s="1" t="str">
        <f>""</f>
        <v/>
      </c>
      <c r="Z1461" t="str">
        <f>"3452595052"</f>
        <v>3452595052</v>
      </c>
      <c r="AA1461" t="str">
        <f>"9821342467"</f>
        <v>9821342467</v>
      </c>
      <c r="AB1461" t="str">
        <f>"9821342467"</f>
        <v>9821342467</v>
      </c>
      <c r="AC1461" t="str">
        <f>"9821342467"</f>
        <v>9821342467</v>
      </c>
      <c r="AD1461" t="str">
        <f>"9821342467"</f>
        <v>9821342467</v>
      </c>
      <c r="AE1461" t="str">
        <f>"3452595052"</f>
        <v>3452595052</v>
      </c>
    </row>
    <row r="1462" spans="1:31" x14ac:dyDescent="0.45">
      <c r="A1462" t="str">
        <f>"ДЕНИСЕНКО ОЛЕГ ГЕННАДЬЕВИЧ"</f>
        <v>ДЕНИСЕНКО ОЛЕГ ГЕННАДЬЕВИЧ</v>
      </c>
      <c r="B1462" t="str">
        <f>"1993-09-09"</f>
        <v>1993-09-09</v>
      </c>
      <c r="C1462" t="str">
        <f>"74 13 834507"</f>
        <v>74 13 834507</v>
      </c>
      <c r="D1462" t="str">
        <f>"5469016708775621"</f>
        <v>5469016708775621</v>
      </c>
      <c r="E1462" t="str">
        <f t="shared" si="244"/>
        <v>2021-05-31</v>
      </c>
      <c r="F1462" t="str">
        <f t="shared" si="246"/>
        <v>+</v>
      </c>
      <c r="G1462" t="str">
        <f t="shared" si="246"/>
        <v>+</v>
      </c>
      <c r="H1462" t="str">
        <f>"40817810016992352658"</f>
        <v>40817810016992352658</v>
      </c>
      <c r="I1462" t="str">
        <f>"8647"</f>
        <v>8647</v>
      </c>
      <c r="J1462" t="str">
        <f>"0112"</f>
        <v>0112</v>
      </c>
      <c r="K1462" t="str">
        <f>"50000.00"</f>
        <v>50000.00</v>
      </c>
      <c r="L1462" t="str">
        <f>"629730 АО ЯМАЛО-НЕНЕЦКИЙ   Г НАДЫМ   УЛ ПОЛЯРНАЯ д. 1"</f>
        <v>629730 АО ЯМАЛО-НЕНЕЦКИЙ   Г НАДЫМ   УЛ ПОЛЯРНАЯ д. 1</v>
      </c>
      <c r="M1462" t="str">
        <f t="shared" si="235"/>
        <v>2019-08-24</v>
      </c>
      <c r="N1462" t="str">
        <f>"ПАО 'ГАЗПРОМ ДОБЫЧА НАДЫМ' УЯЭГ"</f>
        <v>ПАО 'ГАЗПРОМ ДОБЫЧА НАДЫМ' УЯЭГ</v>
      </c>
      <c r="O1462" t="str">
        <f>"625000"</f>
        <v>625000</v>
      </c>
      <c r="P1462" t="str">
        <f t="shared" si="245"/>
        <v>ОБЛ ТЮМЕНСКАЯ</v>
      </c>
      <c r="Q1462" t="str">
        <f>"Р-Н КАЛИНИНСКИЙ"</f>
        <v>Р-Н КАЛИНИНСКИЙ</v>
      </c>
      <c r="R1462" t="str">
        <f>"Г ТЮМЕНЬ"</f>
        <v>Г ТЮМЕНЬ</v>
      </c>
      <c r="S1462" t="str">
        <f>""</f>
        <v/>
      </c>
      <c r="T1462" t="str">
        <f>"УЛ ДЕПУТАТСКАЯ"</f>
        <v>УЛ ДЕПУТАТСКАЯ</v>
      </c>
      <c r="U1462" s="1" t="str">
        <f>"110"</f>
        <v>110</v>
      </c>
      <c r="V1462" s="1" t="str">
        <f>""</f>
        <v/>
      </c>
      <c r="W1462" s="1" t="str">
        <f>""</f>
        <v/>
      </c>
      <c r="X1462" s="1" t="str">
        <f>""</f>
        <v/>
      </c>
      <c r="Y1462" s="1" t="str">
        <f>"116"</f>
        <v>116</v>
      </c>
      <c r="Z1462" t="str">
        <f>""</f>
        <v/>
      </c>
      <c r="AA1462" t="str">
        <f>"3499538135"</f>
        <v>3499538135</v>
      </c>
      <c r="AB1462" t="str">
        <f>"9324722228"</f>
        <v>9324722228</v>
      </c>
      <c r="AC1462" t="str">
        <f>""</f>
        <v/>
      </c>
      <c r="AD1462" t="str">
        <f>"9324722228"</f>
        <v>9324722228</v>
      </c>
      <c r="AE1462" t="str">
        <f>""</f>
        <v/>
      </c>
    </row>
    <row r="1463" spans="1:31" x14ac:dyDescent="0.45">
      <c r="A1463" t="str">
        <f>"ЛЯПИЧЕВ СЕРГЕЙ ВАСИЛЬЕВИЧ"</f>
        <v>ЛЯПИЧЕВ СЕРГЕЙ ВАСИЛЬЕВИЧ</v>
      </c>
      <c r="B1463" t="str">
        <f>"1967-07-12"</f>
        <v>1967-07-12</v>
      </c>
      <c r="C1463" t="str">
        <f>"67 12 219711"</f>
        <v>67 12 219711</v>
      </c>
      <c r="D1463" t="str">
        <f>"4279016716212032"</f>
        <v>4279016716212032</v>
      </c>
      <c r="E1463" t="str">
        <f t="shared" si="244"/>
        <v>2021-05-31</v>
      </c>
      <c r="F1463" t="str">
        <f t="shared" si="246"/>
        <v>+</v>
      </c>
      <c r="G1463" t="str">
        <f t="shared" si="246"/>
        <v>+</v>
      </c>
      <c r="H1463" t="str">
        <f>"40817810616992352825"</f>
        <v>40817810616992352825</v>
      </c>
      <c r="I1463" t="str">
        <f>"5940"</f>
        <v>5940</v>
      </c>
      <c r="J1463" t="str">
        <f>"0071"</f>
        <v>0071</v>
      </c>
      <c r="K1463" t="str">
        <f>"100000.00"</f>
        <v>100000.00</v>
      </c>
      <c r="L1463" t="str">
        <f>"628484 ОБЛ ТЮМЕНСКАЯ   Г КОГАЛЫМ   УЛ ОКТЯБРЬСКАЯ д. 10"</f>
        <v>628484 ОБЛ ТЮМЕНСКАЯ   Г КОГАЛЫМ   УЛ ОКТЯБРЬСКАЯ д. 10</v>
      </c>
      <c r="M1463" t="str">
        <f t="shared" si="235"/>
        <v>2019-08-24</v>
      </c>
      <c r="N1463" t="str">
        <f>"ЭПУ СЕРВИС"</f>
        <v>ЭПУ СЕРВИС</v>
      </c>
      <c r="O1463" t="str">
        <f>"628484"</f>
        <v>628484</v>
      </c>
      <c r="P1463" t="str">
        <f t="shared" si="245"/>
        <v>ОБЛ ТЮМЕНСКАЯ</v>
      </c>
      <c r="Q1463" t="str">
        <f>""</f>
        <v/>
      </c>
      <c r="R1463" t="str">
        <f>"Г КОГАЛЫМ"</f>
        <v>Г КОГАЛЫМ</v>
      </c>
      <c r="S1463" t="str">
        <f>""</f>
        <v/>
      </c>
      <c r="T1463" t="str">
        <f>"УЛ НАБЕРЕЖНАЯ"</f>
        <v>УЛ НАБЕРЕЖНАЯ</v>
      </c>
      <c r="U1463" s="1" t="str">
        <f>"9"</f>
        <v>9</v>
      </c>
      <c r="V1463" s="1" t="str">
        <f>""</f>
        <v/>
      </c>
      <c r="W1463" s="1" t="str">
        <f>""</f>
        <v/>
      </c>
      <c r="X1463" s="1" t="str">
        <f>""</f>
        <v/>
      </c>
      <c r="Y1463" s="1" t="str">
        <f>"24"</f>
        <v>24</v>
      </c>
      <c r="Z1463" t="str">
        <f>""</f>
        <v/>
      </c>
      <c r="AA1463" t="str">
        <f>"9505132608"</f>
        <v>9505132608</v>
      </c>
      <c r="AB1463" t="str">
        <f>"9044775301"</f>
        <v>9044775301</v>
      </c>
      <c r="AC1463" t="str">
        <f>"9505132608"</f>
        <v>9505132608</v>
      </c>
      <c r="AD1463" t="str">
        <f>"9044775301"</f>
        <v>9044775301</v>
      </c>
      <c r="AE1463" t="str">
        <f>""</f>
        <v/>
      </c>
    </row>
    <row r="1464" spans="1:31" x14ac:dyDescent="0.45">
      <c r="A1464" t="str">
        <f>"ТАЗТДИНОВА ГУЗЕЛЬ МИНЛЕКАШИПОВНА"</f>
        <v>ТАЗТДИНОВА ГУЗЕЛЬ МИНЛЕКАШИПОВНА</v>
      </c>
      <c r="B1464" t="str">
        <f>"1979-02-26"</f>
        <v>1979-02-26</v>
      </c>
      <c r="C1464" t="str">
        <f>"74 05 569473"</f>
        <v>74 05 569473</v>
      </c>
      <c r="D1464" t="str">
        <f>"4279016739301473"</f>
        <v>4279016739301473</v>
      </c>
      <c r="E1464" t="str">
        <f t="shared" si="244"/>
        <v>2021-05-31</v>
      </c>
      <c r="F1464" t="str">
        <f t="shared" si="246"/>
        <v>+</v>
      </c>
      <c r="G1464" t="str">
        <f t="shared" si="246"/>
        <v>+</v>
      </c>
      <c r="H1464" t="str">
        <f>"40817810616992352883"</f>
        <v>40817810616992352883</v>
      </c>
      <c r="I1464" t="str">
        <f>"8369"</f>
        <v>8369</v>
      </c>
      <c r="J1464" t="str">
        <f>"0022"</f>
        <v>0022</v>
      </c>
      <c r="K1464" t="str">
        <f>"125000.00"</f>
        <v>125000.00</v>
      </c>
      <c r="L1464" t="str">
        <f>"629800 ОБЛ ТЮМЕНСКАЯ АО ЯМАЛО-НЕНЕЦКИЙ Г НОЯБРЬСК   УЛ СЕВЕРНАЯ д. 46"</f>
        <v>629800 ОБЛ ТЮМЕНСКАЯ АО ЯМАЛО-НЕНЕЦКИЙ Г НОЯБРЬСК   УЛ СЕВЕРНАЯ д. 46</v>
      </c>
      <c r="M1464" t="str">
        <f t="shared" si="235"/>
        <v>2019-08-24</v>
      </c>
      <c r="N1464" t="str">
        <f>"ФИЛИАЛ ТИУ В Г НОЯБРЬСК"</f>
        <v>ФИЛИАЛ ТИУ В Г НОЯБРЬСК</v>
      </c>
      <c r="O1464" t="str">
        <f>"629800"</f>
        <v>629800</v>
      </c>
      <c r="P1464" t="str">
        <f t="shared" si="245"/>
        <v>ОБЛ ТЮМЕНСКАЯ</v>
      </c>
      <c r="Q1464" t="str">
        <f>"АО ЯМАЛО-НЕНЕЦКИЙ"</f>
        <v>АО ЯМАЛО-НЕНЕЦКИЙ</v>
      </c>
      <c r="R1464" t="str">
        <f>"Г НОЯБРЬСК"</f>
        <v>Г НОЯБРЬСК</v>
      </c>
      <c r="S1464" t="str">
        <f>""</f>
        <v/>
      </c>
      <c r="T1464" t="str">
        <f>"УЛ ИЗЫСКАТЕЛЕЙ"</f>
        <v>УЛ ИЗЫСКАТЕЛЕЙ</v>
      </c>
      <c r="U1464" s="1" t="str">
        <f>"26А"</f>
        <v>26А</v>
      </c>
      <c r="V1464" s="1" t="str">
        <f>""</f>
        <v/>
      </c>
      <c r="W1464" s="1" t="str">
        <f>""</f>
        <v/>
      </c>
      <c r="X1464" s="1" t="str">
        <f>""</f>
        <v/>
      </c>
      <c r="Y1464" s="1" t="str">
        <f>"6"</f>
        <v>6</v>
      </c>
      <c r="Z1464" t="str">
        <f>"3496342052"</f>
        <v>3496342052</v>
      </c>
      <c r="AA1464" t="str">
        <f>"9222880022"</f>
        <v>9222880022</v>
      </c>
      <c r="AB1464" t="str">
        <f>"9222880022"</f>
        <v>9222880022</v>
      </c>
      <c r="AC1464" t="str">
        <f>"9292088288"</f>
        <v>9292088288</v>
      </c>
      <c r="AD1464" t="str">
        <f>"9222880022"</f>
        <v>9222880022</v>
      </c>
      <c r="AE1464" t="str">
        <f>"3496342052"</f>
        <v>3496342052</v>
      </c>
    </row>
    <row r="1465" spans="1:31" x14ac:dyDescent="0.45">
      <c r="A1465" t="str">
        <f>"БУДНИКОВ ИВАН АНАТОЛЬЕВИЧ"</f>
        <v>БУДНИКОВ ИВАН АНАТОЛЬЕВИЧ</v>
      </c>
      <c r="B1465" t="str">
        <f>"1984-03-05"</f>
        <v>1984-03-05</v>
      </c>
      <c r="C1465" t="str">
        <f>"71 04 202794"</f>
        <v>71 04 202794</v>
      </c>
      <c r="D1465" t="str">
        <f>"4276016711476346"</f>
        <v>4276016711476346</v>
      </c>
      <c r="E1465" t="str">
        <f t="shared" si="244"/>
        <v>2021-05-31</v>
      </c>
      <c r="F1465" t="str">
        <f>"Y"</f>
        <v>Y</v>
      </c>
      <c r="G1465" t="str">
        <f>"Q"</f>
        <v>Q</v>
      </c>
      <c r="H1465" t="str">
        <f>"40817810016992352975"</f>
        <v>40817810016992352975</v>
      </c>
      <c r="I1465" t="str">
        <f>"8647"</f>
        <v>8647</v>
      </c>
      <c r="J1465" t="str">
        <f>"0114"</f>
        <v>0114</v>
      </c>
      <c r="K1465" t="str">
        <f>"0.00"</f>
        <v>0.00</v>
      </c>
      <c r="L1465" t="str">
        <f>"999999 Г НЕ УКАЗАН         д. 1"</f>
        <v>999999 Г НЕ УКАЗАН         д. 1</v>
      </c>
      <c r="M1465" t="str">
        <f t="shared" si="235"/>
        <v>2019-08-24</v>
      </c>
      <c r="N1465" t="str">
        <f>"НЕ УКАЗАНО"</f>
        <v>НЕ УКАЗАНО</v>
      </c>
      <c r="O1465" t="str">
        <f>"625049"</f>
        <v>625049</v>
      </c>
      <c r="P1465" t="str">
        <f t="shared" si="245"/>
        <v>ОБЛ ТЮМЕНСКАЯ</v>
      </c>
      <c r="Q1465" t="str">
        <f>""</f>
        <v/>
      </c>
      <c r="R1465" t="str">
        <f>"Г ТЮМЕНЬ"</f>
        <v>Г ТЮМЕНЬ</v>
      </c>
      <c r="S1465" t="str">
        <f>""</f>
        <v/>
      </c>
      <c r="T1465" t="str">
        <f>"УЛ МАГНИТОГОРСКАЯ"</f>
        <v>УЛ МАГНИТОГОРСКАЯ</v>
      </c>
      <c r="U1465" s="1" t="str">
        <f>"4"</f>
        <v>4</v>
      </c>
      <c r="V1465" s="1" t="str">
        <f>""</f>
        <v/>
      </c>
      <c r="W1465" s="1" t="str">
        <f>""</f>
        <v/>
      </c>
      <c r="X1465" s="1" t="str">
        <f>""</f>
        <v/>
      </c>
      <c r="Y1465" s="1" t="str">
        <f>"20"</f>
        <v>20</v>
      </c>
      <c r="Z1465" t="str">
        <f>"3452522000"</f>
        <v>3452522000</v>
      </c>
      <c r="AA1465" t="str">
        <f>"9091826555"</f>
        <v>9091826555</v>
      </c>
      <c r="AB1465" t="str">
        <f>"9058583563"</f>
        <v>9058583563</v>
      </c>
      <c r="AC1465" t="str">
        <f>""</f>
        <v/>
      </c>
      <c r="AD1465" t="str">
        <f>"9058583563"</f>
        <v>9058583563</v>
      </c>
      <c r="AE1465" t="str">
        <f>"3452522000"</f>
        <v>3452522000</v>
      </c>
    </row>
    <row r="1466" spans="1:31" x14ac:dyDescent="0.45">
      <c r="A1466" t="str">
        <f>"АМЕТОВА ТАМАРА НИКОЛАЕВНА"</f>
        <v>АМЕТОВА ТАМАРА НИКОЛАЕВНА</v>
      </c>
      <c r="B1466" t="str">
        <f>"1961-11-14"</f>
        <v>1961-11-14</v>
      </c>
      <c r="C1466" t="str">
        <f>"67 06 655652"</f>
        <v>67 06 655652</v>
      </c>
      <c r="D1466" t="str">
        <f>"4854630113998440"</f>
        <v>4854630113998440</v>
      </c>
      <c r="E1466" t="str">
        <f>"2019-04-30"</f>
        <v>2019-04-30</v>
      </c>
      <c r="F1466" t="str">
        <f>"Q"</f>
        <v>Q</v>
      </c>
      <c r="G1466" t="str">
        <f>"Q"</f>
        <v>Q</v>
      </c>
      <c r="H1466" t="str">
        <f>"40817810016991391306"</f>
        <v>40817810016991391306</v>
      </c>
      <c r="I1466" t="str">
        <f>"7003"</f>
        <v>7003</v>
      </c>
      <c r="J1466" t="str">
        <f>"0445"</f>
        <v>0445</v>
      </c>
      <c r="K1466" t="str">
        <f>"0.00"</f>
        <v>0.00</v>
      </c>
      <c r="L1466" t="str">
        <f>"620000 ОБЛ СВЕРДЛОВСКАЯ   Г ЕКАТЕРИНБУРГ   УЛ БЕБЕЛЯ д. 126 кв. 77"</f>
        <v>620000 ОБЛ СВЕРДЛОВСКАЯ   Г ЕКАТЕРИНБУРГ   УЛ БЕБЕЛЯ д. 126 кв. 77</v>
      </c>
      <c r="M1466" t="str">
        <f t="shared" si="235"/>
        <v>2019-08-24</v>
      </c>
      <c r="N1466" t="str">
        <f>"ПЕНСИОНЕР"</f>
        <v>ПЕНСИОНЕР</v>
      </c>
      <c r="O1466" t="str">
        <f>"628380"</f>
        <v>628380</v>
      </c>
      <c r="P1466" t="str">
        <f t="shared" si="245"/>
        <v>ОБЛ ТЮМЕНСКАЯ</v>
      </c>
      <c r="Q1466" t="str">
        <f>"АО ХАНТЫ-МАНСИЙСКИЙ АВТОНОМНЫЙ ОКРУГ-ЮГРА"</f>
        <v>АО ХАНТЫ-МАНСИЙСКИЙ АВТОНОМНЫЙ ОКРУГ-ЮГРА</v>
      </c>
      <c r="R1466" t="str">
        <f>"Г ПЫТЬ-ЯХ"</f>
        <v>Г ПЫТЬ-ЯХ</v>
      </c>
      <c r="S1466" t="str">
        <f>""</f>
        <v/>
      </c>
      <c r="T1466" t="str">
        <f>"МКР 2-Й"</f>
        <v>МКР 2-Й</v>
      </c>
      <c r="U1466" s="1" t="str">
        <f>"23"</f>
        <v>23</v>
      </c>
      <c r="V1466" s="1" t="str">
        <f>""</f>
        <v/>
      </c>
      <c r="W1466" s="1" t="str">
        <f>""</f>
        <v/>
      </c>
      <c r="X1466" s="1" t="str">
        <f>""</f>
        <v/>
      </c>
      <c r="Y1466" s="1" t="str">
        <f>"30"</f>
        <v>30</v>
      </c>
      <c r="Z1466" t="str">
        <f>""</f>
        <v/>
      </c>
      <c r="AA1466" t="str">
        <f>"9222141522"</f>
        <v>9222141522</v>
      </c>
      <c r="AB1466" t="str">
        <f>"9222141522"</f>
        <v>9222141522</v>
      </c>
      <c r="AC1466" t="str">
        <f>"9222141522"</f>
        <v>9222141522</v>
      </c>
      <c r="AD1466" t="str">
        <f>"9222141522"</f>
        <v>9222141522</v>
      </c>
      <c r="AE1466" t="str">
        <f>""</f>
        <v/>
      </c>
    </row>
    <row r="1467" spans="1:31" x14ac:dyDescent="0.45">
      <c r="A1467" t="str">
        <f>"КАРЯГИН АЛЕКСЕЙ ВЛАДИМИРОВИЧ"</f>
        <v>КАРЯГИН АЛЕКСЕЙ ВЛАДИМИРОВИЧ</v>
      </c>
      <c r="B1467" t="str">
        <f>"1978-11-17"</f>
        <v>1978-11-17</v>
      </c>
      <c r="C1467" t="str">
        <f>"88 01 165721"</f>
        <v>88 01 165721</v>
      </c>
      <c r="D1467" t="str">
        <f>"5313100243739397"</f>
        <v>5313100243739397</v>
      </c>
      <c r="E1467" t="str">
        <f>"2021-03-31"</f>
        <v>2021-03-31</v>
      </c>
      <c r="F1467" t="str">
        <f t="shared" ref="F1467:G1472" si="247">"+"</f>
        <v>+</v>
      </c>
      <c r="G1467" t="str">
        <f t="shared" si="247"/>
        <v>+</v>
      </c>
      <c r="H1467" t="str">
        <f>"40817810016992113567"</f>
        <v>40817810016992113567</v>
      </c>
      <c r="I1467" t="str">
        <f>"1790"</f>
        <v>1790</v>
      </c>
      <c r="J1467" t="str">
        <f>"0039"</f>
        <v>0039</v>
      </c>
      <c r="K1467" t="str">
        <f>"250000.00"</f>
        <v>250000.00</v>
      </c>
      <c r="L1467" t="str">
        <f>"629008 ОБЛ ТЮМЕНСКАЯ АО ЯМАЛО-НЕНЕЦКИЙ Г САЛЕХАРД   ПР-КТ МОЛОДЕЖИ д. 9"</f>
        <v>629008 ОБЛ ТЮМЕНСКАЯ АО ЯМАЛО-НЕНЕЦКИЙ Г САЛЕХАРД   ПР-КТ МОЛОДЕЖИ д. 9</v>
      </c>
      <c r="M1467" t="str">
        <f t="shared" si="235"/>
        <v>2019-08-24</v>
      </c>
      <c r="N1467" t="str">
        <f>"ДЕПАРТАМЕНТ ПО НАУКЕ И ИННОВАЦИИ ЯНАО"</f>
        <v>ДЕПАРТАМЕНТ ПО НАУКЕ И ИННОВАЦИИ ЯНАО</v>
      </c>
      <c r="O1467" t="str">
        <f>"629008"</f>
        <v>629008</v>
      </c>
      <c r="P1467" t="str">
        <f t="shared" si="245"/>
        <v>ОБЛ ТЮМЕНСКАЯ</v>
      </c>
      <c r="Q1467" t="str">
        <f>"АО ЯМАЛО-НЕНЕЦКИЙ"</f>
        <v>АО ЯМАЛО-НЕНЕЦКИЙ</v>
      </c>
      <c r="R1467" t="str">
        <f>"Г САЛЕХАРД"</f>
        <v>Г САЛЕХАРД</v>
      </c>
      <c r="S1467" t="str">
        <f>""</f>
        <v/>
      </c>
      <c r="T1467" t="str">
        <f>"УЛ ЯМАЛЬСКАЯ"</f>
        <v>УЛ ЯМАЛЬСКАЯ</v>
      </c>
      <c r="U1467" s="1" t="str">
        <f>"1"</f>
        <v>1</v>
      </c>
      <c r="V1467" s="1" t="str">
        <f>""</f>
        <v/>
      </c>
      <c r="W1467" s="1" t="str">
        <f>""</f>
        <v/>
      </c>
      <c r="X1467" s="1" t="str">
        <f>""</f>
        <v/>
      </c>
      <c r="Y1467" s="1" t="str">
        <f>"5"</f>
        <v>5</v>
      </c>
      <c r="Z1467" t="str">
        <f>"3492225318"</f>
        <v>3492225318</v>
      </c>
      <c r="AA1467" t="str">
        <f>"9129120010"</f>
        <v>9129120010</v>
      </c>
      <c r="AB1467" t="str">
        <f>"9124200011"</f>
        <v>9124200011</v>
      </c>
      <c r="AC1467" t="str">
        <f>"9129120010"</f>
        <v>9129120010</v>
      </c>
      <c r="AD1467" t="str">
        <f>"9124200011"</f>
        <v>9124200011</v>
      </c>
      <c r="AE1467" t="str">
        <f>"3492225318"</f>
        <v>3492225318</v>
      </c>
    </row>
    <row r="1468" spans="1:31" x14ac:dyDescent="0.45">
      <c r="A1468" t="str">
        <f>"ПУПЫШЕВ ВАСИЛИЙ ИЛЬИЧ"</f>
        <v>ПУПЫШЕВ ВАСИЛИЙ ИЛЬИЧ</v>
      </c>
      <c r="B1468" t="str">
        <f>"1955-01-01"</f>
        <v>1955-01-01</v>
      </c>
      <c r="C1468" t="str">
        <f>"71 04 227302"</f>
        <v>71 04 227302</v>
      </c>
      <c r="D1468" t="str">
        <f>"4854630387913455"</f>
        <v>4854630387913455</v>
      </c>
      <c r="E1468" t="str">
        <f>"2020-11-30"</f>
        <v>2020-11-30</v>
      </c>
      <c r="F1468" t="str">
        <f t="shared" si="247"/>
        <v>+</v>
      </c>
      <c r="G1468" t="str">
        <f t="shared" si="247"/>
        <v>+</v>
      </c>
      <c r="H1468" t="str">
        <f>"40817810716992451118"</f>
        <v>40817810716992451118</v>
      </c>
      <c r="I1468" t="str">
        <f>"8647"</f>
        <v>8647</v>
      </c>
      <c r="J1468" t="str">
        <f>"0056"</f>
        <v>0056</v>
      </c>
      <c r="K1468" t="str">
        <f>"38000.00"</f>
        <v>38000.00</v>
      </c>
      <c r="L1468" t="str">
        <f>"625000 ОБЛ ТЮМЕНСКАЯ   Г ТЮМЕНЬ   УЛ СОЮЗНАЯ д. 33"</f>
        <v>625000 ОБЛ ТЮМЕНСКАЯ   Г ТЮМЕНЬ   УЛ СОЮЗНАЯ д. 33</v>
      </c>
      <c r="M1468" t="str">
        <f t="shared" si="235"/>
        <v>2019-08-24</v>
      </c>
      <c r="N1468" t="str">
        <f>"ПЕНСИОНЕР"</f>
        <v>ПЕНСИОНЕР</v>
      </c>
      <c r="O1468" t="str">
        <f>"625000"</f>
        <v>625000</v>
      </c>
      <c r="P1468" t="str">
        <f t="shared" si="245"/>
        <v>ОБЛ ТЮМЕНСКАЯ</v>
      </c>
      <c r="Q1468" t="str">
        <f>""</f>
        <v/>
      </c>
      <c r="R1468" t="str">
        <f>"Г ТЮМЕНЬ"</f>
        <v>Г ТЮМЕНЬ</v>
      </c>
      <c r="S1468" t="str">
        <f>""</f>
        <v/>
      </c>
      <c r="T1468" t="str">
        <f>"УЛ СОЮЗНАЯ"</f>
        <v>УЛ СОЮЗНАЯ</v>
      </c>
      <c r="U1468" s="1" t="str">
        <f>"33"</f>
        <v>33</v>
      </c>
      <c r="V1468" s="1" t="str">
        <f>""</f>
        <v/>
      </c>
      <c r="W1468" s="1" t="str">
        <f>""</f>
        <v/>
      </c>
      <c r="X1468" s="1" t="str">
        <f>""</f>
        <v/>
      </c>
      <c r="Y1468" s="1" t="str">
        <f>""</f>
        <v/>
      </c>
      <c r="Z1468" t="str">
        <f>""</f>
        <v/>
      </c>
      <c r="AA1468" t="str">
        <f>"9088746965"</f>
        <v>9088746965</v>
      </c>
      <c r="AB1468" t="str">
        <f>"9324777544"</f>
        <v>9324777544</v>
      </c>
      <c r="AC1468" t="str">
        <f>"9088746965"</f>
        <v>9088746965</v>
      </c>
      <c r="AD1468" t="str">
        <f>"9324777544"</f>
        <v>9324777544</v>
      </c>
      <c r="AE1468" t="str">
        <f>""</f>
        <v/>
      </c>
    </row>
    <row r="1469" spans="1:31" x14ac:dyDescent="0.45">
      <c r="A1469" t="str">
        <f>"АНДРЮЩЕНКО МИХАИЛ АНДРЕЕВИЧ"</f>
        <v>АНДРЮЩЕНКО МИХАИЛ АНДРЕЕВИЧ</v>
      </c>
      <c r="B1469" t="str">
        <f>"1967-06-27"</f>
        <v>1967-06-27</v>
      </c>
      <c r="C1469" t="str">
        <f>"75 12 076319"</f>
        <v>75 12 076319</v>
      </c>
      <c r="D1469" t="str">
        <f>"4279011679972763"</f>
        <v>4279011679972763</v>
      </c>
      <c r="E1469" t="str">
        <f t="shared" ref="E1469:E1488" si="248">"2021-05-31"</f>
        <v>2021-05-31</v>
      </c>
      <c r="F1469" t="str">
        <f t="shared" si="247"/>
        <v>+</v>
      </c>
      <c r="G1469" t="str">
        <f t="shared" si="247"/>
        <v>+</v>
      </c>
      <c r="H1469" t="str">
        <f>"40817810516991391385"</f>
        <v>40817810516991391385</v>
      </c>
      <c r="I1469" t="str">
        <f>"8597"</f>
        <v>8597</v>
      </c>
      <c r="J1469" t="str">
        <f>"0280"</f>
        <v>0280</v>
      </c>
      <c r="K1469" t="str">
        <f>"400000.00"</f>
        <v>400000.00</v>
      </c>
      <c r="L1469" t="str">
        <f>"454000 ОБЛ ЧЕЛЯБИНСКАЯ   Г ЧЕЛЯБИНСК   ТРАКТ ТРОИЦКИЙ д. 74"</f>
        <v>454000 ОБЛ ЧЕЛЯБИНСКАЯ   Г ЧЕЛЯБИНСК   ТРАКТ ТРОИЦКИЙ д. 74</v>
      </c>
      <c r="M1469" t="str">
        <f t="shared" si="235"/>
        <v>2019-08-24</v>
      </c>
      <c r="N1469" t="str">
        <f>"ООО УСА"</f>
        <v>ООО УСА</v>
      </c>
      <c r="O1469" t="str">
        <f>"454000"</f>
        <v>454000</v>
      </c>
      <c r="P1469" t="str">
        <f>"ОБЛ ЧЕЛЯБИНСКАЯ"</f>
        <v>ОБЛ ЧЕЛЯБИНСКАЯ</v>
      </c>
      <c r="Q1469" t="str">
        <f>""</f>
        <v/>
      </c>
      <c r="R1469" t="str">
        <f>"Г ЧЕЛЯБИНСК"</f>
        <v>Г ЧЕЛЯБИНСК</v>
      </c>
      <c r="S1469" t="str">
        <f>""</f>
        <v/>
      </c>
      <c r="T1469" t="str">
        <f>"Ш КОПЕЙСКОЕ"</f>
        <v>Ш КОПЕЙСКОЕ</v>
      </c>
      <c r="U1469" s="1" t="str">
        <f>"43"</f>
        <v>43</v>
      </c>
      <c r="V1469" s="1" t="str">
        <f>""</f>
        <v/>
      </c>
      <c r="W1469" s="1" t="str">
        <f>""</f>
        <v/>
      </c>
      <c r="X1469" s="1" t="str">
        <f>""</f>
        <v/>
      </c>
      <c r="Y1469" s="1" t="str">
        <f>"207"</f>
        <v>207</v>
      </c>
      <c r="Z1469" t="str">
        <f>"3517305505"</f>
        <v>3517305505</v>
      </c>
      <c r="AA1469" t="str">
        <f>"9227019019"</f>
        <v>9227019019</v>
      </c>
      <c r="AB1469" t="str">
        <f>"9048165846"</f>
        <v>9048165846</v>
      </c>
      <c r="AC1469" t="str">
        <f>"9227019019"</f>
        <v>9227019019</v>
      </c>
      <c r="AD1469" t="str">
        <f>"9048165846"</f>
        <v>9048165846</v>
      </c>
      <c r="AE1469" t="str">
        <f>""</f>
        <v/>
      </c>
    </row>
    <row r="1470" spans="1:31" x14ac:dyDescent="0.45">
      <c r="A1470" t="str">
        <f>"ТЯПИН ПАВЕЛ АЛЕКСЕЕВИЧ"</f>
        <v>ТЯПИН ПАВЕЛ АЛЕКСЕЕВИЧ</v>
      </c>
      <c r="B1470" t="str">
        <f>"1987-11-20"</f>
        <v>1987-11-20</v>
      </c>
      <c r="C1470" t="str">
        <f>"75 08 350948"</f>
        <v>75 08 350948</v>
      </c>
      <c r="D1470" t="str">
        <f>"4279011639000762"</f>
        <v>4279011639000762</v>
      </c>
      <c r="E1470" t="str">
        <f t="shared" si="248"/>
        <v>2021-05-31</v>
      </c>
      <c r="F1470" t="str">
        <f t="shared" si="247"/>
        <v>+</v>
      </c>
      <c r="G1470" t="str">
        <f t="shared" si="247"/>
        <v>+</v>
      </c>
      <c r="H1470" t="str">
        <f>"40817810816991391386"</f>
        <v>40817810816991391386</v>
      </c>
      <c r="I1470" t="str">
        <f>"8597"</f>
        <v>8597</v>
      </c>
      <c r="J1470" t="str">
        <f>"0070"</f>
        <v>0070</v>
      </c>
      <c r="K1470" t="str">
        <f>"50000.00"</f>
        <v>50000.00</v>
      </c>
      <c r="L1470" t="str">
        <f>"454000 ОБЛ ЧЕЛЯБИНСКАЯ   Г ЧЕЛЯБИНСК   УЛ АЛЬСВАЛЬТНАЯ СТАНЦИЯ д. 7"</f>
        <v>454000 ОБЛ ЧЕЛЯБИНСКАЯ   Г ЧЕЛЯБИНСК   УЛ АЛЬСВАЛЬТНАЯ СТАНЦИЯ д. 7</v>
      </c>
      <c r="M1470" t="str">
        <f t="shared" si="235"/>
        <v>2019-08-24</v>
      </c>
      <c r="N1470" t="str">
        <f>"ООО СИП КАБЕЛЬ"</f>
        <v>ООО СИП КАБЕЛЬ</v>
      </c>
      <c r="O1470" t="str">
        <f>"454000"</f>
        <v>454000</v>
      </c>
      <c r="P1470" t="str">
        <f>"ОБЛ ЧЕЛЯБИНСКАЯ"</f>
        <v>ОБЛ ЧЕЛЯБИНСКАЯ</v>
      </c>
      <c r="Q1470" t="str">
        <f>""</f>
        <v/>
      </c>
      <c r="R1470" t="str">
        <f>"Г ЧЕЛЯБИНСК"</f>
        <v>Г ЧЕЛЯБИНСК</v>
      </c>
      <c r="S1470" t="str">
        <f>""</f>
        <v/>
      </c>
      <c r="T1470" t="str">
        <f>"УЛ КАРАБЕЛЬНАЯ"</f>
        <v>УЛ КАРАБЕЛЬНАЯ</v>
      </c>
      <c r="U1470" s="1" t="str">
        <f>"10"</f>
        <v>10</v>
      </c>
      <c r="V1470" s="1" t="str">
        <f>""</f>
        <v/>
      </c>
      <c r="W1470" s="1" t="str">
        <f>""</f>
        <v/>
      </c>
      <c r="X1470" s="1" t="str">
        <f>""</f>
        <v/>
      </c>
      <c r="Y1470" s="1" t="str">
        <f>"138"</f>
        <v>138</v>
      </c>
      <c r="Z1470" t="str">
        <f>"3512624888"</f>
        <v>3512624888</v>
      </c>
      <c r="AA1470" t="str">
        <f>"3512456600"</f>
        <v>3512456600</v>
      </c>
      <c r="AB1470" t="str">
        <f>"9080406600"</f>
        <v>9080406600</v>
      </c>
      <c r="AC1470" t="str">
        <f>"3512456600"</f>
        <v>3512456600</v>
      </c>
      <c r="AD1470" t="str">
        <f>"9080406600"</f>
        <v>9080406600</v>
      </c>
      <c r="AE1470" t="str">
        <f>""</f>
        <v/>
      </c>
    </row>
    <row r="1471" spans="1:31" x14ac:dyDescent="0.45">
      <c r="A1471" t="str">
        <f>"ГВОЗДЕНКО ГУЗЕЛЬ МУНАВИРОВНА"</f>
        <v>ГВОЗДЕНКО ГУЗЕЛЬ МУНАВИРОВНА</v>
      </c>
      <c r="B1471" t="str">
        <f>"1978-12-17"</f>
        <v>1978-12-17</v>
      </c>
      <c r="C1471" t="str">
        <f>"80 06 103728"</f>
        <v>80 06 103728</v>
      </c>
      <c r="D1471" t="str">
        <f>"4279011657056761"</f>
        <v>4279011657056761</v>
      </c>
      <c r="E1471" t="str">
        <f t="shared" si="248"/>
        <v>2021-05-31</v>
      </c>
      <c r="F1471" t="str">
        <f t="shared" si="247"/>
        <v>+</v>
      </c>
      <c r="G1471" t="str">
        <f t="shared" si="247"/>
        <v>+</v>
      </c>
      <c r="H1471" t="str">
        <f>"40817810116991391387"</f>
        <v>40817810116991391387</v>
      </c>
      <c r="I1471" t="str">
        <f>"8598"</f>
        <v>8598</v>
      </c>
      <c r="J1471" t="str">
        <f>"0046"</f>
        <v>0046</v>
      </c>
      <c r="K1471" t="str">
        <f>"93000.00"</f>
        <v>93000.00</v>
      </c>
      <c r="L1471" t="str">
        <f>"450000 РЕСП БАШКОРТОСТАН   Г УФА   УЛ МЕНДЕЛЕЕВА д. 137"</f>
        <v>450000 РЕСП БАШКОРТОСТАН   Г УФА   УЛ МЕНДЕЛЕЕВА д. 137</v>
      </c>
      <c r="M1471" t="str">
        <f t="shared" si="235"/>
        <v>2019-08-24</v>
      </c>
      <c r="N1471" t="str">
        <f>"ООО ТД РАДУГА"</f>
        <v>ООО ТД РАДУГА</v>
      </c>
      <c r="O1471" t="str">
        <f>"450000"</f>
        <v>450000</v>
      </c>
      <c r="P1471" t="str">
        <f>"РЕСП БАШКОРТОСТАН"</f>
        <v>РЕСП БАШКОРТОСТАН</v>
      </c>
      <c r="Q1471" t="str">
        <f>""</f>
        <v/>
      </c>
      <c r="R1471" t="str">
        <f>"Г УФА"</f>
        <v>Г УФА</v>
      </c>
      <c r="S1471" t="str">
        <f>""</f>
        <v/>
      </c>
      <c r="T1471" t="str">
        <f>"УЛ КУЛИБИНА"</f>
        <v>УЛ КУЛИБИНА</v>
      </c>
      <c r="U1471" s="1" t="str">
        <f>"18"</f>
        <v>18</v>
      </c>
      <c r="V1471" s="1" t="str">
        <f>""</f>
        <v/>
      </c>
      <c r="W1471" s="1" t="str">
        <f>"А"</f>
        <v>А</v>
      </c>
      <c r="X1471" s="1" t="str">
        <f>""</f>
        <v/>
      </c>
      <c r="Y1471" s="1" t="str">
        <f>"7"</f>
        <v>7</v>
      </c>
      <c r="Z1471" t="str">
        <f>""</f>
        <v/>
      </c>
      <c r="AA1471" t="str">
        <f>"9899539314"</f>
        <v>9899539314</v>
      </c>
      <c r="AB1471" t="str">
        <f>"9899539314"</f>
        <v>9899539314</v>
      </c>
      <c r="AC1471" t="str">
        <f>"9899539314"</f>
        <v>9899539314</v>
      </c>
      <c r="AD1471" t="str">
        <f>"9899539314"</f>
        <v>9899539314</v>
      </c>
      <c r="AE1471" t="str">
        <f>""</f>
        <v/>
      </c>
    </row>
    <row r="1472" spans="1:31" x14ac:dyDescent="0.45">
      <c r="A1472" t="str">
        <f>"ЭЛЬДАРОВА ЗАРИНА ШАКЕНОВНА"</f>
        <v>ЭЛЬДАРОВА ЗАРИНА ШАКЕНОВНА</v>
      </c>
      <c r="B1472" t="str">
        <f>"1992-06-26"</f>
        <v>1992-06-26</v>
      </c>
      <c r="C1472" t="str">
        <f>"75 12 170371"</f>
        <v>75 12 170371</v>
      </c>
      <c r="D1472" t="str">
        <f>"4279011687890353"</f>
        <v>4279011687890353</v>
      </c>
      <c r="E1472" t="str">
        <f t="shared" si="248"/>
        <v>2021-05-31</v>
      </c>
      <c r="F1472" t="str">
        <f t="shared" si="247"/>
        <v>+</v>
      </c>
      <c r="G1472" t="str">
        <f t="shared" si="247"/>
        <v>+</v>
      </c>
      <c r="H1472" t="str">
        <f>"40817810416991391388"</f>
        <v>40817810416991391388</v>
      </c>
      <c r="I1472" t="str">
        <f>"8597"</f>
        <v>8597</v>
      </c>
      <c r="J1472" t="str">
        <f>"0380"</f>
        <v>0380</v>
      </c>
      <c r="K1472" t="str">
        <f>"40000.00"</f>
        <v>40000.00</v>
      </c>
      <c r="L1472" t="str">
        <f>"454000 ОБЛ ЧЕЛЯБИНСКАЯ   Г МАГНИТОГОРСК   ПР-КТ ЛЕНИНА д. 130 офис 303"</f>
        <v>454000 ОБЛ ЧЕЛЯБИНСКАЯ   Г МАГНИТОГОРСК   ПР-КТ ЛЕНИНА д. 130 офис 303</v>
      </c>
      <c r="M1472" t="str">
        <f t="shared" si="235"/>
        <v>2019-08-24</v>
      </c>
      <c r="N1472" t="str">
        <f>"АО КВАНТУМ"</f>
        <v>АО КВАНТУМ</v>
      </c>
      <c r="O1472" t="str">
        <f>"457621"</f>
        <v>457621</v>
      </c>
      <c r="P1472" t="str">
        <f>"ОБЛ ЧЕЛЯБИНСКАЯ"</f>
        <v>ОБЛ ЧЕЛЯБИНСКАЯ</v>
      </c>
      <c r="Q1472" t="str">
        <f>"Р-Н КИЗИЛЬСКИЙ"</f>
        <v>Р-Н КИЗИЛЬСКИЙ</v>
      </c>
      <c r="R1472" t="str">
        <f>""</f>
        <v/>
      </c>
      <c r="S1472" t="str">
        <f>"П ПУТЬ ОКТЯБРЯ"</f>
        <v>П ПУТЬ ОКТЯБРЯ</v>
      </c>
      <c r="T1472" t="str">
        <f>"УЛ САДОВАЯ"</f>
        <v>УЛ САДОВАЯ</v>
      </c>
      <c r="U1472" s="1" t="str">
        <f>"13"</f>
        <v>13</v>
      </c>
      <c r="V1472" s="1" t="str">
        <f>""</f>
        <v/>
      </c>
      <c r="W1472" s="1" t="str">
        <f>""</f>
        <v/>
      </c>
      <c r="X1472" s="1" t="str">
        <f>""</f>
        <v/>
      </c>
      <c r="Y1472" s="1" t="str">
        <f>""</f>
        <v/>
      </c>
      <c r="Z1472" t="str">
        <f>""</f>
        <v/>
      </c>
      <c r="AA1472" t="str">
        <f>"9000279595"</f>
        <v>9000279595</v>
      </c>
      <c r="AB1472" t="str">
        <f>"9518189595"</f>
        <v>9518189595</v>
      </c>
      <c r="AC1472" t="str">
        <f>"9000279595"</f>
        <v>9000279595</v>
      </c>
      <c r="AD1472" t="str">
        <f>"9000279595"</f>
        <v>9000279595</v>
      </c>
      <c r="AE1472" t="str">
        <f>""</f>
        <v/>
      </c>
    </row>
    <row r="1473" spans="1:31" x14ac:dyDescent="0.45">
      <c r="A1473" t="str">
        <f>"БОЯРШИНОВА ЕЛЕНА ЮРЬЕВНА"</f>
        <v>БОЯРШИНОВА ЕЛЕНА ЮРЬЕВНА</v>
      </c>
      <c r="B1473" t="str">
        <f>"1962-10-13"</f>
        <v>1962-10-13</v>
      </c>
      <c r="C1473" t="str">
        <f>"75 07 134752"</f>
        <v>75 07 134752</v>
      </c>
      <c r="D1473" t="str">
        <f>"4279011622125238"</f>
        <v>4279011622125238</v>
      </c>
      <c r="E1473" t="str">
        <f t="shared" si="248"/>
        <v>2021-05-31</v>
      </c>
      <c r="F1473" t="str">
        <f>"Q"</f>
        <v>Q</v>
      </c>
      <c r="G1473" t="str">
        <f>"Q"</f>
        <v>Q</v>
      </c>
      <c r="H1473" t="str">
        <f>"40817810916991391480"</f>
        <v>40817810916991391480</v>
      </c>
      <c r="I1473" t="str">
        <f>"8597"</f>
        <v>8597</v>
      </c>
      <c r="J1473" t="str">
        <f>"0272"</f>
        <v>0272</v>
      </c>
      <c r="K1473" t="str">
        <f>"0.00"</f>
        <v>0.00</v>
      </c>
      <c r="L1473" t="str">
        <f>"454000 ОБЛ ЧЕЛЯБИНСКАЯ   Г ЧЕЛЯБИНСК   ТРАКТ СВЕРДЛОВСКИЙ д. 24"</f>
        <v>454000 ОБЛ ЧЕЛЯБИНСКАЯ   Г ЧЕЛЯБИНСК   ТРАКТ СВЕРДЛОВСКИЙ д. 24</v>
      </c>
      <c r="M1473" t="str">
        <f t="shared" si="235"/>
        <v>2019-08-24</v>
      </c>
      <c r="N1473" t="str">
        <f>"ООО ЧОО ЦИНК-БЕЗОПАСНОСТЬ"</f>
        <v>ООО ЧОО ЦИНК-БЕЗОПАСНОСТЬ</v>
      </c>
      <c r="O1473" t="str">
        <f>"454000"</f>
        <v>454000</v>
      </c>
      <c r="P1473" t="str">
        <f>"ОБЛ ЧЕЛЯБИНСКАЯ"</f>
        <v>ОБЛ ЧЕЛЯБИНСКАЯ</v>
      </c>
      <c r="Q1473" t="str">
        <f>""</f>
        <v/>
      </c>
      <c r="R1473" t="str">
        <f>"Г ЧЕЛЯБИНСК"</f>
        <v>Г ЧЕЛЯБИНСК</v>
      </c>
      <c r="S1473" t="str">
        <f>""</f>
        <v/>
      </c>
      <c r="T1473" t="str">
        <f>"УЛ АРТИЛЛЕРИЙСКАЯ"</f>
        <v>УЛ АРТИЛЛЕРИЙСКАЯ</v>
      </c>
      <c r="U1473" s="1" t="str">
        <f>"114Б"</f>
        <v>114Б</v>
      </c>
      <c r="V1473" s="1" t="str">
        <f>""</f>
        <v/>
      </c>
      <c r="W1473" s="1" t="str">
        <f>""</f>
        <v/>
      </c>
      <c r="X1473" s="1" t="str">
        <f>""</f>
        <v/>
      </c>
      <c r="Y1473" s="1" t="str">
        <f>"4"</f>
        <v>4</v>
      </c>
      <c r="Z1473" t="str">
        <f>"3517746213"</f>
        <v>3517746213</v>
      </c>
      <c r="AA1473" t="str">
        <f>"3517746213"</f>
        <v>3517746213</v>
      </c>
      <c r="AB1473" t="str">
        <f>"9525186670"</f>
        <v>9525186670</v>
      </c>
      <c r="AC1473" t="str">
        <f>"3517746213"</f>
        <v>3517746213</v>
      </c>
      <c r="AD1473" t="str">
        <f>"9525186670"</f>
        <v>9525186670</v>
      </c>
      <c r="AE1473" t="str">
        <f>"3517746213"</f>
        <v>3517746213</v>
      </c>
    </row>
    <row r="1474" spans="1:31" x14ac:dyDescent="0.45">
      <c r="A1474" t="str">
        <f>"ШАРТИНОВА ГУЛЬНАРА ЕВГЕНЬЕВНА"</f>
        <v>ШАРТИНОВА ГУЛЬНАРА ЕВГЕНЬЕВНА</v>
      </c>
      <c r="B1474" t="str">
        <f>"1980-03-05"</f>
        <v>1980-03-05</v>
      </c>
      <c r="C1474" t="str">
        <f>"65 01 982545"</f>
        <v>65 01 982545</v>
      </c>
      <c r="D1474" t="str">
        <f>"4279011694066575"</f>
        <v>4279011694066575</v>
      </c>
      <c r="E1474" t="str">
        <f t="shared" si="248"/>
        <v>2021-05-31</v>
      </c>
      <c r="F1474" t="str">
        <f t="shared" ref="F1474:G1484" si="249">"+"</f>
        <v>+</v>
      </c>
      <c r="G1474" t="str">
        <f t="shared" si="249"/>
        <v>+</v>
      </c>
      <c r="H1474" t="str">
        <f>"40817810216991391481"</f>
        <v>40817810216991391481</v>
      </c>
      <c r="I1474" t="str">
        <f>"7003"</f>
        <v>7003</v>
      </c>
      <c r="J1474" t="str">
        <f>"0897"</f>
        <v>0897</v>
      </c>
      <c r="K1474" t="str">
        <f>"145000.00"</f>
        <v>145000.00</v>
      </c>
      <c r="L1474" t="str">
        <f>"620000 ОБЛ СВЕРДЛОВСКАЯ   Г ЕКАТЕРИНБУРГ   ПЛ 1-ОЙ ПЯТИЛЕТКИ д. 1"</f>
        <v>620000 ОБЛ СВЕРДЛОВСКАЯ   Г ЕКАТЕРИНБУРГ   ПЛ 1-ОЙ ПЯТИЛЕТКИ д. 1</v>
      </c>
      <c r="M1474" t="str">
        <f t="shared" ref="M1474:M1537" si="250">"2019-08-24"</f>
        <v>2019-08-24</v>
      </c>
      <c r="N1474" t="s">
        <v>89</v>
      </c>
      <c r="O1474" t="str">
        <f>"620000"</f>
        <v>620000</v>
      </c>
      <c r="P1474" t="str">
        <f>"ОБЛ СВЕРДЛОВСКАЯ"</f>
        <v>ОБЛ СВЕРДЛОВСКАЯ</v>
      </c>
      <c r="Q1474" t="str">
        <f>""</f>
        <v/>
      </c>
      <c r="R1474" t="str">
        <f>"Г ЕКАТЕРИНБУРГ"</f>
        <v>Г ЕКАТЕРИНБУРГ</v>
      </c>
      <c r="S1474" t="str">
        <f>""</f>
        <v/>
      </c>
      <c r="T1474" t="str">
        <f>"УЛ ВОЛЧАНСКАЯ"</f>
        <v>УЛ ВОЛЧАНСКАЯ</v>
      </c>
      <c r="U1474" s="1" t="str">
        <f>"4"</f>
        <v>4</v>
      </c>
      <c r="V1474" s="1" t="str">
        <f>""</f>
        <v/>
      </c>
      <c r="W1474" s="1" t="str">
        <f>""</f>
        <v/>
      </c>
      <c r="X1474" s="1" t="str">
        <f>""</f>
        <v/>
      </c>
      <c r="Y1474" s="1" t="str">
        <f>"60"</f>
        <v>60</v>
      </c>
      <c r="Z1474" t="str">
        <f>"3761414"</f>
        <v>3761414</v>
      </c>
      <c r="AA1474" t="str">
        <f>"9028706652"</f>
        <v>9028706652</v>
      </c>
      <c r="AB1474" t="str">
        <f>"9028706652"</f>
        <v>9028706652</v>
      </c>
      <c r="AC1474" t="str">
        <f>"9028706652"</f>
        <v>9028706652</v>
      </c>
      <c r="AD1474" t="str">
        <f>"9028706652"</f>
        <v>9028706652</v>
      </c>
      <c r="AE1474" t="str">
        <f>""</f>
        <v/>
      </c>
    </row>
    <row r="1475" spans="1:31" x14ac:dyDescent="0.45">
      <c r="A1475" t="str">
        <f>"ДЕСЯТКОВ ПАВЕЛ АЛЕКСАНДРОВИЧ"</f>
        <v>ДЕСЯТКОВ ПАВЕЛ АЛЕКСАНДРОВИЧ</v>
      </c>
      <c r="B1475" t="str">
        <f>"1990-03-02"</f>
        <v>1990-03-02</v>
      </c>
      <c r="C1475" t="str">
        <f>"75 10 840254"</f>
        <v>75 10 840254</v>
      </c>
      <c r="D1475" t="str">
        <f>"4279011649817163"</f>
        <v>4279011649817163</v>
      </c>
      <c r="E1475" t="str">
        <f t="shared" si="248"/>
        <v>2021-05-31</v>
      </c>
      <c r="F1475" t="str">
        <f t="shared" si="249"/>
        <v>+</v>
      </c>
      <c r="G1475" t="str">
        <f t="shared" si="249"/>
        <v>+</v>
      </c>
      <c r="H1475" t="str">
        <f>"40817810416991391485"</f>
        <v>40817810416991391485</v>
      </c>
      <c r="I1475" t="str">
        <f>"8597"</f>
        <v>8597</v>
      </c>
      <c r="J1475" t="str">
        <f>"0500"</f>
        <v>0500</v>
      </c>
      <c r="K1475" t="str">
        <f>"80000.00"</f>
        <v>80000.00</v>
      </c>
      <c r="L1475" t="str">
        <f>"454000 ОБЛ ЧЕЛЯБИНСКАЯ   Г ЗЛАТОУСТ   УЛ ЧЕРНЫШЕВСКОГО д. 21 кв. 15"</f>
        <v>454000 ОБЛ ЧЕЛЯБИНСКАЯ   Г ЗЛАТОУСТ   УЛ ЧЕРНЫШЕВСКОГО д. 21 кв. 15</v>
      </c>
      <c r="M1475" t="str">
        <f t="shared" si="250"/>
        <v>2019-08-24</v>
      </c>
      <c r="N1475" t="str">
        <f>"НЕ РАБОТАЮЩИЙ"</f>
        <v>НЕ РАБОТАЮЩИЙ</v>
      </c>
      <c r="O1475" t="str">
        <f>"454000"</f>
        <v>454000</v>
      </c>
      <c r="P1475" t="str">
        <f>"ОБЛ ЧЕЛЯБИНСКАЯ"</f>
        <v>ОБЛ ЧЕЛЯБИНСКАЯ</v>
      </c>
      <c r="Q1475" t="str">
        <f>""</f>
        <v/>
      </c>
      <c r="R1475" t="str">
        <f>"Г ЗЛАТОУСТ"</f>
        <v>Г ЗЛАТОУСТ</v>
      </c>
      <c r="S1475" t="str">
        <f>""</f>
        <v/>
      </c>
      <c r="T1475" t="str">
        <f>"УЛ ЧЕРНЫШЕВСКОГО"</f>
        <v>УЛ ЧЕРНЫШЕВСКОГО</v>
      </c>
      <c r="U1475" s="1" t="str">
        <f>"21"</f>
        <v>21</v>
      </c>
      <c r="V1475" s="1" t="str">
        <f>""</f>
        <v/>
      </c>
      <c r="W1475" s="1" t="str">
        <f>""</f>
        <v/>
      </c>
      <c r="X1475" s="1" t="str">
        <f>""</f>
        <v/>
      </c>
      <c r="Y1475" s="1" t="str">
        <f>"15"</f>
        <v>15</v>
      </c>
      <c r="Z1475" t="str">
        <f>""</f>
        <v/>
      </c>
      <c r="AA1475" t="str">
        <f>"9127971054"</f>
        <v>9127971054</v>
      </c>
      <c r="AB1475" t="str">
        <f>"9127971054"</f>
        <v>9127971054</v>
      </c>
      <c r="AC1475" t="str">
        <f>"9127971054"</f>
        <v>9127971054</v>
      </c>
      <c r="AD1475" t="str">
        <f>"9127971054"</f>
        <v>9127971054</v>
      </c>
      <c r="AE1475" t="str">
        <f>""</f>
        <v/>
      </c>
    </row>
    <row r="1476" spans="1:31" x14ac:dyDescent="0.45">
      <c r="A1476" t="str">
        <f>"ШАРОВ ВАСИЛИЙ СЕРГЕЕВИЧ"</f>
        <v>ШАРОВ ВАСИЛИЙ СЕРГЕЕВИЧ</v>
      </c>
      <c r="B1476" t="str">
        <f>"1986-04-09"</f>
        <v>1986-04-09</v>
      </c>
      <c r="C1476" t="str">
        <f>"75 05 978722"</f>
        <v>75 05 978722</v>
      </c>
      <c r="D1476" t="str">
        <f>"4279011634548682"</f>
        <v>4279011634548682</v>
      </c>
      <c r="E1476" t="str">
        <f t="shared" si="248"/>
        <v>2021-05-31</v>
      </c>
      <c r="F1476" t="str">
        <f t="shared" si="249"/>
        <v>+</v>
      </c>
      <c r="G1476" t="str">
        <f t="shared" si="249"/>
        <v>+</v>
      </c>
      <c r="H1476" t="str">
        <f>"40817810616991391492"</f>
        <v>40817810616991391492</v>
      </c>
      <c r="I1476" t="str">
        <f>"8597"</f>
        <v>8597</v>
      </c>
      <c r="J1476" t="str">
        <f>"0476"</f>
        <v>0476</v>
      </c>
      <c r="K1476" t="str">
        <f>"70000.00"</f>
        <v>70000.00</v>
      </c>
      <c r="L1476" t="str">
        <f>"454000 ОБЛ ЧЕЛЯБИНСКАЯ Р-Н КОРКИНСКИЙ Г КОРКИНО   УЛ САККО И ВАНЦЕТТИ д. 97А"</f>
        <v>454000 ОБЛ ЧЕЛЯБИНСКАЯ Р-Н КОРКИНСКИЙ Г КОРКИНО   УЛ САККО И ВАНЦЕТТИ д. 97А</v>
      </c>
      <c r="M1476" t="str">
        <f t="shared" si="250"/>
        <v>2019-08-24</v>
      </c>
      <c r="N1476" t="str">
        <f>"ООО АЛЬТЕРНАТИВА"</f>
        <v>ООО АЛЬТЕРНАТИВА</v>
      </c>
      <c r="O1476" t="str">
        <f>"454000"</f>
        <v>454000</v>
      </c>
      <c r="P1476" t="str">
        <f>"ОБЛ ЧЕЛЯБИНСКАЯ"</f>
        <v>ОБЛ ЧЕЛЯБИНСКАЯ</v>
      </c>
      <c r="Q1476" t="str">
        <f>"Р-Н КОРКИНСКИЙ"</f>
        <v>Р-Н КОРКИНСКИЙ</v>
      </c>
      <c r="R1476" t="str">
        <f>"Г КОРКИНО"</f>
        <v>Г КОРКИНО</v>
      </c>
      <c r="S1476" t="str">
        <f>""</f>
        <v/>
      </c>
      <c r="T1476" t="str">
        <f>"УЛ СТЕПАНА РАЗИНА"</f>
        <v>УЛ СТЕПАНА РАЗИНА</v>
      </c>
      <c r="U1476" s="1" t="str">
        <f>"129"</f>
        <v>129</v>
      </c>
      <c r="V1476" s="1" t="str">
        <f>""</f>
        <v/>
      </c>
      <c r="W1476" s="1" t="str">
        <f>""</f>
        <v/>
      </c>
      <c r="X1476" s="1" t="str">
        <f>""</f>
        <v/>
      </c>
      <c r="Y1476" s="1" t="str">
        <f>""</f>
        <v/>
      </c>
      <c r="Z1476" t="str">
        <f>""</f>
        <v/>
      </c>
      <c r="AA1476" t="str">
        <f>"9517707261"</f>
        <v>9517707261</v>
      </c>
      <c r="AB1476" t="str">
        <f>"9193060515"</f>
        <v>9193060515</v>
      </c>
      <c r="AC1476" t="str">
        <f>"9517707261"</f>
        <v>9517707261</v>
      </c>
      <c r="AD1476" t="str">
        <f>"9193060515"</f>
        <v>9193060515</v>
      </c>
      <c r="AE1476" t="str">
        <f>""</f>
        <v/>
      </c>
    </row>
    <row r="1477" spans="1:31" x14ac:dyDescent="0.45">
      <c r="A1477" t="str">
        <f>"СУЛЕЙМАНОВА ГУЗЕЛЬ ГАЛИЕВНА"</f>
        <v>СУЛЕЙМАНОВА ГУЗЕЛЬ ГАЛИЕВНА</v>
      </c>
      <c r="B1477" t="str">
        <f>"1968-04-01"</f>
        <v>1968-04-01</v>
      </c>
      <c r="C1477" t="str">
        <f>"80 12 693833"</f>
        <v>80 12 693833</v>
      </c>
      <c r="D1477" t="str">
        <f>"4279011678159883"</f>
        <v>4279011678159883</v>
      </c>
      <c r="E1477" t="str">
        <f t="shared" si="248"/>
        <v>2021-05-31</v>
      </c>
      <c r="F1477" t="str">
        <f t="shared" si="249"/>
        <v>+</v>
      </c>
      <c r="G1477" t="str">
        <f t="shared" si="249"/>
        <v>+</v>
      </c>
      <c r="H1477" t="str">
        <f>"40817810916991391493"</f>
        <v>40817810916991391493</v>
      </c>
      <c r="I1477" t="str">
        <f>"8598"</f>
        <v>8598</v>
      </c>
      <c r="J1477" t="str">
        <f>"0217"</f>
        <v>0217</v>
      </c>
      <c r="K1477" t="str">
        <f>"175000.00"</f>
        <v>175000.00</v>
      </c>
      <c r="L1477" t="str">
        <f>"450001 РЕСП БАШКОРТОСТАН   Г УФА   УЛ 50 ЛЕТ СССР д. 33 корп. 1"</f>
        <v>450001 РЕСП БАШКОРТОСТАН   Г УФА   УЛ 50 ЛЕТ СССР д. 33 корп. 1</v>
      </c>
      <c r="M1477" t="str">
        <f t="shared" si="250"/>
        <v>2019-08-24</v>
      </c>
      <c r="N1477" t="s">
        <v>90</v>
      </c>
      <c r="O1477" t="str">
        <f>"450043"</f>
        <v>450043</v>
      </c>
      <c r="P1477" t="str">
        <f>"РЕСП БАШКОРТОСТАН"</f>
        <v>РЕСП БАШКОРТОСТАН</v>
      </c>
      <c r="Q1477" t="str">
        <f>""</f>
        <v/>
      </c>
      <c r="R1477" t="str">
        <f>"Г УФА"</f>
        <v>Г УФА</v>
      </c>
      <c r="S1477" t="str">
        <f>""</f>
        <v/>
      </c>
      <c r="T1477" t="str">
        <f>"УЛ МОТОРОСТРОИТЕЛЕЙ"</f>
        <v>УЛ МОТОРОСТРОИТЕЛЕЙ</v>
      </c>
      <c r="U1477" s="1" t="str">
        <f>"15"</f>
        <v>15</v>
      </c>
      <c r="V1477" s="1" t="str">
        <f>""</f>
        <v/>
      </c>
      <c r="W1477" s="1" t="str">
        <f>""</f>
        <v/>
      </c>
      <c r="X1477" s="1" t="str">
        <f>""</f>
        <v/>
      </c>
      <c r="Y1477" s="1" t="str">
        <f>"66"</f>
        <v>66</v>
      </c>
      <c r="Z1477" t="str">
        <f>"9177570220"</f>
        <v>9177570220</v>
      </c>
      <c r="AA1477" t="str">
        <f>"9177570220"</f>
        <v>9177570220</v>
      </c>
      <c r="AB1477" t="str">
        <f>"9177570220"</f>
        <v>9177570220</v>
      </c>
      <c r="AC1477" t="str">
        <f>"9177570220"</f>
        <v>9177570220</v>
      </c>
      <c r="AD1477" t="str">
        <f>"9177570220"</f>
        <v>9177570220</v>
      </c>
      <c r="AE1477" t="str">
        <f>"9177570220"</f>
        <v>9177570220</v>
      </c>
    </row>
    <row r="1478" spans="1:31" x14ac:dyDescent="0.45">
      <c r="A1478" t="str">
        <f>"ЕРМИЛОВА ЛИДИЯ ВЛАДИМИРОВНА"</f>
        <v>ЕРМИЛОВА ЛИДИЯ ВЛАДИМИРОВНА</v>
      </c>
      <c r="B1478" t="str">
        <f>"1985-09-02"</f>
        <v>1985-09-02</v>
      </c>
      <c r="C1478" t="str">
        <f>"80 16 457022"</f>
        <v>80 16 457022</v>
      </c>
      <c r="D1478" t="str">
        <f>"4279011604730864"</f>
        <v>4279011604730864</v>
      </c>
      <c r="E1478" t="str">
        <f t="shared" si="248"/>
        <v>2021-05-31</v>
      </c>
      <c r="F1478" t="str">
        <f t="shared" si="249"/>
        <v>+</v>
      </c>
      <c r="G1478" t="str">
        <f t="shared" si="249"/>
        <v>+</v>
      </c>
      <c r="H1478" t="str">
        <f>"40817810616991391489"</f>
        <v>40817810616991391489</v>
      </c>
      <c r="I1478" t="str">
        <f>"8598"</f>
        <v>8598</v>
      </c>
      <c r="J1478" t="str">
        <f>"0718"</f>
        <v>0718</v>
      </c>
      <c r="K1478" t="str">
        <f>"185000.00"</f>
        <v>185000.00</v>
      </c>
      <c r="L1478" t="str">
        <f>"453200 РЕСП БАШКОРТОСТАН   Г ИШИМБАЙ   УЛ СЕВЕРНАЯ д. 1А"</f>
        <v>453200 РЕСП БАШКОРТОСТАН   Г ИШИМБАЙ   УЛ СЕВЕРНАЯ д. 1А</v>
      </c>
      <c r="M1478" t="str">
        <f t="shared" si="250"/>
        <v>2019-08-24</v>
      </c>
      <c r="N1478" t="str">
        <f>"ИШИМБАЙСКИЙ ПНИ"</f>
        <v>ИШИМБАЙСКИЙ ПНИ</v>
      </c>
      <c r="O1478" t="str">
        <f>"453200"</f>
        <v>453200</v>
      </c>
      <c r="P1478" t="str">
        <f>"РЕСП БАШКОРТОСТАН"</f>
        <v>РЕСП БАШКОРТОСТАН</v>
      </c>
      <c r="Q1478" t="str">
        <f>""</f>
        <v/>
      </c>
      <c r="R1478" t="str">
        <f>"Г ИШИМБАЙ"</f>
        <v>Г ИШИМБАЙ</v>
      </c>
      <c r="S1478" t="str">
        <f>""</f>
        <v/>
      </c>
      <c r="T1478" t="str">
        <f>"УЛ РЕВОЛЮЦИОННАЯ"</f>
        <v>УЛ РЕВОЛЮЦИОННАЯ</v>
      </c>
      <c r="U1478" s="1" t="str">
        <f>"23"</f>
        <v>23</v>
      </c>
      <c r="V1478" s="1" t="str">
        <f>""</f>
        <v/>
      </c>
      <c r="W1478" s="1" t="str">
        <f>""</f>
        <v/>
      </c>
      <c r="X1478" s="1" t="str">
        <f>""</f>
        <v/>
      </c>
      <c r="Y1478" s="1" t="str">
        <f>"27"</f>
        <v>27</v>
      </c>
      <c r="Z1478" t="str">
        <f>""</f>
        <v/>
      </c>
      <c r="AA1478" t="str">
        <f>"9876282256"</f>
        <v>9876282256</v>
      </c>
      <c r="AB1478" t="str">
        <f>"+7 (960) 8073100"</f>
        <v>+7 (960) 8073100</v>
      </c>
      <c r="AC1478" t="str">
        <f>"9876282256"</f>
        <v>9876282256</v>
      </c>
      <c r="AD1478" t="str">
        <f>"9876282256"</f>
        <v>9876282256</v>
      </c>
      <c r="AE1478" t="str">
        <f>""</f>
        <v/>
      </c>
    </row>
    <row r="1479" spans="1:31" x14ac:dyDescent="0.45">
      <c r="A1479" t="str">
        <f>"ЕГОРОВ ВЛАДИМИР АЛЕКСАНДРОВИЧ"</f>
        <v>ЕГОРОВ ВЛАДИМИР АЛЕКСАНДРОВИЧ</v>
      </c>
      <c r="B1479" t="str">
        <f>"1993-04-02"</f>
        <v>1993-04-02</v>
      </c>
      <c r="C1479" t="str">
        <f>"75 13 274622"</f>
        <v>75 13 274622</v>
      </c>
      <c r="D1479" t="str">
        <f>"4279011643376315"</f>
        <v>4279011643376315</v>
      </c>
      <c r="E1479" t="str">
        <f t="shared" si="248"/>
        <v>2021-05-31</v>
      </c>
      <c r="F1479" t="str">
        <f t="shared" si="249"/>
        <v>+</v>
      </c>
      <c r="G1479" t="str">
        <f t="shared" si="249"/>
        <v>+</v>
      </c>
      <c r="H1479" t="str">
        <f>"40817810516991391657"</f>
        <v>40817810516991391657</v>
      </c>
      <c r="I1479" t="str">
        <f>"8597"</f>
        <v>8597</v>
      </c>
      <c r="J1479" t="str">
        <f>"0380"</f>
        <v>0380</v>
      </c>
      <c r="K1479" t="str">
        <f>"80000.00"</f>
        <v>80000.00</v>
      </c>
      <c r="L1479" t="str">
        <f>"454000 ОБЛ ЧЕЛЯБИНСКАЯ   Г МАГНИТОГОРСК   УЛ ГАЛИУЛЛИНА д. 16"</f>
        <v>454000 ОБЛ ЧЕЛЯБИНСКАЯ   Г МАГНИТОГОРСК   УЛ ГАЛИУЛЛИНА д. 16</v>
      </c>
      <c r="M1479" t="str">
        <f t="shared" si="250"/>
        <v>2019-08-24</v>
      </c>
      <c r="N1479" t="str">
        <f>"МУЗ ССНП"</f>
        <v>МУЗ ССНП</v>
      </c>
      <c r="O1479" t="str">
        <f>"454000"</f>
        <v>454000</v>
      </c>
      <c r="P1479" t="str">
        <f>"ОБЛ ЧЕЛЯБИНСКАЯ"</f>
        <v>ОБЛ ЧЕЛЯБИНСКАЯ</v>
      </c>
      <c r="Q1479" t="str">
        <f>"Р-Н БРЕДИНСКИЙ"</f>
        <v>Р-Н БРЕДИНСКИЙ</v>
      </c>
      <c r="R1479" t="str">
        <f>""</f>
        <v/>
      </c>
      <c r="S1479" t="str">
        <f>"П БРЕДЫ"</f>
        <v>П БРЕДЫ</v>
      </c>
      <c r="T1479" t="str">
        <f>"УЛ ЧАПАЕВА"</f>
        <v>УЛ ЧАПАЕВА</v>
      </c>
      <c r="U1479" s="1" t="str">
        <f>"54"</f>
        <v>54</v>
      </c>
      <c r="V1479" s="1" t="str">
        <f>""</f>
        <v/>
      </c>
      <c r="W1479" s="1" t="str">
        <f>""</f>
        <v/>
      </c>
      <c r="X1479" s="1" t="str">
        <f>""</f>
        <v/>
      </c>
      <c r="Y1479" s="1" t="str">
        <f>"3"</f>
        <v>3</v>
      </c>
      <c r="Z1479" t="str">
        <f>"3519404307"</f>
        <v>3519404307</v>
      </c>
      <c r="AA1479" t="str">
        <f>"9049470677"</f>
        <v>9049470677</v>
      </c>
      <c r="AB1479" t="str">
        <f>"9049470677"</f>
        <v>9049470677</v>
      </c>
      <c r="AC1479" t="str">
        <f>"9049470677"</f>
        <v>9049470677</v>
      </c>
      <c r="AD1479" t="str">
        <f>"9049470677"</f>
        <v>9049470677</v>
      </c>
      <c r="AE1479" t="str">
        <f>""</f>
        <v/>
      </c>
    </row>
    <row r="1480" spans="1:31" x14ac:dyDescent="0.45">
      <c r="A1480" t="str">
        <f>"СЕРГЕЕВА ЕЛЕНА АНАТОЛЬЕВНА"</f>
        <v>СЕРГЕЕВА ЕЛЕНА АНАТОЛЬЕВНА</v>
      </c>
      <c r="B1480" t="str">
        <f>"1987-08-27"</f>
        <v>1987-08-27</v>
      </c>
      <c r="C1480" t="str">
        <f>"65 16 272032"</f>
        <v>65 16 272032</v>
      </c>
      <c r="D1480" t="str">
        <f>"4279011602404314"</f>
        <v>4279011602404314</v>
      </c>
      <c r="E1480" t="str">
        <f t="shared" si="248"/>
        <v>2021-05-31</v>
      </c>
      <c r="F1480" t="str">
        <f t="shared" si="249"/>
        <v>+</v>
      </c>
      <c r="G1480" t="str">
        <f t="shared" si="249"/>
        <v>+</v>
      </c>
      <c r="H1480" t="str">
        <f>"40817810016991391652"</f>
        <v>40817810016991391652</v>
      </c>
      <c r="I1480" t="str">
        <f>"7003"</f>
        <v>7003</v>
      </c>
      <c r="J1480" t="str">
        <f>"0796"</f>
        <v>0796</v>
      </c>
      <c r="K1480" t="str">
        <f>"35000.00"</f>
        <v>35000.00</v>
      </c>
      <c r="L1480" t="str">
        <f>"620000 ОБЛ СВЕРДЛОВСКАЯ   Г БЕРЕЗОВСКИЙ   УЛ УРАЛЬСКАЯ д. 148"</f>
        <v>620000 ОБЛ СВЕРДЛОВСКАЯ   Г БЕРЕЗОВСКИЙ   УЛ УРАЛЬСКАЯ д. 148</v>
      </c>
      <c r="M1480" t="str">
        <f t="shared" si="250"/>
        <v>2019-08-24</v>
      </c>
      <c r="N1480" t="str">
        <f>"ИП НОСОВА А.А."</f>
        <v>ИП НОСОВА А.А.</v>
      </c>
      <c r="O1480" t="str">
        <f>"620000"</f>
        <v>620000</v>
      </c>
      <c r="P1480" t="str">
        <f>"ОБЛ СВЕРДЛОВСКАЯ"</f>
        <v>ОБЛ СВЕРДЛОВСКАЯ</v>
      </c>
      <c r="Q1480" t="str">
        <f>""</f>
        <v/>
      </c>
      <c r="R1480" t="str">
        <f>"Г БЕРЕЗОВСКИЙ"</f>
        <v>Г БЕРЕЗОВСКИЙ</v>
      </c>
      <c r="S1480" t="str">
        <f>""</f>
        <v/>
      </c>
      <c r="T1480" t="str">
        <f>"УЛ ТОЛБУХИНА"</f>
        <v>УЛ ТОЛБУХИНА</v>
      </c>
      <c r="U1480" s="1" t="str">
        <f>"13"</f>
        <v>13</v>
      </c>
      <c r="V1480" s="1" t="str">
        <f>""</f>
        <v/>
      </c>
      <c r="W1480" s="1" t="str">
        <f>""</f>
        <v/>
      </c>
      <c r="X1480" s="1" t="str">
        <f>""</f>
        <v/>
      </c>
      <c r="Y1480" s="1" t="str">
        <f>"55"</f>
        <v>55</v>
      </c>
      <c r="Z1480" t="str">
        <f>""</f>
        <v/>
      </c>
      <c r="AA1480" t="str">
        <f>"9221260171"</f>
        <v>9221260171</v>
      </c>
      <c r="AB1480" t="str">
        <f>"9644899448"</f>
        <v>9644899448</v>
      </c>
      <c r="AC1480" t="str">
        <f>"9221260171"</f>
        <v>9221260171</v>
      </c>
      <c r="AD1480" t="str">
        <f>"9644899448"</f>
        <v>9644899448</v>
      </c>
      <c r="AE1480" t="str">
        <f>""</f>
        <v/>
      </c>
    </row>
    <row r="1481" spans="1:31" x14ac:dyDescent="0.45">
      <c r="A1481" t="str">
        <f>"ЯФАЕВА АЛИНА ВЕНЕРОВНА"</f>
        <v>ЯФАЕВА АЛИНА ВЕНЕРОВНА</v>
      </c>
      <c r="B1481" t="str">
        <f>"1982-11-09"</f>
        <v>1982-11-09</v>
      </c>
      <c r="C1481" t="str">
        <f>"80 07 466053"</f>
        <v>80 07 466053</v>
      </c>
      <c r="D1481" t="str">
        <f>"4279011646015514"</f>
        <v>4279011646015514</v>
      </c>
      <c r="E1481" t="str">
        <f t="shared" si="248"/>
        <v>2021-05-31</v>
      </c>
      <c r="F1481" t="str">
        <f t="shared" si="249"/>
        <v>+</v>
      </c>
      <c r="G1481" t="str">
        <f t="shared" si="249"/>
        <v>+</v>
      </c>
      <c r="H1481" t="str">
        <f>"40817810516991391673"</f>
        <v>40817810516991391673</v>
      </c>
      <c r="I1481" t="str">
        <f>"8598"</f>
        <v>8598</v>
      </c>
      <c r="J1481" t="str">
        <f>"0194"</f>
        <v>0194</v>
      </c>
      <c r="K1481" t="str">
        <f>"80000.00"</f>
        <v>80000.00</v>
      </c>
      <c r="L1481" t="str">
        <f>"450000 РЕСП БАШКОРТОСТАН   Г УФА   УЛ 8 МАРТА д. 19"</f>
        <v>450000 РЕСП БАШКОРТОСТАН   Г УФА   УЛ 8 МАРТА д. 19</v>
      </c>
      <c r="M1481" t="str">
        <f t="shared" si="250"/>
        <v>2019-08-24</v>
      </c>
      <c r="N1481" t="str">
        <f>"ООО СК СОГЛАСИЕ"</f>
        <v>ООО СК СОГЛАСИЕ</v>
      </c>
      <c r="O1481" t="str">
        <f>"450000"</f>
        <v>450000</v>
      </c>
      <c r="P1481" t="str">
        <f>"РЕСП БАШКОРТОСТАН"</f>
        <v>РЕСП БАШКОРТОСТАН</v>
      </c>
      <c r="Q1481" t="str">
        <f>""</f>
        <v/>
      </c>
      <c r="R1481" t="str">
        <f>"Г УФА"</f>
        <v>Г УФА</v>
      </c>
      <c r="S1481" t="str">
        <f>""</f>
        <v/>
      </c>
      <c r="T1481" t="str">
        <f>"УЛ МАКСИМА РЫЛЬСКОГО"</f>
        <v>УЛ МАКСИМА РЫЛЬСКОГО</v>
      </c>
      <c r="U1481" s="1" t="str">
        <f>"13"</f>
        <v>13</v>
      </c>
      <c r="V1481" s="1" t="str">
        <f>""</f>
        <v/>
      </c>
      <c r="W1481" s="1" t="str">
        <f>""</f>
        <v/>
      </c>
      <c r="X1481" s="1" t="str">
        <f>""</f>
        <v/>
      </c>
      <c r="Y1481" s="1" t="str">
        <f>"15"</f>
        <v>15</v>
      </c>
      <c r="Z1481" t="str">
        <f>"3472916908"</f>
        <v>3472916908</v>
      </c>
      <c r="AA1481" t="str">
        <f>"9625203952"</f>
        <v>9625203952</v>
      </c>
      <c r="AB1481" t="str">
        <f>"9625203952"</f>
        <v>9625203952</v>
      </c>
      <c r="AC1481" t="str">
        <f>"9625203952"</f>
        <v>9625203952</v>
      </c>
      <c r="AD1481" t="str">
        <f>"9625203952"</f>
        <v>9625203952</v>
      </c>
      <c r="AE1481" t="str">
        <f>"3472916908"</f>
        <v>3472916908</v>
      </c>
    </row>
    <row r="1482" spans="1:31" x14ac:dyDescent="0.45">
      <c r="A1482" t="str">
        <f>"ГАБИТОВА НАТАЛЬЯ ВЛАДИМИРОВНА"</f>
        <v>ГАБИТОВА НАТАЛЬЯ ВЛАДИМИРОВНА</v>
      </c>
      <c r="B1482" t="str">
        <f>"1988-06-20"</f>
        <v>1988-06-20</v>
      </c>
      <c r="C1482" t="str">
        <f>"80 10 141887"</f>
        <v>80 10 141887</v>
      </c>
      <c r="D1482" t="str">
        <f>"4279011632451384"</f>
        <v>4279011632451384</v>
      </c>
      <c r="E1482" t="str">
        <f t="shared" si="248"/>
        <v>2021-05-31</v>
      </c>
      <c r="F1482" t="str">
        <f t="shared" si="249"/>
        <v>+</v>
      </c>
      <c r="G1482" t="str">
        <f t="shared" si="249"/>
        <v>+</v>
      </c>
      <c r="H1482" t="str">
        <f>"40817810616991391641"</f>
        <v>40817810616991391641</v>
      </c>
      <c r="I1482" t="str">
        <f>"8598"</f>
        <v>8598</v>
      </c>
      <c r="J1482" t="str">
        <f>"0717"</f>
        <v>0717</v>
      </c>
      <c r="K1482" t="str">
        <f>"49000.00"</f>
        <v>49000.00</v>
      </c>
      <c r="L1482" t="str">
        <f>"453200 РЕСП БАШКОРТОСТАН Р-Н ИШИМБАЙСКИЙ Г ИШИМБАЙ   УЛ СТАХАНОВСКАЯ д. 27 корп. 1"</f>
        <v>453200 РЕСП БАШКОРТОСТАН Р-Н ИШИМБАЙСКИЙ Г ИШИМБАЙ   УЛ СТАХАНОВСКАЯ д. 27 корп. 1</v>
      </c>
      <c r="M1482" t="str">
        <f t="shared" si="250"/>
        <v>2019-08-24</v>
      </c>
      <c r="N1482" t="str">
        <f>"ООО АГРОТОРГ"</f>
        <v>ООО АГРОТОРГ</v>
      </c>
      <c r="O1482" t="str">
        <f>"453204"</f>
        <v>453204</v>
      </c>
      <c r="P1482" t="str">
        <f>"РЕСП БАШКОРТОСТАН"</f>
        <v>РЕСП БАШКОРТОСТАН</v>
      </c>
      <c r="Q1482" t="str">
        <f>"Р-Н ИШИМБАЙСКИЙ"</f>
        <v>Р-Н ИШИМБАЙСКИЙ</v>
      </c>
      <c r="R1482" t="str">
        <f>"Г ИШИМБАЙ"</f>
        <v>Г ИШИМБАЙ</v>
      </c>
      <c r="S1482" t="str">
        <f>""</f>
        <v/>
      </c>
      <c r="T1482" t="str">
        <f>"УЛ МАШИНОСТРОИТЕЛЕЙ"</f>
        <v>УЛ МАШИНОСТРОИТЕЛЕЙ</v>
      </c>
      <c r="U1482" s="1" t="str">
        <f>"140"</f>
        <v>140</v>
      </c>
      <c r="V1482" s="1" t="str">
        <f>""</f>
        <v/>
      </c>
      <c r="W1482" s="1" t="str">
        <f>""</f>
        <v/>
      </c>
      <c r="X1482" s="1" t="str">
        <f>""</f>
        <v/>
      </c>
      <c r="Y1482" s="1" t="str">
        <f>"56"</f>
        <v>56</v>
      </c>
      <c r="Z1482" t="str">
        <f>""</f>
        <v/>
      </c>
      <c r="AA1482" t="str">
        <f>"9279373315"</f>
        <v>9279373315</v>
      </c>
      <c r="AB1482" t="str">
        <f>"9870152975"</f>
        <v>9870152975</v>
      </c>
      <c r="AC1482" t="str">
        <f>"9870152975"</f>
        <v>9870152975</v>
      </c>
      <c r="AD1482" t="str">
        <f>"9870152975"</f>
        <v>9870152975</v>
      </c>
      <c r="AE1482" t="str">
        <f>""</f>
        <v/>
      </c>
    </row>
    <row r="1483" spans="1:31" x14ac:dyDescent="0.45">
      <c r="A1483" t="str">
        <f>"ПОНОМАРЕВА АЛЕНА МИХАЙЛОВНА"</f>
        <v>ПОНОМАРЕВА АЛЕНА МИХАЙЛОВНА</v>
      </c>
      <c r="B1483" t="str">
        <f>"1993-06-07"</f>
        <v>1993-06-07</v>
      </c>
      <c r="C1483" t="str">
        <f>"80 13 787647"</f>
        <v>80 13 787647</v>
      </c>
      <c r="D1483" t="str">
        <f>"4279011660645782"</f>
        <v>4279011660645782</v>
      </c>
      <c r="E1483" t="str">
        <f t="shared" si="248"/>
        <v>2021-05-31</v>
      </c>
      <c r="F1483" t="str">
        <f t="shared" si="249"/>
        <v>+</v>
      </c>
      <c r="G1483" t="str">
        <f t="shared" si="249"/>
        <v>+</v>
      </c>
      <c r="H1483" t="str">
        <f>"40817810916991391642"</f>
        <v>40817810916991391642</v>
      </c>
      <c r="I1483" t="str">
        <f>"8598"</f>
        <v>8598</v>
      </c>
      <c r="J1483" t="str">
        <f>"0227"</f>
        <v>0227</v>
      </c>
      <c r="K1483" t="str">
        <f>"50000.00"</f>
        <v>50000.00</v>
      </c>
      <c r="L1483" t="str">
        <f>"450000 РЕСП БАШКОРТОСТАН   Г УФА   УЛ ЛУГАНСКАЯ д. 3"</f>
        <v>450000 РЕСП БАШКОРТОСТАН   Г УФА   УЛ ЛУГАНСКАЯ д. 3</v>
      </c>
      <c r="M1483" t="str">
        <f t="shared" si="250"/>
        <v>2019-08-24</v>
      </c>
      <c r="N1483" t="str">
        <f>"НПЦ ГЕОСТРА"</f>
        <v>НПЦ ГЕОСТРА</v>
      </c>
      <c r="O1483" t="str">
        <f>"450000"</f>
        <v>450000</v>
      </c>
      <c r="P1483" t="str">
        <f>"РЕСП БАШКОРТОСТАН"</f>
        <v>РЕСП БАШКОРТОСТАН</v>
      </c>
      <c r="Q1483" t="str">
        <f>""</f>
        <v/>
      </c>
      <c r="R1483" t="str">
        <f>""</f>
        <v/>
      </c>
      <c r="S1483" t="str">
        <f>"С МИШКИНО"</f>
        <v>С МИШКИНО</v>
      </c>
      <c r="T1483" t="str">
        <f>"УЛ ЛЕНИНА"</f>
        <v>УЛ ЛЕНИНА</v>
      </c>
      <c r="U1483" s="1" t="str">
        <f>"97"</f>
        <v>97</v>
      </c>
      <c r="V1483" s="1" t="str">
        <f>""</f>
        <v/>
      </c>
      <c r="W1483" s="1" t="str">
        <f>""</f>
        <v/>
      </c>
      <c r="X1483" s="1" t="str">
        <f>""</f>
        <v/>
      </c>
      <c r="Y1483" s="1" t="str">
        <f>"8"</f>
        <v>8</v>
      </c>
      <c r="Z1483" t="str">
        <f>"9173864429"</f>
        <v>9173864429</v>
      </c>
      <c r="AA1483" t="str">
        <f>"9173864429"</f>
        <v>9173864429</v>
      </c>
      <c r="AB1483" t="str">
        <f>"9173864429"</f>
        <v>9173864429</v>
      </c>
      <c r="AC1483" t="str">
        <f>"9173864429"</f>
        <v>9173864429</v>
      </c>
      <c r="AD1483" t="str">
        <f>"9173864429"</f>
        <v>9173864429</v>
      </c>
      <c r="AE1483" t="str">
        <f>"9173864429"</f>
        <v>9173864429</v>
      </c>
    </row>
    <row r="1484" spans="1:31" x14ac:dyDescent="0.45">
      <c r="A1484" t="str">
        <f>"ОЛЕЙНИК СЕРГЕЙ ВАЛЕНТИНОВИЧ"</f>
        <v>ОЛЕЙНИК СЕРГЕЙ ВАЛЕНТИНОВИЧ</v>
      </c>
      <c r="B1484" t="str">
        <f>"1993-01-07"</f>
        <v>1993-01-07</v>
      </c>
      <c r="C1484" t="str">
        <f>"65 12 409135"</f>
        <v>65 12 409135</v>
      </c>
      <c r="D1484" t="str">
        <f>"4279011665924182"</f>
        <v>4279011665924182</v>
      </c>
      <c r="E1484" t="str">
        <f t="shared" si="248"/>
        <v>2021-05-31</v>
      </c>
      <c r="F1484" t="str">
        <f t="shared" si="249"/>
        <v>+</v>
      </c>
      <c r="G1484" t="str">
        <f t="shared" si="249"/>
        <v>+</v>
      </c>
      <c r="H1484" t="str">
        <f>"40817810416991391647"</f>
        <v>40817810416991391647</v>
      </c>
      <c r="I1484" t="str">
        <f>"7003"</f>
        <v>7003</v>
      </c>
      <c r="J1484" t="str">
        <f>"0751"</f>
        <v>0751</v>
      </c>
      <c r="K1484" t="str">
        <f>"360000.00"</f>
        <v>360000.00</v>
      </c>
      <c r="L1484" t="str">
        <f>"620000 ОБЛ СВЕРДЛОВСКАЯ   Г НИЖНИЙ ТАГИЛ   УЛ ЕРМАКА д. 38"</f>
        <v>620000 ОБЛ СВЕРДЛОВСКАЯ   Г НИЖНИЙ ТАГИЛ   УЛ ЕРМАКА д. 38</v>
      </c>
      <c r="M1484" t="str">
        <f t="shared" si="250"/>
        <v>2019-08-24</v>
      </c>
      <c r="N1484" t="str">
        <f>"АО ТАНДЕР"</f>
        <v>АО ТАНДЕР</v>
      </c>
      <c r="O1484" t="str">
        <f>"620000"</f>
        <v>620000</v>
      </c>
      <c r="P1484" t="str">
        <f>"ОБЛ СВЕРДЛОВСКАЯ"</f>
        <v>ОБЛ СВЕРДЛОВСКАЯ</v>
      </c>
      <c r="Q1484" t="str">
        <f>""</f>
        <v/>
      </c>
      <c r="R1484" t="str">
        <f>"Г НИЖНИЙ ТАГИЛ"</f>
        <v>Г НИЖНИЙ ТАГИЛ</v>
      </c>
      <c r="S1484" t="str">
        <f>""</f>
        <v/>
      </c>
      <c r="T1484" t="str">
        <f>"УЛ ГАЗЕТНАЯ"</f>
        <v>УЛ ГАЗЕТНАЯ</v>
      </c>
      <c r="U1484" s="1" t="str">
        <f>"70"</f>
        <v>70</v>
      </c>
      <c r="V1484" s="1" t="str">
        <f>""</f>
        <v/>
      </c>
      <c r="W1484" s="1" t="str">
        <f>""</f>
        <v/>
      </c>
      <c r="X1484" s="1" t="str">
        <f>""</f>
        <v/>
      </c>
      <c r="Y1484" s="1" t="str">
        <f>"17"</f>
        <v>17</v>
      </c>
      <c r="Z1484" t="str">
        <f>""</f>
        <v/>
      </c>
      <c r="AA1484" t="str">
        <f>"9506496109"</f>
        <v>9506496109</v>
      </c>
      <c r="AB1484" t="str">
        <f>"9506496109"</f>
        <v>9506496109</v>
      </c>
      <c r="AC1484" t="str">
        <f>"9506496109"</f>
        <v>9506496109</v>
      </c>
      <c r="AD1484" t="str">
        <f>"9506496109"</f>
        <v>9506496109</v>
      </c>
      <c r="AE1484" t="str">
        <f>""</f>
        <v/>
      </c>
    </row>
    <row r="1485" spans="1:31" x14ac:dyDescent="0.45">
      <c r="A1485" t="str">
        <f>"ГИЗЗАТУЛЛИНА АЛИЯ УЛЬФАТОВНА"</f>
        <v>ГИЗЗАТУЛЛИНА АЛИЯ УЛЬФАТОВНА</v>
      </c>
      <c r="B1485" t="str">
        <f>"1992-03-13"</f>
        <v>1992-03-13</v>
      </c>
      <c r="C1485" t="str">
        <f>"80 11 498900"</f>
        <v>80 11 498900</v>
      </c>
      <c r="D1485" t="str">
        <f>"4279011607044495"</f>
        <v>4279011607044495</v>
      </c>
      <c r="E1485" t="str">
        <f t="shared" si="248"/>
        <v>2021-05-31</v>
      </c>
      <c r="F1485" t="str">
        <f>"Y"</f>
        <v>Y</v>
      </c>
      <c r="G1485" t="str">
        <f>"Q"</f>
        <v>Q</v>
      </c>
      <c r="H1485" t="str">
        <f>"40817810816991391658"</f>
        <v>40817810816991391658</v>
      </c>
      <c r="I1485" t="str">
        <f>"8598"</f>
        <v>8598</v>
      </c>
      <c r="J1485" t="str">
        <f>"0139"</f>
        <v>0139</v>
      </c>
      <c r="K1485" t="str">
        <f>"0.00"</f>
        <v>0.00</v>
      </c>
      <c r="L1485" t="str">
        <f>"450000 РЕСП БАШКОРТОСТАН   Г УФА   УЛ КАРЛА МАРКСА д. 62/1"</f>
        <v>450000 РЕСП БАШКОРТОСТАН   Г УФА   УЛ КАРЛА МАРКСА д. 62/1</v>
      </c>
      <c r="M1485" t="str">
        <f t="shared" si="250"/>
        <v>2019-08-24</v>
      </c>
      <c r="N1485" t="str">
        <f>"РСЦ Г. УФЫ АО СМП БАНК"</f>
        <v>РСЦ Г. УФЫ АО СМП БАНК</v>
      </c>
      <c r="O1485" t="str">
        <f>"450000"</f>
        <v>450000</v>
      </c>
      <c r="P1485" t="str">
        <f>"РЕСП БАШКОРТОСТАН"</f>
        <v>РЕСП БАШКОРТОСТАН</v>
      </c>
      <c r="Q1485" t="str">
        <f>"Р-Н АБЗЕЛИЛОВСКИЙ"</f>
        <v>Р-Н АБЗЕЛИЛОВСКИЙ</v>
      </c>
      <c r="R1485" t="str">
        <f>""</f>
        <v/>
      </c>
      <c r="S1485" t="str">
        <f>"С КУСИМОВСКОГО РУДНИКА"</f>
        <v>С КУСИМОВСКОГО РУДНИКА</v>
      </c>
      <c r="T1485" t="str">
        <f>"УЛ ШКОЛЬНАЯ"</f>
        <v>УЛ ШКОЛЬНАЯ</v>
      </c>
      <c r="U1485" s="1" t="str">
        <f>"8"</f>
        <v>8</v>
      </c>
      <c r="V1485" s="1" t="str">
        <f>""</f>
        <v/>
      </c>
      <c r="W1485" s="1" t="str">
        <f>""</f>
        <v/>
      </c>
      <c r="X1485" s="1" t="str">
        <f>""</f>
        <v/>
      </c>
      <c r="Y1485" s="1" t="str">
        <f>""</f>
        <v/>
      </c>
      <c r="Z1485" t="str">
        <f>""</f>
        <v/>
      </c>
      <c r="AA1485" t="str">
        <f>"9656495682"</f>
        <v>9656495682</v>
      </c>
      <c r="AB1485" t="str">
        <f>"9656495682"</f>
        <v>9656495682</v>
      </c>
      <c r="AC1485" t="str">
        <f>"9656495682"</f>
        <v>9656495682</v>
      </c>
      <c r="AD1485" t="str">
        <f>"9656495682"</f>
        <v>9656495682</v>
      </c>
      <c r="AE1485" t="str">
        <f>""</f>
        <v/>
      </c>
    </row>
    <row r="1486" spans="1:31" x14ac:dyDescent="0.45">
      <c r="A1486" t="str">
        <f>"БОЛЬШАКОВ ПАВЕЛ СЕРГЕЕВИЧ"</f>
        <v>БОЛЬШАКОВ ПАВЕЛ СЕРГЕЕВИЧ</v>
      </c>
      <c r="B1486" t="str">
        <f>"1987-03-15"</f>
        <v>1987-03-15</v>
      </c>
      <c r="C1486" t="str">
        <f>"65 07 202296"</f>
        <v>65 07 202296</v>
      </c>
      <c r="D1486" t="str">
        <f>"4279011635387213"</f>
        <v>4279011635387213</v>
      </c>
      <c r="E1486" t="str">
        <f t="shared" si="248"/>
        <v>2021-05-31</v>
      </c>
      <c r="F1486" t="str">
        <f>"+"</f>
        <v>+</v>
      </c>
      <c r="G1486" t="str">
        <f>"W"</f>
        <v>W</v>
      </c>
      <c r="H1486" t="str">
        <f>"40817810916991391655"</f>
        <v>40817810916991391655</v>
      </c>
      <c r="I1486" t="str">
        <f>"7003"</f>
        <v>7003</v>
      </c>
      <c r="J1486" t="str">
        <f>"0408"</f>
        <v>0408</v>
      </c>
      <c r="K1486" t="str">
        <f>"70000.00"</f>
        <v>70000.00</v>
      </c>
      <c r="L1486" t="str">
        <f>"620000 ОБЛ СВЕРДЛОВСКАЯ   Г ВЕРХНЯЯ ПЫШМА   ПРОЕЗД ИНДУСТРИАЛЬНЫЙ д. 1 корп. 2"</f>
        <v>620000 ОБЛ СВЕРДЛОВСКАЯ   Г ВЕРХНЯЯ ПЫШМА   ПРОЕЗД ИНДУСТРИАЛЬНЫЙ д. 1 корп. 2</v>
      </c>
      <c r="M1486" t="str">
        <f t="shared" si="250"/>
        <v>2019-08-24</v>
      </c>
      <c r="N1486" t="str">
        <f>"КДВ ГРУПП"</f>
        <v>КДВ ГРУПП</v>
      </c>
      <c r="O1486" t="str">
        <f>"620000"</f>
        <v>620000</v>
      </c>
      <c r="P1486" t="str">
        <f>"ОБЛ СВЕРДЛОВСКАЯ"</f>
        <v>ОБЛ СВЕРДЛОВСКАЯ</v>
      </c>
      <c r="Q1486" t="str">
        <f>""</f>
        <v/>
      </c>
      <c r="R1486" t="str">
        <f>"Г ЕКАТЕРИНБУРГ"</f>
        <v>Г ЕКАТЕРИНБУРГ</v>
      </c>
      <c r="S1486" t="str">
        <f>""</f>
        <v/>
      </c>
      <c r="T1486" t="str">
        <f>"Б-Р КУЛЬТУРЫ"</f>
        <v>Б-Р КУЛЬТУРЫ</v>
      </c>
      <c r="U1486" s="1" t="str">
        <f>"24"</f>
        <v>24</v>
      </c>
      <c r="V1486" s="1" t="str">
        <f>""</f>
        <v/>
      </c>
      <c r="W1486" s="1" t="str">
        <f>""</f>
        <v/>
      </c>
      <c r="X1486" s="1" t="str">
        <f>""</f>
        <v/>
      </c>
      <c r="Y1486" s="1" t="str">
        <f>"44"</f>
        <v>44</v>
      </c>
      <c r="Z1486" t="str">
        <f>"3432641876"</f>
        <v>3432641876</v>
      </c>
      <c r="AA1486" t="str">
        <f>"9615738344"</f>
        <v>9615738344</v>
      </c>
      <c r="AB1486" t="str">
        <f>"9615738344"</f>
        <v>9615738344</v>
      </c>
      <c r="AC1486" t="str">
        <f>"9615738344"</f>
        <v>9615738344</v>
      </c>
      <c r="AD1486" t="str">
        <f>"9615738344"</f>
        <v>9615738344</v>
      </c>
      <c r="AE1486" t="str">
        <f>""</f>
        <v/>
      </c>
    </row>
    <row r="1487" spans="1:31" x14ac:dyDescent="0.45">
      <c r="A1487" t="str">
        <f>"ЮМАГУЛОВА ВЕНЕРА МАРАТОВНА"</f>
        <v>ЮМАГУЛОВА ВЕНЕРА МАРАТОВНА</v>
      </c>
      <c r="B1487" t="str">
        <f>"1971-06-17"</f>
        <v>1971-06-17</v>
      </c>
      <c r="C1487" t="str">
        <f>"80 16 399205"</f>
        <v>80 16 399205</v>
      </c>
      <c r="D1487" t="str">
        <f>"4279011650804019"</f>
        <v>4279011650804019</v>
      </c>
      <c r="E1487" t="str">
        <f t="shared" si="248"/>
        <v>2021-05-31</v>
      </c>
      <c r="F1487" t="str">
        <f>"Y"</f>
        <v>Y</v>
      </c>
      <c r="G1487" t="str">
        <f>"Q"</f>
        <v>Q</v>
      </c>
      <c r="H1487" t="str">
        <f>"40817810216991391672"</f>
        <v>40817810216991391672</v>
      </c>
      <c r="I1487" t="str">
        <f>"8598"</f>
        <v>8598</v>
      </c>
      <c r="J1487" t="str">
        <f>"0196"</f>
        <v>0196</v>
      </c>
      <c r="K1487" t="str">
        <f>"0.00"</f>
        <v>0.00</v>
      </c>
      <c r="L1487" t="str">
        <f>"450000 РЕСП БАШКОРТОСТАН   Г УФА   УЛ ЧЕРНЫШЕВСКОГО д. 145"</f>
        <v>450000 РЕСП БАШКОРТОСТАН   Г УФА   УЛ ЧЕРНЫШЕВСКОГО д. 145</v>
      </c>
      <c r="M1487" t="str">
        <f t="shared" si="250"/>
        <v>2019-08-24</v>
      </c>
      <c r="N1487" t="str">
        <f>"ФГБОУ ВО УГНТУ"</f>
        <v>ФГБОУ ВО УГНТУ</v>
      </c>
      <c r="O1487" t="str">
        <f>"450000"</f>
        <v>450000</v>
      </c>
      <c r="P1487" t="str">
        <f>"РЕСП БАШКОРТОСТАН"</f>
        <v>РЕСП БАШКОРТОСТАН</v>
      </c>
      <c r="Q1487" t="str">
        <f>"Р-Н УФИМСКИЙ"</f>
        <v>Р-Н УФИМСКИЙ</v>
      </c>
      <c r="R1487" t="str">
        <f>""</f>
        <v/>
      </c>
      <c r="S1487" t="str">
        <f>"С НИЖЕГОРОДКА"</f>
        <v>С НИЖЕГОРОДКА</v>
      </c>
      <c r="T1487" t="str">
        <f>"УЛ ЧАПАЕВА"</f>
        <v>УЛ ЧАПАЕВА</v>
      </c>
      <c r="U1487" s="1" t="str">
        <f>"29"</f>
        <v>29</v>
      </c>
      <c r="V1487" s="1" t="str">
        <f>""</f>
        <v/>
      </c>
      <c r="W1487" s="1" t="str">
        <f>"1"</f>
        <v>1</v>
      </c>
      <c r="X1487" s="1" t="str">
        <f>""</f>
        <v/>
      </c>
      <c r="Y1487" s="1" t="str">
        <f>"28"</f>
        <v>28</v>
      </c>
      <c r="Z1487" t="str">
        <f>"3472420370"</f>
        <v>3472420370</v>
      </c>
      <c r="AA1487" t="str">
        <f>"9174301893"</f>
        <v>9174301893</v>
      </c>
      <c r="AB1487" t="str">
        <f>"9174301893"</f>
        <v>9174301893</v>
      </c>
      <c r="AC1487" t="str">
        <f>"9174301893"</f>
        <v>9174301893</v>
      </c>
      <c r="AD1487" t="str">
        <f>"9174301893"</f>
        <v>9174301893</v>
      </c>
      <c r="AE1487" t="str">
        <f>""</f>
        <v/>
      </c>
    </row>
    <row r="1488" spans="1:31" x14ac:dyDescent="0.45">
      <c r="A1488" t="str">
        <f>"ЖАРОВ АНДРЕЙ АНДРЕЕВИЧ"</f>
        <v>ЖАРОВ АНДРЕЙ АНДРЕЕВИЧ</v>
      </c>
      <c r="B1488" t="str">
        <f>"1980-11-26"</f>
        <v>1980-11-26</v>
      </c>
      <c r="C1488" t="str">
        <f>"65 07 331133"</f>
        <v>65 07 331133</v>
      </c>
      <c r="D1488" t="str">
        <f>"4279011655785775"</f>
        <v>4279011655785775</v>
      </c>
      <c r="E1488" t="str">
        <f t="shared" si="248"/>
        <v>2021-05-31</v>
      </c>
      <c r="F1488" t="str">
        <f t="shared" ref="F1488:G1490" si="251">"+"</f>
        <v>+</v>
      </c>
      <c r="G1488" t="str">
        <f t="shared" si="251"/>
        <v>+</v>
      </c>
      <c r="H1488" t="str">
        <f>"40817810716991391635"</f>
        <v>40817810716991391635</v>
      </c>
      <c r="I1488" t="str">
        <f>"7003"</f>
        <v>7003</v>
      </c>
      <c r="J1488" t="str">
        <f>"0574"</f>
        <v>0574</v>
      </c>
      <c r="K1488" t="str">
        <f>"37000.00"</f>
        <v>37000.00</v>
      </c>
      <c r="L1488" t="str">
        <f>"620000 ОБЛ СВЕРДЛОВСКАЯ   Г КАМЕНСК-УРАЛЬСКИЙ   УЛ ЧЕЛЯБИНСКАЯ д. 10 кв. 66"</f>
        <v>620000 ОБЛ СВЕРДЛОВСКАЯ   Г КАМЕНСК-УРАЛЬСКИЙ   УЛ ЧЕЛЯБИНСКАЯ д. 10 кв. 66</v>
      </c>
      <c r="M1488" t="str">
        <f t="shared" si="250"/>
        <v>2019-08-24</v>
      </c>
      <c r="N1488" t="str">
        <f>"ИП ЖАРОВ А.А."</f>
        <v>ИП ЖАРОВ А.А.</v>
      </c>
      <c r="O1488" t="str">
        <f>"620000"</f>
        <v>620000</v>
      </c>
      <c r="P1488" t="str">
        <f>"ОБЛ СВЕРДЛОВСКАЯ"</f>
        <v>ОБЛ СВЕРДЛОВСКАЯ</v>
      </c>
      <c r="Q1488" t="str">
        <f>"Р-Н КАМЕНСКИЙ"</f>
        <v>Р-Н КАМЕНСКИЙ</v>
      </c>
      <c r="R1488" t="str">
        <f>""</f>
        <v/>
      </c>
      <c r="S1488" t="str">
        <f>"С ЩЕРБАКОВА"</f>
        <v>С ЩЕРБАКОВА</v>
      </c>
      <c r="T1488" t="str">
        <f>"УЛ ПАРИЖСКОЙ КОММУНЫ"</f>
        <v>УЛ ПАРИЖСКОЙ КОММУНЫ</v>
      </c>
      <c r="U1488" s="1" t="str">
        <f>"30"</f>
        <v>30</v>
      </c>
      <c r="V1488" s="1" t="str">
        <f>""</f>
        <v/>
      </c>
      <c r="W1488" s="1" t="str">
        <f>""</f>
        <v/>
      </c>
      <c r="X1488" s="1" t="str">
        <f>""</f>
        <v/>
      </c>
      <c r="Y1488" s="1" t="str">
        <f>""</f>
        <v/>
      </c>
      <c r="Z1488" t="str">
        <f>"9506470607"</f>
        <v>9506470607</v>
      </c>
      <c r="AA1488" t="str">
        <f>"9001982821"</f>
        <v>9001982821</v>
      </c>
      <c r="AB1488" t="str">
        <f>"9001982821"</f>
        <v>9001982821</v>
      </c>
      <c r="AC1488" t="str">
        <f>"9001982821"</f>
        <v>9001982821</v>
      </c>
      <c r="AD1488" t="str">
        <f>"9001982821"</f>
        <v>9001982821</v>
      </c>
      <c r="AE1488" t="str">
        <f>"9506470607"</f>
        <v>9506470607</v>
      </c>
    </row>
    <row r="1489" spans="1:31" x14ac:dyDescent="0.45">
      <c r="A1489" t="str">
        <f>"НЕМИРОВА НАТАЛЬЯ СЕРГЕЕВНА"</f>
        <v>НЕМИРОВА НАТАЛЬЯ СЕРГЕЕВНА</v>
      </c>
      <c r="B1489" t="str">
        <f>"1985-09-09"</f>
        <v>1985-09-09</v>
      </c>
      <c r="C1489" t="str">
        <f>"37 05 108730"</f>
        <v>37 05 108730</v>
      </c>
      <c r="D1489" t="str">
        <f>"4279011673483304"</f>
        <v>4279011673483304</v>
      </c>
      <c r="E1489" t="str">
        <f>"2021-06-30"</f>
        <v>2021-06-30</v>
      </c>
      <c r="F1489" t="str">
        <f t="shared" si="251"/>
        <v>+</v>
      </c>
      <c r="G1489" t="str">
        <f t="shared" si="251"/>
        <v>+</v>
      </c>
      <c r="H1489" t="str">
        <f>"40817810516991463213"</f>
        <v>40817810516991463213</v>
      </c>
      <c r="I1489" t="str">
        <f>"8599"</f>
        <v>8599</v>
      </c>
      <c r="J1489" t="str">
        <f>"7770"</f>
        <v>7770</v>
      </c>
      <c r="K1489" t="str">
        <f>"22000.00"</f>
        <v>22000.00</v>
      </c>
      <c r="L1489" t="str">
        <f>"641230 ОБЛ КУРГАНСКАЯ Р-Н ВАРГАШИНСКИЙ   НП ВАРГАШИ УЛ ЛЕНИНА д. 14"</f>
        <v>641230 ОБЛ КУРГАНСКАЯ Р-Н ВАРГАШИНСКИЙ   НП ВАРГАШИ УЛ ЛЕНИНА д. 14</v>
      </c>
      <c r="M1489" t="str">
        <f t="shared" si="250"/>
        <v>2019-08-24</v>
      </c>
      <c r="N1489" t="str">
        <f>"ВАРГАШИНСКАЯ ЦРБ"</f>
        <v>ВАРГАШИНСКАЯ ЦРБ</v>
      </c>
      <c r="O1489" t="str">
        <f>"641000"</f>
        <v>641000</v>
      </c>
      <c r="P1489" t="str">
        <f>"ОБЛ КУРГАНСКАЯ"</f>
        <v>ОБЛ КУРГАНСКАЯ</v>
      </c>
      <c r="Q1489" t="str">
        <f>"Р-Н ВАРГАШИНСКИЙ"</f>
        <v>Р-Н ВАРГАШИНСКИЙ</v>
      </c>
      <c r="R1489" t="str">
        <f>""</f>
        <v/>
      </c>
      <c r="S1489" t="str">
        <f>"РП ВАРГАШИ"</f>
        <v>РП ВАРГАШИ</v>
      </c>
      <c r="T1489" t="str">
        <f>"УЛ ЭНЕРГЕТИКОВ"</f>
        <v>УЛ ЭНЕРГЕТИКОВ</v>
      </c>
      <c r="U1489" s="1" t="str">
        <f>"1"</f>
        <v>1</v>
      </c>
      <c r="V1489" s="1" t="str">
        <f>""</f>
        <v/>
      </c>
      <c r="W1489" s="1" t="str">
        <f>""</f>
        <v/>
      </c>
      <c r="X1489" s="1" t="str">
        <f>""</f>
        <v/>
      </c>
      <c r="Y1489" s="1" t="str">
        <f>"3"</f>
        <v>3</v>
      </c>
      <c r="Z1489" t="str">
        <f>"3523321967"</f>
        <v>3523321967</v>
      </c>
      <c r="AA1489" t="str">
        <f>"3523320048"</f>
        <v>3523320048</v>
      </c>
      <c r="AB1489" t="str">
        <f>"9091734887"</f>
        <v>9091734887</v>
      </c>
      <c r="AC1489" t="str">
        <f>"9658661976"</f>
        <v>9658661976</v>
      </c>
      <c r="AD1489" t="str">
        <f>"9658661976"</f>
        <v>9658661976</v>
      </c>
      <c r="AE1489" t="str">
        <f>"3523321967"</f>
        <v>3523321967</v>
      </c>
    </row>
    <row r="1490" spans="1:31" x14ac:dyDescent="0.45">
      <c r="A1490" t="str">
        <f>"ГОЛЫГИНА НАДЕЖДА ВЛАДИМИРОВНА"</f>
        <v>ГОЛЫГИНА НАДЕЖДА ВЛАДИМИРОВНА</v>
      </c>
      <c r="B1490" t="str">
        <f>"1979-12-05"</f>
        <v>1979-12-05</v>
      </c>
      <c r="C1490" t="str">
        <f>"37 10 387677"</f>
        <v>37 10 387677</v>
      </c>
      <c r="D1490" t="str">
        <f>"4279011638994593"</f>
        <v>4279011638994593</v>
      </c>
      <c r="E1490" t="str">
        <f>"2021-06-30"</f>
        <v>2021-06-30</v>
      </c>
      <c r="F1490" t="str">
        <f t="shared" si="251"/>
        <v>+</v>
      </c>
      <c r="G1490" t="str">
        <f t="shared" si="251"/>
        <v>+</v>
      </c>
      <c r="H1490" t="str">
        <f>"40817810116991463215"</f>
        <v>40817810116991463215</v>
      </c>
      <c r="I1490" t="str">
        <f>"8599"</f>
        <v>8599</v>
      </c>
      <c r="J1490" t="str">
        <f>"7770"</f>
        <v>7770</v>
      </c>
      <c r="K1490" t="str">
        <f>"41000.00"</f>
        <v>41000.00</v>
      </c>
      <c r="L1490" t="str">
        <f>"641000 ОБЛ КУРГАНСКАЯ     РП ВАРГАШИ УЛ ЧКАЛОВА д. 22"</f>
        <v>641000 ОБЛ КУРГАНСКАЯ     РП ВАРГАШИ УЛ ЧКАЛОВА д. 22</v>
      </c>
      <c r="M1490" t="str">
        <f t="shared" si="250"/>
        <v>2019-08-24</v>
      </c>
      <c r="N1490" t="str">
        <f>"МКУ ЦЕНТРАЛЬНАЯ БИБЛИОТЕКА ВАРГАШИНСКОГО РАЙОНА"</f>
        <v>МКУ ЦЕНТРАЛЬНАЯ БИБЛИОТЕКА ВАРГАШИНСКОГО РАЙОНА</v>
      </c>
      <c r="O1490" t="str">
        <f>"641000"</f>
        <v>641000</v>
      </c>
      <c r="P1490" t="str">
        <f>"ОБЛ КУРГАНСКАЯ"</f>
        <v>ОБЛ КУРГАНСКАЯ</v>
      </c>
      <c r="Q1490" t="str">
        <f>"Р-Н ВАРГАШИ"</f>
        <v>Р-Н ВАРГАШИ</v>
      </c>
      <c r="R1490" t="str">
        <f>""</f>
        <v/>
      </c>
      <c r="S1490" t="str">
        <f>"С ЛИХАЧИ"</f>
        <v>С ЛИХАЧИ</v>
      </c>
      <c r="T1490" t="str">
        <f>"УЛ С. ВДОВИНА"</f>
        <v>УЛ С. ВДОВИНА</v>
      </c>
      <c r="U1490" s="1" t="str">
        <f>"13"</f>
        <v>13</v>
      </c>
      <c r="V1490" s="1" t="str">
        <f>""</f>
        <v/>
      </c>
      <c r="W1490" s="1" t="str">
        <f>""</f>
        <v/>
      </c>
      <c r="X1490" s="1" t="str">
        <f>""</f>
        <v/>
      </c>
      <c r="Y1490" s="1" t="str">
        <f>"1"</f>
        <v>1</v>
      </c>
      <c r="Z1490" t="str">
        <f>"+7 (35233) 26495"</f>
        <v>+7 (35233) 26495</v>
      </c>
      <c r="AA1490" t="str">
        <f>"+7 (900) 3797295"</f>
        <v>+7 (900) 3797295</v>
      </c>
      <c r="AB1490" t="str">
        <f>"9003797295"</f>
        <v>9003797295</v>
      </c>
      <c r="AC1490" t="str">
        <f>"9003797295"</f>
        <v>9003797295</v>
      </c>
      <c r="AD1490" t="str">
        <f>"9003797295"</f>
        <v>9003797295</v>
      </c>
      <c r="AE1490" t="str">
        <f>"3523322010"</f>
        <v>3523322010</v>
      </c>
    </row>
    <row r="1491" spans="1:31" x14ac:dyDescent="0.45">
      <c r="A1491" t="str">
        <f>"НИСКОВСКАЯ ЛЮБОВЬ ИВАНОВНА"</f>
        <v>НИСКОВСКАЯ ЛЮБОВЬ ИВАНОВНА</v>
      </c>
      <c r="B1491" t="str">
        <f>"1957-06-29"</f>
        <v>1957-06-29</v>
      </c>
      <c r="C1491" t="str">
        <f>"37 02 447441"</f>
        <v>37 02 447441</v>
      </c>
      <c r="D1491" t="str">
        <f>"4279011679328388"</f>
        <v>4279011679328388</v>
      </c>
      <c r="E1491" t="str">
        <f>"2021-06-30"</f>
        <v>2021-06-30</v>
      </c>
      <c r="F1491" t="str">
        <f>"Y"</f>
        <v>Y</v>
      </c>
      <c r="G1491" t="str">
        <f>"Q"</f>
        <v>Q</v>
      </c>
      <c r="H1491" t="str">
        <f>"40817810816991463214"</f>
        <v>40817810816991463214</v>
      </c>
      <c r="I1491" t="str">
        <f>"8599"</f>
        <v>8599</v>
      </c>
      <c r="J1491" t="str">
        <f>"7770"</f>
        <v>7770</v>
      </c>
      <c r="K1491" t="str">
        <f>"0.00"</f>
        <v>0.00</v>
      </c>
      <c r="L1491" t="str">
        <f>"641000 ОБЛ КУРГАНСКАЯ     П ВАРГАШИ УЛ ЛЕНИНА д. 14"</f>
        <v>641000 ОБЛ КУРГАНСКАЯ     П ВАРГАШИ УЛ ЛЕНИНА д. 14</v>
      </c>
      <c r="M1491" t="str">
        <f t="shared" si="250"/>
        <v>2019-08-24</v>
      </c>
      <c r="N1491" t="str">
        <f>"ВАРГАШИНСКАЯ ЦРБ"</f>
        <v>ВАРГАШИНСКАЯ ЦРБ</v>
      </c>
      <c r="O1491" t="str">
        <f>"641000"</f>
        <v>641000</v>
      </c>
      <c r="P1491" t="str">
        <f>"ОБЛ КУРГАНСКАЯ"</f>
        <v>ОБЛ КУРГАНСКАЯ</v>
      </c>
      <c r="Q1491" t="str">
        <f>""</f>
        <v/>
      </c>
      <c r="R1491" t="str">
        <f>""</f>
        <v/>
      </c>
      <c r="S1491" t="str">
        <f>"П ВАРГАШИ"</f>
        <v>П ВАРГАШИ</v>
      </c>
      <c r="T1491" t="str">
        <f>"УЛ НЕСТЕРОВА"</f>
        <v>УЛ НЕСТЕРОВА</v>
      </c>
      <c r="U1491" s="1" t="str">
        <f>"20А"</f>
        <v>20А</v>
      </c>
      <c r="V1491" s="1" t="str">
        <f>""</f>
        <v/>
      </c>
      <c r="W1491" s="1" t="str">
        <f>""</f>
        <v/>
      </c>
      <c r="X1491" s="1" t="str">
        <f>""</f>
        <v/>
      </c>
      <c r="Y1491" s="1" t="str">
        <f>"1"</f>
        <v>1</v>
      </c>
      <c r="Z1491" t="str">
        <f>"3523321601"</f>
        <v>3523321601</v>
      </c>
      <c r="AA1491" t="str">
        <f>"9512640332"</f>
        <v>9512640332</v>
      </c>
      <c r="AB1491" t="str">
        <f>"9512640332"</f>
        <v>9512640332</v>
      </c>
      <c r="AC1491" t="str">
        <f>"9512640332"</f>
        <v>9512640332</v>
      </c>
      <c r="AD1491" t="str">
        <f>"9512640332"</f>
        <v>9512640332</v>
      </c>
      <c r="AE1491" t="str">
        <f>"3523321601"</f>
        <v>3523321601</v>
      </c>
    </row>
    <row r="1492" spans="1:31" x14ac:dyDescent="0.45">
      <c r="A1492" t="str">
        <f>"ЖУКОВА ЛЮДМИЛА БОРИСОВНА"</f>
        <v>ЖУКОВА ЛЮДМИЛА БОРИСОВНА</v>
      </c>
      <c r="B1492" t="str">
        <f>"1983-05-25"</f>
        <v>1983-05-25</v>
      </c>
      <c r="C1492" t="str">
        <f>"75 05 826771"</f>
        <v>75 05 826771</v>
      </c>
      <c r="D1492" t="str">
        <f>"4854630384120369"</f>
        <v>4854630384120369</v>
      </c>
      <c r="E1492" t="str">
        <f>"2021-04-30"</f>
        <v>2021-04-30</v>
      </c>
      <c r="F1492" t="str">
        <f>"+"</f>
        <v>+</v>
      </c>
      <c r="G1492" t="str">
        <f>"+"</f>
        <v>+</v>
      </c>
      <c r="H1492" t="str">
        <f>"40817810616991463249"</f>
        <v>40817810616991463249</v>
      </c>
      <c r="I1492" t="str">
        <f>"8597"</f>
        <v>8597</v>
      </c>
      <c r="J1492" t="str">
        <f>"0305"</f>
        <v>0305</v>
      </c>
      <c r="K1492" t="str">
        <f>"40000.00"</f>
        <v>40000.00</v>
      </c>
      <c r="L1492" t="str">
        <f>"456658 ОБЛ ЧЕЛЯБИНСКАЯ   Г КОПЕЙСК   ТЕР ПТИЦЕФАБРИКА ЧЕЛЯБИНСКАЯ"</f>
        <v>456658 ОБЛ ЧЕЛЯБИНСКАЯ   Г КОПЕЙСК   ТЕР ПТИЦЕФАБРИКА ЧЕЛЯБИНСКАЯ</v>
      </c>
      <c r="M1492" t="str">
        <f t="shared" si="250"/>
        <v>2019-08-24</v>
      </c>
      <c r="N1492" t="str">
        <f>"ПАО ЧЕЛЯБИНСКАЯ ПТИЦЕФАБРИКА"</f>
        <v>ПАО ЧЕЛЯБИНСКАЯ ПТИЦЕФАБРИКА</v>
      </c>
      <c r="O1492" t="str">
        <f>"454000"</f>
        <v>454000</v>
      </c>
      <c r="P1492" t="str">
        <f>"ОБЛ ЧЕЛЯБИНСКАЯ"</f>
        <v>ОБЛ ЧЕЛЯБИНСКАЯ</v>
      </c>
      <c r="Q1492" t="str">
        <f>""</f>
        <v/>
      </c>
      <c r="R1492" t="str">
        <f>"Г КОПЕЙСК"</f>
        <v>Г КОПЕЙСК</v>
      </c>
      <c r="S1492" t="str">
        <f>"П ОКТЯБРЬСКИЙ"</f>
        <v>П ОКТЯБРЬСКИЙ</v>
      </c>
      <c r="T1492" t="str">
        <f>"УЛ 26 ПАРТСЪЕЗДА"</f>
        <v>УЛ 26 ПАРТСЪЕЗДА</v>
      </c>
      <c r="U1492" s="1" t="str">
        <f>"3"</f>
        <v>3</v>
      </c>
      <c r="V1492" s="1" t="str">
        <f>""</f>
        <v/>
      </c>
      <c r="W1492" s="1" t="str">
        <f>""</f>
        <v/>
      </c>
      <c r="X1492" s="1" t="str">
        <f>""</f>
        <v/>
      </c>
      <c r="Y1492" s="1" t="str">
        <f>"57"</f>
        <v>57</v>
      </c>
      <c r="Z1492" t="str">
        <f>"3512559404"</f>
        <v>3512559404</v>
      </c>
      <c r="AA1492" t="str">
        <f>"9507396707"</f>
        <v>9507396707</v>
      </c>
      <c r="AB1492" t="str">
        <f>"9507396707"</f>
        <v>9507396707</v>
      </c>
      <c r="AC1492" t="str">
        <f>"9507396707"</f>
        <v>9507396707</v>
      </c>
      <c r="AD1492" t="str">
        <f>"9507396707"</f>
        <v>9507396707</v>
      </c>
      <c r="AE1492" t="str">
        <f>"9507396707"</f>
        <v>9507396707</v>
      </c>
    </row>
    <row r="1493" spans="1:31" x14ac:dyDescent="0.45">
      <c r="A1493" t="str">
        <f>"КУЗЬМИНА ВАЛЕНТИНА АНАТОЛЬЕВНА"</f>
        <v>КУЗЬМИНА ВАЛЕНТИНА АНАТОЛЬЕВНА</v>
      </c>
      <c r="B1493" t="str">
        <f>"1956-09-20"</f>
        <v>1956-09-20</v>
      </c>
      <c r="C1493" t="str">
        <f>"80 03 620184"</f>
        <v>80 03 620184</v>
      </c>
      <c r="D1493" t="str">
        <f>"5313100269113014"</f>
        <v>5313100269113014</v>
      </c>
      <c r="E1493" t="str">
        <f>"2020-11-30"</f>
        <v>2020-11-30</v>
      </c>
      <c r="F1493" t="str">
        <f>"Q"</f>
        <v>Q</v>
      </c>
      <c r="G1493" t="str">
        <f>"Q"</f>
        <v>Q</v>
      </c>
      <c r="H1493" t="str">
        <f>"40817810016991463250"</f>
        <v>40817810016991463250</v>
      </c>
      <c r="I1493" t="str">
        <f>"8598"</f>
        <v>8598</v>
      </c>
      <c r="J1493" t="str">
        <f>"0176"</f>
        <v>0176</v>
      </c>
      <c r="K1493" t="str">
        <f>"0.00"</f>
        <v>0.00</v>
      </c>
      <c r="L1493" t="str">
        <f>"450000 РЕСП БАШКОРТОСТАН   Г УФА   УЛ МЕТАЛЛИСТОВ д. 100"</f>
        <v>450000 РЕСП БАШКОРТОСТАН   Г УФА   УЛ МЕТАЛЛИСТОВ д. 100</v>
      </c>
      <c r="M1493" t="str">
        <f t="shared" si="250"/>
        <v>2019-08-24</v>
      </c>
      <c r="N1493" t="str">
        <f>"ПЕНСИОНЕР"</f>
        <v>ПЕНСИОНЕР</v>
      </c>
      <c r="O1493" t="str">
        <f>"450000"</f>
        <v>450000</v>
      </c>
      <c r="P1493" t="str">
        <f>"РЕСП БАШКОРТОСТАН"</f>
        <v>РЕСП БАШКОРТОСТАН</v>
      </c>
      <c r="Q1493" t="str">
        <f>""</f>
        <v/>
      </c>
      <c r="R1493" t="str">
        <f>"Г УФА"</f>
        <v>Г УФА</v>
      </c>
      <c r="S1493" t="str">
        <f>""</f>
        <v/>
      </c>
      <c r="T1493" t="str">
        <f>"УЛ МЕТАЛЛИСТОВ"</f>
        <v>УЛ МЕТАЛЛИСТОВ</v>
      </c>
      <c r="U1493" s="1" t="str">
        <f>"100"</f>
        <v>100</v>
      </c>
      <c r="V1493" s="1" t="str">
        <f>""</f>
        <v/>
      </c>
      <c r="W1493" s="1" t="str">
        <f>""</f>
        <v/>
      </c>
      <c r="X1493" s="1" t="str">
        <f>""</f>
        <v/>
      </c>
      <c r="Y1493" s="1" t="str">
        <f>""</f>
        <v/>
      </c>
      <c r="Z1493" t="str">
        <f>""</f>
        <v/>
      </c>
      <c r="AA1493" t="str">
        <f>"9063734919"</f>
        <v>9063734919</v>
      </c>
      <c r="AB1493" t="str">
        <f>"9063734919"</f>
        <v>9063734919</v>
      </c>
      <c r="AC1493" t="str">
        <f>"9063734919"</f>
        <v>9063734919</v>
      </c>
      <c r="AD1493" t="str">
        <f>"9063734919"</f>
        <v>9063734919</v>
      </c>
      <c r="AE1493" t="str">
        <f>""</f>
        <v/>
      </c>
    </row>
    <row r="1494" spans="1:31" x14ac:dyDescent="0.45">
      <c r="A1494" t="str">
        <f>"АБДУЛОВА РЕЗИДА ГАЛИЕВНА"</f>
        <v>АБДУЛОВА РЕЗИДА ГАЛИЕВНА</v>
      </c>
      <c r="B1494" t="str">
        <f>"1970-01-28"</f>
        <v>1970-01-28</v>
      </c>
      <c r="C1494" t="str">
        <f>"67 14 440047"</f>
        <v>67 14 440047</v>
      </c>
      <c r="D1494" t="str">
        <f>"4279016716147261"</f>
        <v>4279016716147261</v>
      </c>
      <c r="E1494" t="str">
        <f t="shared" ref="E1494:E1504" si="252">"2021-05-31"</f>
        <v>2021-05-31</v>
      </c>
      <c r="F1494" t="str">
        <f t="shared" ref="F1494:G1496" si="253">"+"</f>
        <v>+</v>
      </c>
      <c r="G1494" t="str">
        <f t="shared" si="253"/>
        <v>+</v>
      </c>
      <c r="H1494" t="str">
        <f>"40817810916992654948"</f>
        <v>40817810916992654948</v>
      </c>
      <c r="I1494" t="str">
        <f>"5940"</f>
        <v>5940</v>
      </c>
      <c r="J1494" t="str">
        <f>"0069"</f>
        <v>0069</v>
      </c>
      <c r="K1494" t="str">
        <f>"100000.00"</f>
        <v>100000.00</v>
      </c>
      <c r="L1494" t="str">
        <f>"628400 ОБЛ ТЮМЕНСКАЯ   Г СУРГУТ   УЛ 60 ЛЕТ ОКТЯБРЯ д. 8А"</f>
        <v>628400 ОБЛ ТЮМЕНСКАЯ   Г СУРГУТ   УЛ 60 ЛЕТ ОКТЯБРЯ д. 8А</v>
      </c>
      <c r="M1494" t="str">
        <f t="shared" si="250"/>
        <v>2019-08-24</v>
      </c>
      <c r="N1494" t="str">
        <f>"УЭЗИС СУРГУТНЕФТЕГАЗ"</f>
        <v>УЭЗИС СУРГУТНЕФТЕГАЗ</v>
      </c>
      <c r="O1494" t="str">
        <f>"628400"</f>
        <v>628400</v>
      </c>
      <c r="P1494" t="str">
        <f t="shared" ref="P1494:P1504" si="254">"ОБЛ ТЮМЕНСКАЯ"</f>
        <v>ОБЛ ТЮМЕНСКАЯ</v>
      </c>
      <c r="Q1494" t="str">
        <f>""</f>
        <v/>
      </c>
      <c r="R1494" t="str">
        <f>"Г СУРГУТ"</f>
        <v>Г СУРГУТ</v>
      </c>
      <c r="S1494" t="str">
        <f>""</f>
        <v/>
      </c>
      <c r="T1494" t="str">
        <f>"УЛ ЭНТУЗИАСТОВ"</f>
        <v>УЛ ЭНТУЗИАСТОВ</v>
      </c>
      <c r="U1494" s="1" t="str">
        <f>"51"</f>
        <v>51</v>
      </c>
      <c r="V1494" s="1" t="str">
        <f>""</f>
        <v/>
      </c>
      <c r="W1494" s="1" t="str">
        <f>""</f>
        <v/>
      </c>
      <c r="X1494" s="1" t="str">
        <f>""</f>
        <v/>
      </c>
      <c r="Y1494" s="1" t="str">
        <f>"54"</f>
        <v>54</v>
      </c>
      <c r="Z1494" t="str">
        <f>"3462423575"</f>
        <v>3462423575</v>
      </c>
      <c r="AA1494" t="str">
        <f>"3462353449"</f>
        <v>3462353449</v>
      </c>
      <c r="AB1494" t="str">
        <f>"9128154034"</f>
        <v>9128154034</v>
      </c>
      <c r="AC1494" t="str">
        <f>"3462353449"</f>
        <v>3462353449</v>
      </c>
      <c r="AD1494" t="str">
        <f>"9128154034"</f>
        <v>9128154034</v>
      </c>
      <c r="AE1494" t="str">
        <f>"3462423575"</f>
        <v>3462423575</v>
      </c>
    </row>
    <row r="1495" spans="1:31" x14ac:dyDescent="0.45">
      <c r="A1495" t="str">
        <f>"ШКУРАТОВА ИРИНА ПЕТРОВНА"</f>
        <v>ШКУРАТОВА ИРИНА ПЕТРОВНА</v>
      </c>
      <c r="B1495" t="str">
        <f>"1975-10-18"</f>
        <v>1975-10-18</v>
      </c>
      <c r="C1495" t="str">
        <f>"71 01 303981"</f>
        <v>71 01 303981</v>
      </c>
      <c r="D1495" t="str">
        <f>"5484016707252599"</f>
        <v>5484016707252599</v>
      </c>
      <c r="E1495" t="str">
        <f t="shared" si="252"/>
        <v>2021-05-31</v>
      </c>
      <c r="F1495" t="str">
        <f t="shared" si="253"/>
        <v>+</v>
      </c>
      <c r="G1495" t="str">
        <f t="shared" si="253"/>
        <v>+</v>
      </c>
      <c r="H1495" t="str">
        <f>"40817810416992655081"</f>
        <v>40817810416992655081</v>
      </c>
      <c r="I1495" t="str">
        <f>"8647"</f>
        <v>8647</v>
      </c>
      <c r="J1495" t="str">
        <f>"7770"</f>
        <v>7770</v>
      </c>
      <c r="K1495" t="str">
        <f>"90000.00"</f>
        <v>90000.00</v>
      </c>
      <c r="L1495" t="str">
        <f>"625053 ОБЛ ТЮМЕНСКАЯ   Г ТЮМЕНЬ   УЛ ТАЛЛИНСКАЯ д. 2 корп. 1"</f>
        <v>625053 ОБЛ ТЮМЕНСКАЯ   Г ТЮМЕНЬ   УЛ ТАЛЛИНСКАЯ д. 2 корп. 1</v>
      </c>
      <c r="M1495" t="str">
        <f t="shared" si="250"/>
        <v>2019-08-24</v>
      </c>
      <c r="N1495" t="str">
        <f>"МАДОУ Д/С 25"</f>
        <v>МАДОУ Д/С 25</v>
      </c>
      <c r="O1495" t="str">
        <f>"625046"</f>
        <v>625046</v>
      </c>
      <c r="P1495" t="str">
        <f t="shared" si="254"/>
        <v>ОБЛ ТЮМЕНСКАЯ</v>
      </c>
      <c r="Q1495" t="str">
        <f>""</f>
        <v/>
      </c>
      <c r="R1495" t="str">
        <f>"Г ТЮМЕНЬ"</f>
        <v>Г ТЮМЕНЬ</v>
      </c>
      <c r="S1495" t="str">
        <f>""</f>
        <v/>
      </c>
      <c r="T1495" t="str">
        <f>"УЛ МОТОРОСТРОИТЕЛЕЙ"</f>
        <v>УЛ МОТОРОСТРОИТЕЛЕЙ</v>
      </c>
      <c r="U1495" s="1" t="str">
        <f>"2"</f>
        <v>2</v>
      </c>
      <c r="V1495" s="1" t="str">
        <f>""</f>
        <v/>
      </c>
      <c r="W1495" s="1" t="str">
        <f>"2"</f>
        <v>2</v>
      </c>
      <c r="X1495" s="1" t="str">
        <f>""</f>
        <v/>
      </c>
      <c r="Y1495" s="1" t="str">
        <f>"56"</f>
        <v>56</v>
      </c>
      <c r="Z1495" t="str">
        <f>"3452262810"</f>
        <v>3452262810</v>
      </c>
      <c r="AA1495" t="str">
        <f>"370829"</f>
        <v>370829</v>
      </c>
      <c r="AB1495" t="str">
        <f>"9324744339"</f>
        <v>9324744339</v>
      </c>
      <c r="AC1495" t="str">
        <f>"9324744339"</f>
        <v>9324744339</v>
      </c>
      <c r="AD1495" t="str">
        <f>"9324744339"</f>
        <v>9324744339</v>
      </c>
      <c r="AE1495" t="str">
        <f>"3452262810"</f>
        <v>3452262810</v>
      </c>
    </row>
    <row r="1496" spans="1:31" x14ac:dyDescent="0.45">
      <c r="A1496" t="str">
        <f>"БАКИРОВА ИЛЬМИРА ИСМАГИЛОВНА"</f>
        <v>БАКИРОВА ИЛЬМИРА ИСМАГИЛОВНА</v>
      </c>
      <c r="B1496" t="str">
        <f>"1973-07-02"</f>
        <v>1973-07-02</v>
      </c>
      <c r="C1496" t="str">
        <f>"67 18 736504"</f>
        <v>67 18 736504</v>
      </c>
      <c r="D1496" t="str">
        <f>"5484016707256665"</f>
        <v>5484016707256665</v>
      </c>
      <c r="E1496" t="str">
        <f t="shared" si="252"/>
        <v>2021-05-31</v>
      </c>
      <c r="F1496" t="str">
        <f t="shared" si="253"/>
        <v>+</v>
      </c>
      <c r="G1496" t="str">
        <f t="shared" si="253"/>
        <v>+</v>
      </c>
      <c r="H1496" t="str">
        <f>"40817810116992655174"</f>
        <v>40817810116992655174</v>
      </c>
      <c r="I1496" t="str">
        <f>"5940"</f>
        <v>5940</v>
      </c>
      <c r="J1496" t="str">
        <f>"7770"</f>
        <v>7770</v>
      </c>
      <c r="K1496" t="str">
        <f>"100000.00"</f>
        <v>100000.00</v>
      </c>
      <c r="L1496" t="str">
        <f>"628400 ОБЛ ТЮМЕНСКАЯ   Г ЛЯНТОР   МКР 7 д. 68"</f>
        <v>628400 ОБЛ ТЮМЕНСКАЯ   Г ЛЯНТОР   МКР 7 д. 68</v>
      </c>
      <c r="M1496" t="str">
        <f t="shared" si="250"/>
        <v>2019-08-24</v>
      </c>
      <c r="N1496" t="str">
        <f>"ДС РОДНИЧОК"</f>
        <v>ДС РОДНИЧОК</v>
      </c>
      <c r="O1496" t="str">
        <f>"628400"</f>
        <v>628400</v>
      </c>
      <c r="P1496" t="str">
        <f t="shared" si="254"/>
        <v>ОБЛ ТЮМЕНСКАЯ</v>
      </c>
      <c r="Q1496" t="str">
        <f>"Р-Н СУРГУТСКИЙ"</f>
        <v>Р-Н СУРГУТСКИЙ</v>
      </c>
      <c r="R1496" t="str">
        <f>"Г ЛЯНТОР"</f>
        <v>Г ЛЯНТОР</v>
      </c>
      <c r="S1496" t="str">
        <f>""</f>
        <v/>
      </c>
      <c r="T1496" t="str">
        <f>"МКР 3-Й"</f>
        <v>МКР 3-Й</v>
      </c>
      <c r="U1496" s="1" t="str">
        <f>"26"</f>
        <v>26</v>
      </c>
      <c r="V1496" s="1" t="str">
        <f>""</f>
        <v/>
      </c>
      <c r="W1496" s="1" t="str">
        <f>""</f>
        <v/>
      </c>
      <c r="X1496" s="1" t="str">
        <f>""</f>
        <v/>
      </c>
      <c r="Y1496" s="1" t="str">
        <f>"3"</f>
        <v>3</v>
      </c>
      <c r="Z1496" t="str">
        <f>"3463824915"</f>
        <v>3463824915</v>
      </c>
      <c r="AA1496" t="str">
        <f>"9224417010"</f>
        <v>9224417010</v>
      </c>
      <c r="AB1496" t="str">
        <f>"9224417010"</f>
        <v>9224417010</v>
      </c>
      <c r="AC1496" t="str">
        <f>"9224417010"</f>
        <v>9224417010</v>
      </c>
      <c r="AD1496" t="str">
        <f>"9224417010"</f>
        <v>9224417010</v>
      </c>
      <c r="AE1496" t="str">
        <f>"3463824915"</f>
        <v>3463824915</v>
      </c>
    </row>
    <row r="1497" spans="1:31" x14ac:dyDescent="0.45">
      <c r="A1497" t="str">
        <f>"ЗАЙЦЕВ ИВАН ВАСИЛЬЕВИЧ"</f>
        <v>ЗАЙЦЕВ ИВАН ВАСИЛЬЕВИЧ</v>
      </c>
      <c r="B1497" t="str">
        <f>"1965-03-31"</f>
        <v>1965-03-31</v>
      </c>
      <c r="C1497" t="str">
        <f>"67 09 987990"</f>
        <v>67 09 987990</v>
      </c>
      <c r="D1497" t="str">
        <f>"5484016707133088"</f>
        <v>5484016707133088</v>
      </c>
      <c r="E1497" t="str">
        <f t="shared" si="252"/>
        <v>2021-05-31</v>
      </c>
      <c r="F1497" t="str">
        <f>"Q"</f>
        <v>Q</v>
      </c>
      <c r="G1497" t="str">
        <f>"Q"</f>
        <v>Q</v>
      </c>
      <c r="H1497" t="str">
        <f>"40817810067720692909"</f>
        <v>40817810067720692909</v>
      </c>
      <c r="I1497" t="str">
        <f>"5940"</f>
        <v>5940</v>
      </c>
      <c r="J1497" t="str">
        <f>"7770"</f>
        <v>7770</v>
      </c>
      <c r="K1497" t="str">
        <f>"0.00"</f>
        <v>0.00</v>
      </c>
      <c r="L1497" t="str">
        <f>"628449 ОБЛ ТЮМЕНСКАЯ Р-Н СУРГУТСКИЙ Г ЛЯНТОР   МКР 7 д. 68"</f>
        <v>628449 ОБЛ ТЮМЕНСКАЯ Р-Н СУРГУТСКИЙ Г ЛЯНТОР   МКР 7 д. 68</v>
      </c>
      <c r="M1497" t="str">
        <f t="shared" si="250"/>
        <v>2019-08-24</v>
      </c>
      <c r="N1497" t="str">
        <f>"Д/С РОДНИЧОК"</f>
        <v>Д/С РОДНИЧОК</v>
      </c>
      <c r="O1497" t="str">
        <f>"628449"</f>
        <v>628449</v>
      </c>
      <c r="P1497" t="str">
        <f t="shared" si="254"/>
        <v>ОБЛ ТЮМЕНСКАЯ</v>
      </c>
      <c r="Q1497" t="str">
        <f>"Р-Н СУРГУТСКИЙ"</f>
        <v>Р-Н СУРГУТСКИЙ</v>
      </c>
      <c r="R1497" t="str">
        <f>"Г ЛЯНТОПР"</f>
        <v>Г ЛЯНТОПР</v>
      </c>
      <c r="S1497" t="str">
        <f>""</f>
        <v/>
      </c>
      <c r="T1497" t="str">
        <f>"МКР 2"</f>
        <v>МКР 2</v>
      </c>
      <c r="U1497" s="1" t="str">
        <f>"6"</f>
        <v>6</v>
      </c>
      <c r="V1497" s="1" t="str">
        <f>""</f>
        <v/>
      </c>
      <c r="W1497" s="1" t="str">
        <f>""</f>
        <v/>
      </c>
      <c r="X1497" s="1" t="str">
        <f>""</f>
        <v/>
      </c>
      <c r="Y1497" s="1" t="str">
        <f>"20"</f>
        <v>20</v>
      </c>
      <c r="Z1497" t="str">
        <f>"3463824915"</f>
        <v>3463824915</v>
      </c>
      <c r="AA1497" t="str">
        <f>"9129062386"</f>
        <v>9129062386</v>
      </c>
      <c r="AB1497" t="str">
        <f>"9129062386"</f>
        <v>9129062386</v>
      </c>
      <c r="AC1497" t="str">
        <f>"9129062386"</f>
        <v>9129062386</v>
      </c>
      <c r="AD1497" t="str">
        <f>"9129062386"</f>
        <v>9129062386</v>
      </c>
      <c r="AE1497" t="str">
        <f>"3463824915"</f>
        <v>3463824915</v>
      </c>
    </row>
    <row r="1498" spans="1:31" x14ac:dyDescent="0.45">
      <c r="A1498" t="str">
        <f>"КЛИКУШИН АЛЕКСЕЙ ВЛАДИМИРОВИЧ"</f>
        <v>КЛИКУШИН АЛЕКСЕЙ ВЛАДИМИРОВИЧ</v>
      </c>
      <c r="B1498" t="str">
        <f>"1979-05-14"</f>
        <v>1979-05-14</v>
      </c>
      <c r="C1498" t="str">
        <f>"71 04 106918"</f>
        <v>71 04 106918</v>
      </c>
      <c r="D1498" t="str">
        <f>"5484016704744275"</f>
        <v>5484016704744275</v>
      </c>
      <c r="E1498" t="str">
        <f t="shared" si="252"/>
        <v>2021-05-31</v>
      </c>
      <c r="F1498" t="str">
        <f t="shared" ref="F1498:G1504" si="255">"+"</f>
        <v>+</v>
      </c>
      <c r="G1498" t="str">
        <f t="shared" si="255"/>
        <v>+</v>
      </c>
      <c r="H1498" t="str">
        <f>"40817810316992301435"</f>
        <v>40817810316992301435</v>
      </c>
      <c r="I1498" t="str">
        <f>"8647"</f>
        <v>8647</v>
      </c>
      <c r="J1498" t="str">
        <f>"7770"</f>
        <v>7770</v>
      </c>
      <c r="K1498" t="str">
        <f>"50000.00"</f>
        <v>50000.00</v>
      </c>
      <c r="L1498" t="str">
        <f>"625000 ОБЛ ТЮМЕНСКАЯ   Г ТЮМЕНЬ   УЛ ЮРИЯ СЕМОВСКИХ д. 10"</f>
        <v>625000 ОБЛ ТЮМЕНСКАЯ   Г ТЮМЕНЬ   УЛ ЮРИЯ СЕМОВСКИХ д. 10</v>
      </c>
      <c r="M1498" t="str">
        <f t="shared" si="250"/>
        <v>2019-08-24</v>
      </c>
      <c r="N1498" t="str">
        <f>"ГБУЗ ТО ОКБ №1"</f>
        <v>ГБУЗ ТО ОКБ №1</v>
      </c>
      <c r="O1498" t="str">
        <f>"625000"</f>
        <v>625000</v>
      </c>
      <c r="P1498" t="str">
        <f t="shared" si="254"/>
        <v>ОБЛ ТЮМЕНСКАЯ</v>
      </c>
      <c r="Q1498" t="str">
        <f>""</f>
        <v/>
      </c>
      <c r="R1498" t="str">
        <f>"Г ТЮМЕНЬ"</f>
        <v>Г ТЮМЕНЬ</v>
      </c>
      <c r="S1498" t="str">
        <f>""</f>
        <v/>
      </c>
      <c r="T1498" t="str">
        <f>"УЛ ПЕР 5 СТЕПНОЙ"</f>
        <v>УЛ ПЕР 5 СТЕПНОЙ</v>
      </c>
      <c r="U1498" s="1" t="str">
        <f>"71"</f>
        <v>71</v>
      </c>
      <c r="V1498" s="1" t="str">
        <f>""</f>
        <v/>
      </c>
      <c r="W1498" s="1" t="str">
        <f>""</f>
        <v/>
      </c>
      <c r="X1498" s="1" t="str">
        <f>""</f>
        <v/>
      </c>
      <c r="Y1498" s="1" t="str">
        <f>""</f>
        <v/>
      </c>
      <c r="Z1498" t="str">
        <f>"3452294124"</f>
        <v>3452294124</v>
      </c>
      <c r="AA1498" t="str">
        <f>"9523421188"</f>
        <v>9523421188</v>
      </c>
      <c r="AB1498" t="str">
        <f>"9523421188"</f>
        <v>9523421188</v>
      </c>
      <c r="AC1498" t="str">
        <f>"9523421188"</f>
        <v>9523421188</v>
      </c>
      <c r="AD1498" t="str">
        <f>"9523421188"</f>
        <v>9523421188</v>
      </c>
      <c r="AE1498" t="str">
        <f>"3452294124"</f>
        <v>3452294124</v>
      </c>
    </row>
    <row r="1499" spans="1:31" x14ac:dyDescent="0.45">
      <c r="A1499" t="str">
        <f>"ЮРИН АРТЁМ НИКОЛАЕВИЧ"</f>
        <v>ЮРИН АРТЁМ НИКОЛАЕВИЧ</v>
      </c>
      <c r="B1499" t="str">
        <f>"1991-11-12"</f>
        <v>1991-11-12</v>
      </c>
      <c r="C1499" t="str">
        <f>"71 11 901598"</f>
        <v>71 11 901598</v>
      </c>
      <c r="D1499" t="str">
        <f>"4276016707195363"</f>
        <v>4276016707195363</v>
      </c>
      <c r="E1499" t="str">
        <f t="shared" si="252"/>
        <v>2021-05-31</v>
      </c>
      <c r="F1499" t="str">
        <f t="shared" si="255"/>
        <v>+</v>
      </c>
      <c r="G1499" t="str">
        <f t="shared" si="255"/>
        <v>+</v>
      </c>
      <c r="H1499" t="str">
        <f>"40817810816992400072"</f>
        <v>40817810816992400072</v>
      </c>
      <c r="I1499" t="str">
        <f>"8647"</f>
        <v>8647</v>
      </c>
      <c r="J1499" t="str">
        <f>"0096"</f>
        <v>0096</v>
      </c>
      <c r="K1499" t="str">
        <f>"100000.00"</f>
        <v>100000.00</v>
      </c>
      <c r="L1499" t="str">
        <f>"625000 ОБЛ ТЮМЕНСКАЯ   Г ТЮМЕНЬ   УЛ БАБАРЫНКА д. 60"</f>
        <v>625000 ОБЛ ТЮМЕНСКАЯ   Г ТЮМЕНЬ   УЛ БАБАРЫНКА д. 60</v>
      </c>
      <c r="M1499" t="str">
        <f t="shared" si="250"/>
        <v>2019-08-24</v>
      </c>
      <c r="N1499" t="str">
        <f>"ДВОР КАМНЯ"</f>
        <v>ДВОР КАМНЯ</v>
      </c>
      <c r="O1499" t="str">
        <f>"625000"</f>
        <v>625000</v>
      </c>
      <c r="P1499" t="str">
        <f t="shared" si="254"/>
        <v>ОБЛ ТЮМЕНСКАЯ</v>
      </c>
      <c r="Q1499" t="str">
        <f>""</f>
        <v/>
      </c>
      <c r="R1499" t="str">
        <f>"Г ТЮМЕНЬ"</f>
        <v>Г ТЮМЕНЬ</v>
      </c>
      <c r="S1499" t="str">
        <f>""</f>
        <v/>
      </c>
      <c r="T1499" t="str">
        <f>"УЛ ШИРОТНАЯ"</f>
        <v>УЛ ШИРОТНАЯ</v>
      </c>
      <c r="U1499" s="1" t="str">
        <f>"148"</f>
        <v>148</v>
      </c>
      <c r="V1499" s="1" t="str">
        <f>""</f>
        <v/>
      </c>
      <c r="W1499" s="1" t="str">
        <f>"3"</f>
        <v>3</v>
      </c>
      <c r="X1499" s="1" t="str">
        <f>""</f>
        <v/>
      </c>
      <c r="Y1499" s="1" t="str">
        <f>"97"</f>
        <v>97</v>
      </c>
      <c r="Z1499" t="str">
        <f>""</f>
        <v/>
      </c>
      <c r="AA1499" t="str">
        <f>"3452642695"</f>
        <v>3452642695</v>
      </c>
      <c r="AB1499" t="str">
        <f>"9829110797"</f>
        <v>9829110797</v>
      </c>
      <c r="AC1499" t="str">
        <f>"3452642695"</f>
        <v>3452642695</v>
      </c>
      <c r="AD1499" t="str">
        <f>"9829110797"</f>
        <v>9829110797</v>
      </c>
      <c r="AE1499" t="str">
        <f>""</f>
        <v/>
      </c>
    </row>
    <row r="1500" spans="1:31" x14ac:dyDescent="0.45">
      <c r="A1500" t="str">
        <f>"КВАШИНА НАТАЛИЯ АЛЕКСАНДРОВНА"</f>
        <v>КВАШИНА НАТАЛИЯ АЛЕКСАНДРОВНА</v>
      </c>
      <c r="B1500" t="str">
        <f>"1974-01-09"</f>
        <v>1974-01-09</v>
      </c>
      <c r="C1500" t="str">
        <f>"67 18 787862"</f>
        <v>67 18 787862</v>
      </c>
      <c r="D1500" t="str">
        <f>"4279016732294808"</f>
        <v>4279016732294808</v>
      </c>
      <c r="E1500" t="str">
        <f t="shared" si="252"/>
        <v>2021-05-31</v>
      </c>
      <c r="F1500" t="str">
        <f t="shared" si="255"/>
        <v>+</v>
      </c>
      <c r="G1500" t="str">
        <f t="shared" si="255"/>
        <v>+</v>
      </c>
      <c r="H1500" t="str">
        <f>"40817810316992098832"</f>
        <v>40817810316992098832</v>
      </c>
      <c r="I1500" t="str">
        <f>"5940"</f>
        <v>5940</v>
      </c>
      <c r="J1500" t="str">
        <f>"0080"</f>
        <v>0080</v>
      </c>
      <c r="K1500" t="str">
        <f>"160000.00"</f>
        <v>160000.00</v>
      </c>
      <c r="L1500" t="str">
        <f>"628447 ОБЛ ТЮМЕНСКАЯ Р-Н СУРГУТСКИЙ   П НИЖНЕСОРТЫМСКИЙ УЛ ЭНТУЗИАСТОВ стр. 26"</f>
        <v>628447 ОБЛ ТЮМЕНСКАЯ Р-Н СУРГУТСКИЙ   П НИЖНЕСОРТЫМСКИЙ УЛ ЭНТУЗИАСТОВ стр. 26</v>
      </c>
      <c r="M1500" t="str">
        <f t="shared" si="250"/>
        <v>2019-08-24</v>
      </c>
      <c r="N1500" t="str">
        <f>"ОАО СУРГУТНЕФТЕГАЗ"</f>
        <v>ОАО СУРГУТНЕФТЕГАЗ</v>
      </c>
      <c r="O1500" t="str">
        <f>"628447"</f>
        <v>628447</v>
      </c>
      <c r="P1500" t="str">
        <f t="shared" si="254"/>
        <v>ОБЛ ТЮМЕНСКАЯ</v>
      </c>
      <c r="Q1500" t="str">
        <f>"Р-Н СУРГУТСКИЙ"</f>
        <v>Р-Н СУРГУТСКИЙ</v>
      </c>
      <c r="R1500" t="str">
        <f>""</f>
        <v/>
      </c>
      <c r="S1500" t="str">
        <f>"П НИЖНЕСОРТЫМСКИЙ"</f>
        <v>П НИЖНЕСОРТЫМСКИЙ</v>
      </c>
      <c r="T1500" t="str">
        <f>"УЛ ХУСАИНОВА"</f>
        <v>УЛ ХУСАИНОВА</v>
      </c>
      <c r="U1500" s="1" t="str">
        <f>"13"</f>
        <v>13</v>
      </c>
      <c r="V1500" s="1" t="str">
        <f>""</f>
        <v/>
      </c>
      <c r="W1500" s="1" t="str">
        <f>""</f>
        <v/>
      </c>
      <c r="X1500" s="1" t="str">
        <f>""</f>
        <v/>
      </c>
      <c r="Y1500" s="1" t="str">
        <f>"39"</f>
        <v>39</v>
      </c>
      <c r="Z1500" t="str">
        <f>"3463875669"</f>
        <v>3463875669</v>
      </c>
      <c r="AA1500" t="str">
        <f>"9227844588"</f>
        <v>9227844588</v>
      </c>
      <c r="AB1500" t="str">
        <f>"9227844588"</f>
        <v>9227844588</v>
      </c>
      <c r="AC1500" t="str">
        <f>"9324296751"</f>
        <v>9324296751</v>
      </c>
      <c r="AD1500" t="str">
        <f>"9227844588"</f>
        <v>9227844588</v>
      </c>
      <c r="AE1500" t="str">
        <f>"3463875669"</f>
        <v>3463875669</v>
      </c>
    </row>
    <row r="1501" spans="1:31" x14ac:dyDescent="0.45">
      <c r="A1501" t="str">
        <f>"ДЕЕВА АЙСЕХАН АЙТЕКОВНА"</f>
        <v>ДЕЕВА АЙСЕХАН АЙТЕКОВНА</v>
      </c>
      <c r="B1501" t="str">
        <f>"1985-10-22"</f>
        <v>1985-10-22</v>
      </c>
      <c r="C1501" t="str">
        <f>"67 14 402278"</f>
        <v>67 14 402278</v>
      </c>
      <c r="D1501" t="str">
        <f>"4279016737573198"</f>
        <v>4279016737573198</v>
      </c>
      <c r="E1501" t="str">
        <f t="shared" si="252"/>
        <v>2021-05-31</v>
      </c>
      <c r="F1501" t="str">
        <f t="shared" si="255"/>
        <v>+</v>
      </c>
      <c r="G1501" t="str">
        <f t="shared" si="255"/>
        <v>+</v>
      </c>
      <c r="H1501" t="str">
        <f>"40817810616992099159"</f>
        <v>40817810616992099159</v>
      </c>
      <c r="I1501" t="str">
        <f>"1791"</f>
        <v>1791</v>
      </c>
      <c r="J1501" t="str">
        <f>"0052"</f>
        <v>0052</v>
      </c>
      <c r="K1501" t="str">
        <f>"24000.00"</f>
        <v>24000.00</v>
      </c>
      <c r="L1501" t="str">
        <f>"628002 ОБЛ ТЮМЕНСКАЯ   Г ХАНТЫ-МАНСИЙСК   УЛ ДУНИНА-ГОРКАВИЧА д. 15 кв. 18"</f>
        <v>628002 ОБЛ ТЮМЕНСКАЯ   Г ХАНТЫ-МАНСИЙСК   УЛ ДУНИНА-ГОРКАВИЧА д. 15 кв. 18</v>
      </c>
      <c r="M1501" t="str">
        <f t="shared" si="250"/>
        <v>2019-08-24</v>
      </c>
      <c r="N1501" t="str">
        <f>"НЕ РАБОТАЕТ"</f>
        <v>НЕ РАБОТАЕТ</v>
      </c>
      <c r="O1501" t="str">
        <f>"628002"</f>
        <v>628002</v>
      </c>
      <c r="P1501" t="str">
        <f t="shared" si="254"/>
        <v>ОБЛ ТЮМЕНСКАЯ</v>
      </c>
      <c r="Q1501" t="str">
        <f>""</f>
        <v/>
      </c>
      <c r="R1501" t="str">
        <f>"Г ХАНТЫ-МАНСИЙСК"</f>
        <v>Г ХАНТЫ-МАНСИЙСК</v>
      </c>
      <c r="S1501" t="str">
        <f>""</f>
        <v/>
      </c>
      <c r="T1501" t="str">
        <f>"УЛ ДУНИНА-ГОРКАВИЧА"</f>
        <v>УЛ ДУНИНА-ГОРКАВИЧА</v>
      </c>
      <c r="U1501" s="1" t="str">
        <f>"15"</f>
        <v>15</v>
      </c>
      <c r="V1501" s="1" t="str">
        <f>""</f>
        <v/>
      </c>
      <c r="W1501" s="1" t="str">
        <f>""</f>
        <v/>
      </c>
      <c r="X1501" s="1" t="str">
        <f>""</f>
        <v/>
      </c>
      <c r="Y1501" s="1" t="str">
        <f>"18"</f>
        <v>18</v>
      </c>
      <c r="Z1501" t="str">
        <f>"3467958851"</f>
        <v>3467958851</v>
      </c>
      <c r="AA1501" t="str">
        <f>"9283931667"</f>
        <v>9283931667</v>
      </c>
      <c r="AB1501" t="str">
        <f>"9280253085"</f>
        <v>9280253085</v>
      </c>
      <c r="AC1501" t="str">
        <f>"9283931667"</f>
        <v>9283931667</v>
      </c>
      <c r="AD1501" t="str">
        <f>"9280253085"</f>
        <v>9280253085</v>
      </c>
      <c r="AE1501" t="str">
        <f>""</f>
        <v/>
      </c>
    </row>
    <row r="1502" spans="1:31" x14ac:dyDescent="0.45">
      <c r="A1502" t="str">
        <f>"ШПИЛЬКИНА ЛАРИСА ВАЛЕНТИНОВНА"</f>
        <v>ШПИЛЬКИНА ЛАРИСА ВАЛЕНТИНОВНА</v>
      </c>
      <c r="B1502" t="str">
        <f>"1968-10-21"</f>
        <v>1968-10-21</v>
      </c>
      <c r="C1502" t="str">
        <f>"71 13 026695"</f>
        <v>71 13 026695</v>
      </c>
      <c r="D1502" t="str">
        <f>"5484016702829847"</f>
        <v>5484016702829847</v>
      </c>
      <c r="E1502" t="str">
        <f t="shared" si="252"/>
        <v>2021-05-31</v>
      </c>
      <c r="F1502" t="str">
        <f t="shared" si="255"/>
        <v>+</v>
      </c>
      <c r="G1502" t="str">
        <f t="shared" si="255"/>
        <v>+</v>
      </c>
      <c r="H1502" t="str">
        <f>"40817810216992400135"</f>
        <v>40817810216992400135</v>
      </c>
      <c r="I1502" t="str">
        <f>"8647"</f>
        <v>8647</v>
      </c>
      <c r="J1502" t="str">
        <f>"7770"</f>
        <v>7770</v>
      </c>
      <c r="K1502" t="str">
        <f>"10000.00"</f>
        <v>10000.00</v>
      </c>
      <c r="L1502" t="str">
        <f>"625000 ОБЛ ТЮМЕНСКАЯ   Г ТЮМЕНЬ   УЛ КОТОВСКОГО д. 55"</f>
        <v>625000 ОБЛ ТЮМЕНСКАЯ   Г ТЮМЕНЬ   УЛ КОТОВСКОГО д. 55</v>
      </c>
      <c r="M1502" t="str">
        <f t="shared" si="250"/>
        <v>2019-08-24</v>
      </c>
      <c r="N1502" t="str">
        <f>"ОКБ 1"</f>
        <v>ОКБ 1</v>
      </c>
      <c r="O1502" t="str">
        <f>"625001"</f>
        <v>625001</v>
      </c>
      <c r="P1502" t="str">
        <f t="shared" si="254"/>
        <v>ОБЛ ТЮМЕНСКАЯ</v>
      </c>
      <c r="Q1502" t="str">
        <f>""</f>
        <v/>
      </c>
      <c r="R1502" t="str">
        <f>"Г ТЮМЕНЬ"</f>
        <v>Г ТЮМЕНЬ</v>
      </c>
      <c r="S1502" t="str">
        <f>""</f>
        <v/>
      </c>
      <c r="T1502" t="str">
        <f>"УЛ ЯМСКАЯ"</f>
        <v>УЛ ЯМСКАЯ</v>
      </c>
      <c r="U1502" s="1" t="str">
        <f>"76"</f>
        <v>76</v>
      </c>
      <c r="V1502" s="1" t="str">
        <f>""</f>
        <v/>
      </c>
      <c r="W1502" s="1" t="str">
        <f>""</f>
        <v/>
      </c>
      <c r="X1502" s="1" t="str">
        <f>""</f>
        <v/>
      </c>
      <c r="Y1502" s="1" t="str">
        <f>"126"</f>
        <v>126</v>
      </c>
      <c r="Z1502" t="str">
        <f>"3452560010"</f>
        <v>3452560010</v>
      </c>
      <c r="AA1502" t="str">
        <f>"9129265614"</f>
        <v>9129265614</v>
      </c>
      <c r="AB1502" t="str">
        <f>"9129265614"</f>
        <v>9129265614</v>
      </c>
      <c r="AC1502" t="str">
        <f>"9129265614"</f>
        <v>9129265614</v>
      </c>
      <c r="AD1502" t="str">
        <f>"9129265614"</f>
        <v>9129265614</v>
      </c>
      <c r="AE1502" t="str">
        <f>"3452560010"</f>
        <v>3452560010</v>
      </c>
    </row>
    <row r="1503" spans="1:31" x14ac:dyDescent="0.45">
      <c r="A1503" t="str">
        <f>"ХЛЫЗОВА НАТАЛЬЯ ВИТАЛЬЕВНА"</f>
        <v>ХЛЫЗОВА НАТАЛЬЯ ВИТАЛЬЕВНА</v>
      </c>
      <c r="B1503" t="str">
        <f>"1962-10-16"</f>
        <v>1962-10-16</v>
      </c>
      <c r="C1503" t="str">
        <f>"71 07 553635"</f>
        <v>71 07 553635</v>
      </c>
      <c r="D1503" t="str">
        <f>"5484016709253330"</f>
        <v>5484016709253330</v>
      </c>
      <c r="E1503" t="str">
        <f t="shared" si="252"/>
        <v>2021-05-31</v>
      </c>
      <c r="F1503" t="str">
        <f t="shared" si="255"/>
        <v>+</v>
      </c>
      <c r="G1503" t="str">
        <f t="shared" si="255"/>
        <v>+</v>
      </c>
      <c r="H1503" t="str">
        <f>"40817810816992098992"</f>
        <v>40817810816992098992</v>
      </c>
      <c r="I1503" t="str">
        <f>"8647"</f>
        <v>8647</v>
      </c>
      <c r="J1503" t="str">
        <f>"7770"</f>
        <v>7770</v>
      </c>
      <c r="K1503" t="str">
        <f>"45000.00"</f>
        <v>45000.00</v>
      </c>
      <c r="L1503" t="str">
        <f>"625000 ОБЛ ТЮМЕНСКАЯ   Г ТЮМЕНЬ   УЛ КОТОВСКОГО д. 55"</f>
        <v>625000 ОБЛ ТЮМЕНСКАЯ   Г ТЮМЕНЬ   УЛ КОТОВСКОГО д. 55</v>
      </c>
      <c r="M1503" t="str">
        <f t="shared" si="250"/>
        <v>2019-08-24</v>
      </c>
      <c r="N1503" t="str">
        <f>"ОКБ № 1"</f>
        <v>ОКБ № 1</v>
      </c>
      <c r="O1503" t="str">
        <f>"625000"</f>
        <v>625000</v>
      </c>
      <c r="P1503" t="str">
        <f t="shared" si="254"/>
        <v>ОБЛ ТЮМЕНСКАЯ</v>
      </c>
      <c r="Q1503" t="str">
        <f>""</f>
        <v/>
      </c>
      <c r="R1503" t="str">
        <f>"Г ТЮМЕНЬ"</f>
        <v>Г ТЮМЕНЬ</v>
      </c>
      <c r="S1503" t="str">
        <f>""</f>
        <v/>
      </c>
      <c r="T1503" t="str">
        <f>"УЛ ШИРОТНАЯ"</f>
        <v>УЛ ШИРОТНАЯ</v>
      </c>
      <c r="U1503" s="1" t="str">
        <f>"39"</f>
        <v>39</v>
      </c>
      <c r="V1503" s="1" t="str">
        <f>""</f>
        <v/>
      </c>
      <c r="W1503" s="1" t="str">
        <f>""</f>
        <v/>
      </c>
      <c r="X1503" s="1" t="str">
        <f>""</f>
        <v/>
      </c>
      <c r="Y1503" s="1" t="str">
        <f>"41"</f>
        <v>41</v>
      </c>
      <c r="Z1503" t="str">
        <f>"3452560010"</f>
        <v>3452560010</v>
      </c>
      <c r="AA1503" t="str">
        <f>"9612042455"</f>
        <v>9612042455</v>
      </c>
      <c r="AB1503" t="str">
        <f>"9612042455"</f>
        <v>9612042455</v>
      </c>
      <c r="AC1503" t="str">
        <f>"9612042455"</f>
        <v>9612042455</v>
      </c>
      <c r="AD1503" t="str">
        <f>"9612042455"</f>
        <v>9612042455</v>
      </c>
      <c r="AE1503" t="str">
        <f>"3452560010"</f>
        <v>3452560010</v>
      </c>
    </row>
    <row r="1504" spans="1:31" x14ac:dyDescent="0.45">
      <c r="A1504" t="str">
        <f>"ЗАДОЕВА ЕКАТЕРИНА АНАТОЛЬЕВНА"</f>
        <v>ЗАДОЕВА ЕКАТЕРИНА АНАТОЛЬЕВНА</v>
      </c>
      <c r="B1504" t="str">
        <f>"1991-11-16"</f>
        <v>1991-11-16</v>
      </c>
      <c r="C1504" t="str">
        <f>"71 17 299635"</f>
        <v>71 17 299635</v>
      </c>
      <c r="D1504" t="str">
        <f>"4279016737447856"</f>
        <v>4279016737447856</v>
      </c>
      <c r="E1504" t="str">
        <f t="shared" si="252"/>
        <v>2021-05-31</v>
      </c>
      <c r="F1504" t="str">
        <f t="shared" si="255"/>
        <v>+</v>
      </c>
      <c r="G1504" t="str">
        <f t="shared" si="255"/>
        <v>+</v>
      </c>
      <c r="H1504" t="str">
        <f>"40817810716992099224"</f>
        <v>40817810716992099224</v>
      </c>
      <c r="I1504" t="str">
        <f>"8647"</f>
        <v>8647</v>
      </c>
      <c r="J1504" t="str">
        <f>"0114"</f>
        <v>0114</v>
      </c>
      <c r="K1504" t="str">
        <f>"195000.00"</f>
        <v>195000.00</v>
      </c>
      <c r="L1504" t="str">
        <f>"625000 ОБЛ ТЮМЕНСКАЯ   Г ТЮМЕНЬ   УЛ КЛАРЫ ЦЕТКИН д. 61 корп. 2 кв. 1"</f>
        <v>625000 ОБЛ ТЮМЕНСКАЯ   Г ТЮМЕНЬ   УЛ КЛАРЫ ЦЕТКИН д. 61 корп. 2 кв. 1</v>
      </c>
      <c r="M1504" t="str">
        <f t="shared" si="250"/>
        <v>2019-08-24</v>
      </c>
      <c r="N1504" t="str">
        <f>"НЕ РАБОТАЕТ"</f>
        <v>НЕ РАБОТАЕТ</v>
      </c>
      <c r="O1504" t="str">
        <f>"625000"</f>
        <v>625000</v>
      </c>
      <c r="P1504" t="str">
        <f t="shared" si="254"/>
        <v>ОБЛ ТЮМЕНСКАЯ</v>
      </c>
      <c r="Q1504" t="str">
        <f>""</f>
        <v/>
      </c>
      <c r="R1504" t="str">
        <f>"Г ТЮМЕНЬ"</f>
        <v>Г ТЮМЕНЬ</v>
      </c>
      <c r="S1504" t="str">
        <f>""</f>
        <v/>
      </c>
      <c r="T1504" t="str">
        <f>"УЛ КЛАРЫ ЦЕТКИН"</f>
        <v>УЛ КЛАРЫ ЦЕТКИН</v>
      </c>
      <c r="U1504" s="1" t="str">
        <f>"61"</f>
        <v>61</v>
      </c>
      <c r="V1504" s="1" t="str">
        <f>""</f>
        <v/>
      </c>
      <c r="W1504" s="1" t="str">
        <f>"2"</f>
        <v>2</v>
      </c>
      <c r="X1504" s="1" t="str">
        <f>""</f>
        <v/>
      </c>
      <c r="Y1504" s="1" t="str">
        <f>"1"</f>
        <v>1</v>
      </c>
      <c r="Z1504" t="str">
        <f>"3452 592121"</f>
        <v>3452 592121</v>
      </c>
      <c r="AA1504" t="str">
        <f>"9617811666"</f>
        <v>9617811666</v>
      </c>
      <c r="AB1504" t="str">
        <f>"9829333111"</f>
        <v>9829333111</v>
      </c>
      <c r="AC1504" t="str">
        <f>"9617811666"</f>
        <v>9617811666</v>
      </c>
      <c r="AD1504" t="str">
        <f>"9829333111"</f>
        <v>9829333111</v>
      </c>
      <c r="AE1504" t="str">
        <f>""</f>
        <v/>
      </c>
    </row>
    <row r="1505" spans="1:31" x14ac:dyDescent="0.45">
      <c r="A1505" t="str">
        <f>"КРИВУШИН ДМИТРИЙ ВЛАДИМИРОВИЧ"</f>
        <v>КРИВУШИН ДМИТРИЙ ВЛАДИМИРОВИЧ</v>
      </c>
      <c r="B1505" t="str">
        <f>"1971-06-19"</f>
        <v>1971-06-19</v>
      </c>
      <c r="C1505" t="str">
        <f>"65 16 268612"</f>
        <v>65 16 268612</v>
      </c>
      <c r="D1505" t="str">
        <f>"4854630223924229"</f>
        <v>4854630223924229</v>
      </c>
      <c r="E1505" t="str">
        <f>"2019-06-30"</f>
        <v>2019-06-30</v>
      </c>
      <c r="F1505" t="str">
        <f>"Q"</f>
        <v>Q</v>
      </c>
      <c r="G1505" t="str">
        <f>"Q"</f>
        <v>Q</v>
      </c>
      <c r="H1505" t="str">
        <f>"40817810316991391307"</f>
        <v>40817810316991391307</v>
      </c>
      <c r="I1505" t="str">
        <f>"7003"</f>
        <v>7003</v>
      </c>
      <c r="J1505" t="str">
        <f>"0759"</f>
        <v>0759</v>
      </c>
      <c r="K1505" t="str">
        <f>"0.00"</f>
        <v>0.00</v>
      </c>
      <c r="L1505" t="str">
        <f>"620000 ОБЛ СВЕРДЛОВСКАЯ   Г ЕКАТЕРИНБУРГ   УЛ МАШИНОСТРОИТЕЛЕЙ д. 19"</f>
        <v>620000 ОБЛ СВЕРДЛОВСКАЯ   Г ЕКАТЕРИНБУРГ   УЛ МАШИНОСТРОИТЕЛЕЙ д. 19</v>
      </c>
      <c r="M1505" t="str">
        <f t="shared" si="250"/>
        <v>2019-08-24</v>
      </c>
      <c r="N1505" t="str">
        <f>"16546445"</f>
        <v>16546445</v>
      </c>
      <c r="O1505" t="str">
        <f>"620000"</f>
        <v>620000</v>
      </c>
      <c r="P1505" t="str">
        <f>"ОБЛ СВЕРДЛОВСКАЯ"</f>
        <v>ОБЛ СВЕРДЛОВСКАЯ</v>
      </c>
      <c r="Q1505" t="str">
        <f>""</f>
        <v/>
      </c>
      <c r="R1505" t="str">
        <f>"Г ЕКАТЕРИНБУРГ"</f>
        <v>Г ЕКАТЕРИНБУРГ</v>
      </c>
      <c r="S1505" t="str">
        <f>""</f>
        <v/>
      </c>
      <c r="T1505" t="str">
        <f>"УЛ БЕЛОРЕЧЕНСКАЯ"</f>
        <v>УЛ БЕЛОРЕЧЕНСКАЯ</v>
      </c>
      <c r="U1505" s="1" t="str">
        <f>"9"</f>
        <v>9</v>
      </c>
      <c r="V1505" s="1" t="str">
        <f>""</f>
        <v/>
      </c>
      <c r="W1505" s="1" t="str">
        <f>"4"</f>
        <v>4</v>
      </c>
      <c r="X1505" s="1" t="str">
        <f>""</f>
        <v/>
      </c>
      <c r="Y1505" s="1" t="str">
        <f>"32"</f>
        <v>32</v>
      </c>
      <c r="Z1505" t="str">
        <f>""</f>
        <v/>
      </c>
      <c r="AA1505" t="str">
        <f>"9090004987"</f>
        <v>9090004987</v>
      </c>
      <c r="AB1505" t="str">
        <f>"9090004987"</f>
        <v>9090004987</v>
      </c>
      <c r="AC1505" t="str">
        <f>"9090004987"</f>
        <v>9090004987</v>
      </c>
      <c r="AD1505" t="str">
        <f>"9090004987"</f>
        <v>9090004987</v>
      </c>
      <c r="AE1505" t="str">
        <f>""</f>
        <v/>
      </c>
    </row>
    <row r="1506" spans="1:31" x14ac:dyDescent="0.45">
      <c r="A1506" t="str">
        <f>"НИКОГОСЯН АРСЕН СПАРТАКОВИЧ"</f>
        <v>НИКОГОСЯН АРСЕН СПАРТАКОВИЧ</v>
      </c>
      <c r="B1506" t="str">
        <f>"1978-02-14"</f>
        <v>1978-02-14</v>
      </c>
      <c r="C1506" t="str">
        <f>"80 02 775933"</f>
        <v>80 02 775933</v>
      </c>
      <c r="D1506" t="str">
        <f>"5313100367229175"</f>
        <v>5313100367229175</v>
      </c>
      <c r="E1506" t="str">
        <f>"2021-03-31"</f>
        <v>2021-03-31</v>
      </c>
      <c r="F1506" t="str">
        <f t="shared" ref="F1506:G1510" si="256">"+"</f>
        <v>+</v>
      </c>
      <c r="G1506" t="str">
        <f t="shared" si="256"/>
        <v>+</v>
      </c>
      <c r="H1506" t="str">
        <f>"40817810616991391308"</f>
        <v>40817810616991391308</v>
      </c>
      <c r="I1506" t="str">
        <f>"8598"</f>
        <v>8598</v>
      </c>
      <c r="J1506" t="str">
        <f>"0195"</f>
        <v>0195</v>
      </c>
      <c r="K1506" t="str">
        <f>"20000.00"</f>
        <v>20000.00</v>
      </c>
      <c r="L1506" t="str">
        <f>"450000 РЕСП БАШКОРТОСТАН   Г УФА   УЛ НЕЖЕНСКАЯ д. 11 корп. 1"</f>
        <v>450000 РЕСП БАШКОРТОСТАН   Г УФА   УЛ НЕЖЕНСКАЯ д. 11 корп. 1</v>
      </c>
      <c r="M1506" t="str">
        <f t="shared" si="250"/>
        <v>2019-08-24</v>
      </c>
      <c r="N1506" t="str">
        <f>"ОАО АК БНЗМ"</f>
        <v>ОАО АК БНЗМ</v>
      </c>
      <c r="O1506" t="str">
        <f>"450000"</f>
        <v>450000</v>
      </c>
      <c r="P1506" t="str">
        <f>"РЕСП БАШКОРТОСТАН"</f>
        <v>РЕСП БАШКОРТОСТАН</v>
      </c>
      <c r="Q1506" t="str">
        <f>""</f>
        <v/>
      </c>
      <c r="R1506" t="str">
        <f>"Г УФА"</f>
        <v>Г УФА</v>
      </c>
      <c r="S1506" t="str">
        <f>""</f>
        <v/>
      </c>
      <c r="T1506" t="str">
        <f>"УЛ Б.БИКБАЯ"</f>
        <v>УЛ Б.БИКБАЯ</v>
      </c>
      <c r="U1506" s="1" t="str">
        <f>"32"</f>
        <v>32</v>
      </c>
      <c r="V1506" s="1" t="str">
        <f>""</f>
        <v/>
      </c>
      <c r="W1506" s="1" t="str">
        <f>""</f>
        <v/>
      </c>
      <c r="X1506" s="1" t="str">
        <f>""</f>
        <v/>
      </c>
      <c r="Y1506" s="1" t="str">
        <f>"7"</f>
        <v>7</v>
      </c>
      <c r="Z1506" t="str">
        <f>"9871440049"</f>
        <v>9871440049</v>
      </c>
      <c r="AA1506" t="str">
        <f>"9178073402"</f>
        <v>9178073402</v>
      </c>
      <c r="AB1506" t="str">
        <f>"9871440049"</f>
        <v>9871440049</v>
      </c>
      <c r="AC1506" t="str">
        <f>"9178073402"</f>
        <v>9178073402</v>
      </c>
      <c r="AD1506" t="str">
        <f>"9871440049"</f>
        <v>9871440049</v>
      </c>
      <c r="AE1506" t="str">
        <f>"9871440049"</f>
        <v>9871440049</v>
      </c>
    </row>
    <row r="1507" spans="1:31" x14ac:dyDescent="0.45">
      <c r="A1507" t="str">
        <f>"ЦЫГАНКОВ ВЛАДИМИР АНДРЕЕВИЧ"</f>
        <v>ЦЫГАНКОВ ВЛАДИМИР АНДРЕЕВИЧ</v>
      </c>
      <c r="B1507" t="str">
        <f>"1965-08-17"</f>
        <v>1965-08-17</v>
      </c>
      <c r="C1507" t="str">
        <f>"65 11 089344"</f>
        <v>65 11 089344</v>
      </c>
      <c r="D1507" t="str">
        <f>"4279011652196745"</f>
        <v>4279011652196745</v>
      </c>
      <c r="E1507" t="str">
        <f t="shared" ref="E1507:E1528" si="257">"2021-05-31"</f>
        <v>2021-05-31</v>
      </c>
      <c r="F1507" t="str">
        <f t="shared" si="256"/>
        <v>+</v>
      </c>
      <c r="G1507" t="str">
        <f t="shared" si="256"/>
        <v>+</v>
      </c>
      <c r="H1507" t="str">
        <f>"40817810716991391389"</f>
        <v>40817810716991391389</v>
      </c>
      <c r="I1507" t="str">
        <f>"7003"</f>
        <v>7003</v>
      </c>
      <c r="J1507" t="str">
        <f>"0441"</f>
        <v>0441</v>
      </c>
      <c r="K1507" t="str">
        <f>"10000.00"</f>
        <v>10000.00</v>
      </c>
      <c r="L1507" t="str">
        <f>"620000 ОБЛ СВЕРДЛОВСКАЯ   Г ЕКАТЕРИНБУРГ   УЛ КИРОВА д. 28"</f>
        <v>620000 ОБЛ СВЕРДЛОВСКАЯ   Г ЕКАТЕРИНБУРГ   УЛ КИРОВА д. 28</v>
      </c>
      <c r="M1507" t="str">
        <f t="shared" si="250"/>
        <v>2019-08-24</v>
      </c>
      <c r="N1507" t="str">
        <f>"ООО АРТ НОВА"</f>
        <v>ООО АРТ НОВА</v>
      </c>
      <c r="O1507" t="str">
        <f>"620000"</f>
        <v>620000</v>
      </c>
      <c r="P1507" t="str">
        <f>"ОБЛ СВЕРДЛОВСКАЯ"</f>
        <v>ОБЛ СВЕРДЛОВСКАЯ</v>
      </c>
      <c r="Q1507" t="str">
        <f>""</f>
        <v/>
      </c>
      <c r="R1507" t="str">
        <f>"Г ЕКАТЕРИНБУРГ"</f>
        <v>Г ЕКАТЕРИНБУРГ</v>
      </c>
      <c r="S1507" t="str">
        <f>""</f>
        <v/>
      </c>
      <c r="T1507" t="str">
        <f>"УЛ КОПЕРНИКА"</f>
        <v>УЛ КОПЕРНИКА</v>
      </c>
      <c r="U1507" s="1" t="str">
        <f>"21"</f>
        <v>21</v>
      </c>
      <c r="V1507" s="1" t="str">
        <f>""</f>
        <v/>
      </c>
      <c r="W1507" s="1" t="str">
        <f>""</f>
        <v/>
      </c>
      <c r="X1507" s="1" t="str">
        <f>""</f>
        <v/>
      </c>
      <c r="Y1507" s="1" t="str">
        <f>""</f>
        <v/>
      </c>
      <c r="Z1507" t="str">
        <f>"9089194157"</f>
        <v>9089194157</v>
      </c>
      <c r="AA1507" t="str">
        <f>"9826266744"</f>
        <v>9826266744</v>
      </c>
      <c r="AB1507" t="str">
        <f>"9826266744"</f>
        <v>9826266744</v>
      </c>
      <c r="AC1507" t="str">
        <f>"9826266744"</f>
        <v>9826266744</v>
      </c>
      <c r="AD1507" t="str">
        <f>"9826266744"</f>
        <v>9826266744</v>
      </c>
      <c r="AE1507" t="str">
        <f>"9089194157"</f>
        <v>9089194157</v>
      </c>
    </row>
    <row r="1508" spans="1:31" x14ac:dyDescent="0.45">
      <c r="A1508" t="str">
        <f>"ШАНЬЯЗОВ ИШБУЛДЫ ХУСАИНОВИЧ"</f>
        <v>ШАНЬЯЗОВ ИШБУЛДЫ ХУСАИНОВИЧ</v>
      </c>
      <c r="B1508" t="str">
        <f>"1980-03-04"</f>
        <v>1980-03-04</v>
      </c>
      <c r="C1508" t="str">
        <f>"80 01 422378"</f>
        <v>80 01 422378</v>
      </c>
      <c r="D1508" t="str">
        <f>"4279011654835944"</f>
        <v>4279011654835944</v>
      </c>
      <c r="E1508" t="str">
        <f t="shared" si="257"/>
        <v>2021-05-31</v>
      </c>
      <c r="F1508" t="str">
        <f t="shared" si="256"/>
        <v>+</v>
      </c>
      <c r="G1508" t="str">
        <f t="shared" si="256"/>
        <v>+</v>
      </c>
      <c r="H1508" t="str">
        <f>"40817810416991391391"</f>
        <v>40817810416991391391</v>
      </c>
      <c r="I1508" t="str">
        <f>"8598"</f>
        <v>8598</v>
      </c>
      <c r="J1508" t="str">
        <f>"0713"</f>
        <v>0713</v>
      </c>
      <c r="K1508" t="str">
        <f>"54000.00"</f>
        <v>54000.00</v>
      </c>
      <c r="L1508" t="str">
        <f>"450000 РЕСП БАШКОРТОСТАН   Г УФА   УЛ ЛЕТЧИКОВ д. 1"</f>
        <v>450000 РЕСП БАШКОРТОСТАН   Г УФА   УЛ ЛЕТЧИКОВ д. 1</v>
      </c>
      <c r="M1508" t="str">
        <f t="shared" si="250"/>
        <v>2019-08-24</v>
      </c>
      <c r="N1508" t="str">
        <f>"ВОИНСКАЯ ЧАСТЬ №6795"</f>
        <v>ВОИНСКАЯ ЧАСТЬ №6795</v>
      </c>
      <c r="O1508" t="str">
        <f>"450000"</f>
        <v>450000</v>
      </c>
      <c r="P1508" t="str">
        <f>"РЕСП БАШКОРТОСТАН"</f>
        <v>РЕСП БАШКОРТОСТАН</v>
      </c>
      <c r="Q1508" t="str">
        <f>"Р-Н ИШИМБАЙСКИЙ"</f>
        <v>Р-Н ИШИМБАЙСКИЙ</v>
      </c>
      <c r="R1508" t="str">
        <f>""</f>
        <v/>
      </c>
      <c r="S1508" t="str">
        <f>"С НОВОАПТИКОВО"</f>
        <v>С НОВОАПТИКОВО</v>
      </c>
      <c r="T1508" t="str">
        <f>"УЛ ШКОЛЬНАЯ"</f>
        <v>УЛ ШКОЛЬНАЯ</v>
      </c>
      <c r="U1508" s="1" t="str">
        <f>"14"</f>
        <v>14</v>
      </c>
      <c r="V1508" s="1" t="str">
        <f>""</f>
        <v/>
      </c>
      <c r="W1508" s="1" t="str">
        <f>""</f>
        <v/>
      </c>
      <c r="X1508" s="1" t="str">
        <f>""</f>
        <v/>
      </c>
      <c r="Y1508" s="1" t="str">
        <f>""</f>
        <v/>
      </c>
      <c r="Z1508" t="str">
        <f>""</f>
        <v/>
      </c>
      <c r="AA1508" t="str">
        <f>"9870472194"</f>
        <v>9870472194</v>
      </c>
      <c r="AB1508" t="str">
        <f>"9870472194"</f>
        <v>9870472194</v>
      </c>
      <c r="AC1508" t="str">
        <f>"9870472194"</f>
        <v>9870472194</v>
      </c>
      <c r="AD1508" t="str">
        <f>"9870472194"</f>
        <v>9870472194</v>
      </c>
      <c r="AE1508" t="str">
        <f>""</f>
        <v/>
      </c>
    </row>
    <row r="1509" spans="1:31" x14ac:dyDescent="0.45">
      <c r="A1509" t="str">
        <f>"ШИЛО АНДРЕЙ АЛЕКСАНДРОВИЧ"</f>
        <v>ШИЛО АНДРЕЙ АЛЕКСАНДРОВИЧ</v>
      </c>
      <c r="B1509" t="str">
        <f>"1994-02-21"</f>
        <v>1994-02-21</v>
      </c>
      <c r="C1509" t="str">
        <f>"65 14 840636"</f>
        <v>65 14 840636</v>
      </c>
      <c r="D1509" t="str">
        <f>"4279011699233667"</f>
        <v>4279011699233667</v>
      </c>
      <c r="E1509" t="str">
        <f t="shared" si="257"/>
        <v>2021-05-31</v>
      </c>
      <c r="F1509" t="str">
        <f t="shared" si="256"/>
        <v>+</v>
      </c>
      <c r="G1509" t="str">
        <f t="shared" si="256"/>
        <v>+</v>
      </c>
      <c r="H1509" t="str">
        <f>"40817810716991391392"</f>
        <v>40817810716991391392</v>
      </c>
      <c r="I1509" t="str">
        <f>"7003"</f>
        <v>7003</v>
      </c>
      <c r="J1509" t="str">
        <f>"0734"</f>
        <v>0734</v>
      </c>
      <c r="K1509" t="str">
        <f>"61000.00"</f>
        <v>61000.00</v>
      </c>
      <c r="L1509" t="str">
        <f>"620000 ОБЛ СВЕРДЛОВСКАЯ   Г Н-ТАГИЛ   УЛ МЕТАЛУРГОВ"</f>
        <v>620000 ОБЛ СВЕРДЛОВСКАЯ   Г Н-ТАГИЛ   УЛ МЕТАЛУРГОВ</v>
      </c>
      <c r="M1509" t="str">
        <f t="shared" si="250"/>
        <v>2019-08-24</v>
      </c>
      <c r="N1509" t="str">
        <f>"НТМК"</f>
        <v>НТМК</v>
      </c>
      <c r="O1509" t="str">
        <f>"620000"</f>
        <v>620000</v>
      </c>
      <c r="P1509" t="str">
        <f>"ОБЛ СВЕРДЛОВСКАЯ"</f>
        <v>ОБЛ СВЕРДЛОВСКАЯ</v>
      </c>
      <c r="Q1509" t="str">
        <f>""</f>
        <v/>
      </c>
      <c r="R1509" t="str">
        <f>"Г Н-ТАГИЛ"</f>
        <v>Г Н-ТАГИЛ</v>
      </c>
      <c r="S1509" t="str">
        <f>""</f>
        <v/>
      </c>
      <c r="T1509" t="str">
        <f>"УЛ ЩОРСА"</f>
        <v>УЛ ЩОРСА</v>
      </c>
      <c r="U1509" s="1" t="str">
        <f>"22 А"</f>
        <v>22 А</v>
      </c>
      <c r="V1509" s="1" t="str">
        <f>""</f>
        <v/>
      </c>
      <c r="W1509" s="1" t="str">
        <f>""</f>
        <v/>
      </c>
      <c r="X1509" s="1" t="str">
        <f>""</f>
        <v/>
      </c>
      <c r="Y1509" s="1" t="str">
        <f>"45"</f>
        <v>45</v>
      </c>
      <c r="Z1509" t="str">
        <f>"9126153978"</f>
        <v>9126153978</v>
      </c>
      <c r="AA1509" t="str">
        <f>"9126153978"</f>
        <v>9126153978</v>
      </c>
      <c r="AB1509" t="str">
        <f>"9126153978"</f>
        <v>9126153978</v>
      </c>
      <c r="AC1509" t="str">
        <f>"9126153978"</f>
        <v>9126153978</v>
      </c>
      <c r="AD1509" t="str">
        <f>"9126153978"</f>
        <v>9126153978</v>
      </c>
      <c r="AE1509" t="str">
        <f>"9126153978"</f>
        <v>9126153978</v>
      </c>
    </row>
    <row r="1510" spans="1:31" x14ac:dyDescent="0.45">
      <c r="A1510" t="str">
        <f>"ИСАЕВА ЕЛЕНА СЕРГЕЕВНА"</f>
        <v>ИСАЕВА ЕЛЕНА СЕРГЕЕВНА</v>
      </c>
      <c r="B1510" t="str">
        <f>"1987-02-17"</f>
        <v>1987-02-17</v>
      </c>
      <c r="C1510" t="str">
        <f>"65 14 886253"</f>
        <v>65 14 886253</v>
      </c>
      <c r="D1510" t="str">
        <f>"4279011672891937"</f>
        <v>4279011672891937</v>
      </c>
      <c r="E1510" t="str">
        <f t="shared" si="257"/>
        <v>2021-05-31</v>
      </c>
      <c r="F1510" t="str">
        <f t="shared" si="256"/>
        <v>+</v>
      </c>
      <c r="G1510" t="str">
        <f t="shared" si="256"/>
        <v>+</v>
      </c>
      <c r="H1510" t="str">
        <f>"40817810016991391393"</f>
        <v>40817810016991391393</v>
      </c>
      <c r="I1510" t="str">
        <f>"7003"</f>
        <v>7003</v>
      </c>
      <c r="J1510" t="str">
        <f>"0763"</f>
        <v>0763</v>
      </c>
      <c r="K1510" t="str">
        <f>"50000.00"</f>
        <v>50000.00</v>
      </c>
      <c r="L1510" t="str">
        <f>"623850 ОБЛ СВЕРДЛОВСКАЯ   Г ИРБИТ   УЛ СОВЕТСКАЯ д. 79"</f>
        <v>623850 ОБЛ СВЕРДЛОВСКАЯ   Г ИРБИТ   УЛ СОВЕТСКАЯ д. 79</v>
      </c>
      <c r="M1510" t="str">
        <f t="shared" si="250"/>
        <v>2019-08-24</v>
      </c>
      <c r="N1510" t="str">
        <f>"АС БЕРО ПЛЮС"</f>
        <v>АС БЕРО ПЛЮС</v>
      </c>
      <c r="O1510" t="str">
        <f>"620000"</f>
        <v>620000</v>
      </c>
      <c r="P1510" t="str">
        <f>"ОБЛ СВЕРДЛОВСКАЯ"</f>
        <v>ОБЛ СВЕРДЛОВСКАЯ</v>
      </c>
      <c r="Q1510" t="str">
        <f>""</f>
        <v/>
      </c>
      <c r="R1510" t="str">
        <f>"Г ИРБИТ"</f>
        <v>Г ИРБИТ</v>
      </c>
      <c r="S1510" t="str">
        <f>""</f>
        <v/>
      </c>
      <c r="T1510" t="str">
        <f>"УЛ МОЛОДОЙ ГВАРДИИ"</f>
        <v>УЛ МОЛОДОЙ ГВАРДИИ</v>
      </c>
      <c r="U1510" s="1" t="str">
        <f>"2"</f>
        <v>2</v>
      </c>
      <c r="V1510" s="1" t="str">
        <f>""</f>
        <v/>
      </c>
      <c r="W1510" s="1" t="str">
        <f>""</f>
        <v/>
      </c>
      <c r="X1510" s="1" t="str">
        <f>""</f>
        <v/>
      </c>
      <c r="Y1510" s="1" t="str">
        <f>"5"</f>
        <v>5</v>
      </c>
      <c r="Z1510" t="str">
        <f>"3435569095"</f>
        <v>3435569095</v>
      </c>
      <c r="AA1510" t="str">
        <f>"9030791245"</f>
        <v>9030791245</v>
      </c>
      <c r="AB1510" t="str">
        <f>"9030791245"</f>
        <v>9030791245</v>
      </c>
      <c r="AC1510" t="str">
        <f>"9030791245"</f>
        <v>9030791245</v>
      </c>
      <c r="AD1510" t="str">
        <f>"9030791245"</f>
        <v>9030791245</v>
      </c>
      <c r="AE1510" t="str">
        <f>"3435569095"</f>
        <v>3435569095</v>
      </c>
    </row>
    <row r="1511" spans="1:31" x14ac:dyDescent="0.45">
      <c r="A1511" t="str">
        <f>"РЯБИНИН АЛЕКСАНДР АЛЕКСАНДРОВИЧ"</f>
        <v>РЯБИНИН АЛЕКСАНДР АЛЕКСАНДРОВИЧ</v>
      </c>
      <c r="B1511" t="str">
        <f>"1986-04-16"</f>
        <v>1986-04-16</v>
      </c>
      <c r="C1511" t="str">
        <f>"65 11 252547"</f>
        <v>65 11 252547</v>
      </c>
      <c r="D1511" t="str">
        <f>"4279011616651454"</f>
        <v>4279011616651454</v>
      </c>
      <c r="E1511" t="str">
        <f t="shared" si="257"/>
        <v>2021-05-31</v>
      </c>
      <c r="F1511" t="str">
        <f>"+"</f>
        <v>+</v>
      </c>
      <c r="G1511" t="str">
        <f>"W"</f>
        <v>W</v>
      </c>
      <c r="H1511" t="str">
        <f>"40817810316991391394"</f>
        <v>40817810316991391394</v>
      </c>
      <c r="I1511" t="str">
        <f>"7003"</f>
        <v>7003</v>
      </c>
      <c r="J1511" t="str">
        <f>"0435"</f>
        <v>0435</v>
      </c>
      <c r="K1511" t="str">
        <f>"65000.00"</f>
        <v>65000.00</v>
      </c>
      <c r="L1511" t="str">
        <f>"620000 ОБЛ СВЕРДЛОВСКАЯ   Г ЕКАТЕРИНБУРГ   УЛ КОНДУКТОРСКАЯ д. 6 кв. 74"</f>
        <v>620000 ОБЛ СВЕРДЛОВСКАЯ   Г ЕКАТЕРИНБУРГ   УЛ КОНДУКТОРСКАЯ д. 6 кв. 74</v>
      </c>
      <c r="M1511" t="str">
        <f t="shared" si="250"/>
        <v>2019-08-24</v>
      </c>
      <c r="N1511" t="s">
        <v>91</v>
      </c>
      <c r="O1511" t="str">
        <f>"620000"</f>
        <v>620000</v>
      </c>
      <c r="P1511" t="str">
        <f>"ОБЛ СВЕРДЛОВСКАЯ"</f>
        <v>ОБЛ СВЕРДЛОВСКАЯ</v>
      </c>
      <c r="Q1511" t="str">
        <f>""</f>
        <v/>
      </c>
      <c r="R1511" t="str">
        <f>"Г ЕКАТЕРИНБУРГ"</f>
        <v>Г ЕКАТЕРИНБУРГ</v>
      </c>
      <c r="S1511" t="str">
        <f>""</f>
        <v/>
      </c>
      <c r="T1511" t="str">
        <f>"УЛ КОНДУКТОРСКАЯ"</f>
        <v>УЛ КОНДУКТОРСКАЯ</v>
      </c>
      <c r="U1511" s="1" t="str">
        <f>"6"</f>
        <v>6</v>
      </c>
      <c r="V1511" s="1" t="str">
        <f>""</f>
        <v/>
      </c>
      <c r="W1511" s="1" t="str">
        <f>""</f>
        <v/>
      </c>
      <c r="X1511" s="1" t="str">
        <f>""</f>
        <v/>
      </c>
      <c r="Y1511" s="1" t="str">
        <f>"74"</f>
        <v>74</v>
      </c>
      <c r="Z1511" t="str">
        <f>""</f>
        <v/>
      </c>
      <c r="AA1511" t="str">
        <f>"89961819185"</f>
        <v>89961819185</v>
      </c>
      <c r="AB1511" t="str">
        <f>"9028791030"</f>
        <v>9028791030</v>
      </c>
      <c r="AC1511" t="str">
        <f>"9028791030"</f>
        <v>9028791030</v>
      </c>
      <c r="AD1511" t="str">
        <f>"9028791030"</f>
        <v>9028791030</v>
      </c>
      <c r="AE1511" t="str">
        <f>""</f>
        <v/>
      </c>
    </row>
    <row r="1512" spans="1:31" x14ac:dyDescent="0.45">
      <c r="A1512" t="str">
        <f>"ПРОСАЛОВ ИВАН ВЛАДИМИРОВИЧ"</f>
        <v>ПРОСАЛОВ ИВАН ВЛАДИМИРОВИЧ</v>
      </c>
      <c r="B1512" t="str">
        <f>"1992-10-20"</f>
        <v>1992-10-20</v>
      </c>
      <c r="C1512" t="str">
        <f>"37 13 534236"</f>
        <v>37 13 534236</v>
      </c>
      <c r="D1512" t="str">
        <f>"4279011627049474"</f>
        <v>4279011627049474</v>
      </c>
      <c r="E1512" t="str">
        <f t="shared" si="257"/>
        <v>2021-05-31</v>
      </c>
      <c r="F1512" t="str">
        <f>"+"</f>
        <v>+</v>
      </c>
      <c r="G1512" t="str">
        <f>"W"</f>
        <v>W</v>
      </c>
      <c r="H1512" t="str">
        <f>"40817810116991391484"</f>
        <v>40817810116991391484</v>
      </c>
      <c r="I1512" t="str">
        <f>"8599"</f>
        <v>8599</v>
      </c>
      <c r="J1512" t="str">
        <f>"0074"</f>
        <v>0074</v>
      </c>
      <c r="K1512" t="str">
        <f>"94000.00"</f>
        <v>94000.00</v>
      </c>
      <c r="L1512" t="str">
        <f>"641000 ОБЛ КУРГАНСКАЯ   Г КУРГАН   УЛ КИРОВА д. 117"</f>
        <v>641000 ОБЛ КУРГАНСКАЯ   Г КУРГАН   УЛ КИРОВА д. 117</v>
      </c>
      <c r="M1512" t="str">
        <f t="shared" si="250"/>
        <v>2019-08-24</v>
      </c>
      <c r="N1512" t="str">
        <f>"ООО РЖД"</f>
        <v>ООО РЖД</v>
      </c>
      <c r="O1512" t="str">
        <f>"641000"</f>
        <v>641000</v>
      </c>
      <c r="P1512" t="str">
        <f>"ОБЛ КУРГАНСКАЯ"</f>
        <v>ОБЛ КУРГАНСКАЯ</v>
      </c>
      <c r="Q1512" t="str">
        <f>""</f>
        <v/>
      </c>
      <c r="R1512" t="str">
        <f>"Г КУРГАН"</f>
        <v>Г КУРГАН</v>
      </c>
      <c r="S1512" t="str">
        <f>""</f>
        <v/>
      </c>
      <c r="T1512" t="str">
        <f>"УЛ КИРОВА"</f>
        <v>УЛ КИРОВА</v>
      </c>
      <c r="U1512" s="1" t="str">
        <f>"109"</f>
        <v>109</v>
      </c>
      <c r="V1512" s="1" t="str">
        <f>""</f>
        <v/>
      </c>
      <c r="W1512" s="1" t="str">
        <f>""</f>
        <v/>
      </c>
      <c r="X1512" s="1" t="str">
        <f>""</f>
        <v/>
      </c>
      <c r="Y1512" s="1" t="str">
        <f>"57"</f>
        <v>57</v>
      </c>
      <c r="Z1512" t="str">
        <f>""</f>
        <v/>
      </c>
      <c r="AA1512" t="str">
        <f>""</f>
        <v/>
      </c>
      <c r="AB1512" t="str">
        <f>"+7 (912) 5246964"</f>
        <v>+7 (912) 5246964</v>
      </c>
      <c r="AC1512" t="str">
        <f>"3522492219"</f>
        <v>3522492219</v>
      </c>
      <c r="AD1512" t="str">
        <f>"9091468260"</f>
        <v>9091468260</v>
      </c>
      <c r="AE1512" t="str">
        <f>""</f>
        <v/>
      </c>
    </row>
    <row r="1513" spans="1:31" x14ac:dyDescent="0.45">
      <c r="A1513" t="str">
        <f>"КАЛИМЬЯНОВА АЛЬФИЯ АКМАТБЕКОВНА"</f>
        <v>КАЛИМЬЯНОВА АЛЬФИЯ АКМАТБЕКОВНА</v>
      </c>
      <c r="B1513" t="str">
        <f>"1988-03-20"</f>
        <v>1988-03-20</v>
      </c>
      <c r="C1513" t="str">
        <f>"80 12 614162"</f>
        <v>80 12 614162</v>
      </c>
      <c r="D1513" t="str">
        <f>"4279011634967064"</f>
        <v>4279011634967064</v>
      </c>
      <c r="E1513" t="str">
        <f t="shared" si="257"/>
        <v>2021-05-31</v>
      </c>
      <c r="F1513" t="str">
        <f>"+"</f>
        <v>+</v>
      </c>
      <c r="G1513" t="str">
        <f>"+"</f>
        <v>+</v>
      </c>
      <c r="H1513" t="str">
        <f>"40817810316991391491"</f>
        <v>40817810316991391491</v>
      </c>
      <c r="I1513" t="str">
        <f>"8598"</f>
        <v>8598</v>
      </c>
      <c r="J1513" t="str">
        <f>"0155"</f>
        <v>0155</v>
      </c>
      <c r="K1513" t="str">
        <f>"87000.00"</f>
        <v>87000.00</v>
      </c>
      <c r="L1513" t="str">
        <f>"450000 РЕСП БАШКОРТОСТАН   Г УФА   УЛ МЕНДЕЛЕЕВА д. 137"</f>
        <v>450000 РЕСП БАШКОРТОСТАН   Г УФА   УЛ МЕНДЕЛЕЕВА д. 137</v>
      </c>
      <c r="M1513" t="str">
        <f t="shared" si="250"/>
        <v>2019-08-24</v>
      </c>
      <c r="N1513" t="str">
        <f>"ООО СПОРТ МАСТЕР"</f>
        <v>ООО СПОРТ МАСТЕР</v>
      </c>
      <c r="O1513" t="str">
        <f>"450000"</f>
        <v>450000</v>
      </c>
      <c r="P1513" t="str">
        <f>"РЕСП БАШКОРТОСТАН"</f>
        <v>РЕСП БАШКОРТОСТАН</v>
      </c>
      <c r="Q1513" t="str">
        <f>""</f>
        <v/>
      </c>
      <c r="R1513" t="str">
        <f>"Г УФА"</f>
        <v>Г УФА</v>
      </c>
      <c r="S1513" t="str">
        <f>""</f>
        <v/>
      </c>
      <c r="T1513" t="str">
        <f>"УЛ САГИТА АГИША"</f>
        <v>УЛ САГИТА АГИША</v>
      </c>
      <c r="U1513" s="1" t="str">
        <f>"26"</f>
        <v>26</v>
      </c>
      <c r="V1513" s="1" t="str">
        <f>""</f>
        <v/>
      </c>
      <c r="W1513" s="1" t="str">
        <f>""</f>
        <v/>
      </c>
      <c r="X1513" s="1" t="str">
        <f>""</f>
        <v/>
      </c>
      <c r="Y1513" s="1" t="str">
        <f>"31"</f>
        <v>31</v>
      </c>
      <c r="Z1513" t="str">
        <f>""</f>
        <v/>
      </c>
      <c r="AA1513" t="str">
        <f>"+7 (962) 5256686"</f>
        <v>+7 (962) 5256686</v>
      </c>
      <c r="AB1513" t="str">
        <f>"+7 (917) 4623117"</f>
        <v>+7 (917) 4623117</v>
      </c>
      <c r="AC1513" t="str">
        <f>"9625256686"</f>
        <v>9625256686</v>
      </c>
      <c r="AD1513" t="str">
        <f>"9625256686"</f>
        <v>9625256686</v>
      </c>
      <c r="AE1513" t="str">
        <f>""</f>
        <v/>
      </c>
    </row>
    <row r="1514" spans="1:31" x14ac:dyDescent="0.45">
      <c r="A1514" t="str">
        <f>"ЧЕТВЕРИКОВ АНДРЕЙ ВИКТОРОВИЧ"</f>
        <v>ЧЕТВЕРИКОВ АНДРЕЙ ВИКТОРОВИЧ</v>
      </c>
      <c r="B1514" t="str">
        <f>"1991-01-11"</f>
        <v>1991-01-11</v>
      </c>
      <c r="C1514" t="str">
        <f>"65 17 515370"</f>
        <v>65 17 515370</v>
      </c>
      <c r="D1514" t="str">
        <f>"4279011697043621"</f>
        <v>4279011697043621</v>
      </c>
      <c r="E1514" t="str">
        <f t="shared" si="257"/>
        <v>2021-05-31</v>
      </c>
      <c r="F1514" t="str">
        <f>"+"</f>
        <v>+</v>
      </c>
      <c r="G1514" t="str">
        <f>"+"</f>
        <v>+</v>
      </c>
      <c r="H1514" t="str">
        <f>"40817810316991391488"</f>
        <v>40817810316991391488</v>
      </c>
      <c r="I1514" t="str">
        <f>"7003"</f>
        <v>7003</v>
      </c>
      <c r="J1514" t="str">
        <f>"0445"</f>
        <v>0445</v>
      </c>
      <c r="K1514" t="str">
        <f>"45000.00"</f>
        <v>45000.00</v>
      </c>
      <c r="L1514" t="str">
        <f>"620000 ОБЛ СВЕРДЛОВСКАЯ   Г ЕКАТЕРИНБУРГ   УЛ 8 МАРТА д. 205 офис 320"</f>
        <v>620000 ОБЛ СВЕРДЛОВСКАЯ   Г ЕКАТЕРИНБУРГ   УЛ 8 МАРТА д. 205 офис 320</v>
      </c>
      <c r="M1514" t="str">
        <f t="shared" si="250"/>
        <v>2019-08-24</v>
      </c>
      <c r="N1514" t="str">
        <f>"ТК СНАБ"</f>
        <v>ТК СНАБ</v>
      </c>
      <c r="O1514" t="str">
        <f>"620000"</f>
        <v>620000</v>
      </c>
      <c r="P1514" t="str">
        <f>"ОБЛ СВЕРДЛОВСКАЯ"</f>
        <v>ОБЛ СВЕРДЛОВСКАЯ</v>
      </c>
      <c r="Q1514" t="str">
        <f>""</f>
        <v/>
      </c>
      <c r="R1514" t="str">
        <f>"Г ЕКАТЕРИНБУРГ"</f>
        <v>Г ЕКАТЕРИНБУРГ</v>
      </c>
      <c r="S1514" t="str">
        <f>""</f>
        <v/>
      </c>
      <c r="T1514" t="str">
        <f>"УЛ СОФЬИ ПЕРОВСКОЙ"</f>
        <v>УЛ СОФЬИ ПЕРОВСКОЙ</v>
      </c>
      <c r="U1514" s="1" t="str">
        <f>"107"</f>
        <v>107</v>
      </c>
      <c r="V1514" s="1" t="str">
        <f>""</f>
        <v/>
      </c>
      <c r="W1514" s="1" t="str">
        <f>""</f>
        <v/>
      </c>
      <c r="X1514" s="1" t="str">
        <f>""</f>
        <v/>
      </c>
      <c r="Y1514" s="1" t="str">
        <f>"1"</f>
        <v>1</v>
      </c>
      <c r="Z1514" t="str">
        <f>""</f>
        <v/>
      </c>
      <c r="AA1514" t="str">
        <f>"9826565656"</f>
        <v>9826565656</v>
      </c>
      <c r="AB1514" t="str">
        <f>"9826565656"</f>
        <v>9826565656</v>
      </c>
      <c r="AC1514" t="str">
        <f>"9826565656"</f>
        <v>9826565656</v>
      </c>
      <c r="AD1514" t="str">
        <f>"9826565656"</f>
        <v>9826565656</v>
      </c>
      <c r="AE1514" t="str">
        <f>""</f>
        <v/>
      </c>
    </row>
    <row r="1515" spans="1:31" x14ac:dyDescent="0.45">
      <c r="A1515" t="str">
        <f>"ХУЖИН РЕНАТ САЛИХЖАНОВИЧ"</f>
        <v>ХУЖИН РЕНАТ САЛИХЖАНОВИЧ</v>
      </c>
      <c r="B1515" t="str">
        <f>"1975-07-13"</f>
        <v>1975-07-13</v>
      </c>
      <c r="C1515" t="str">
        <f>"75 12 225976"</f>
        <v>75 12 225976</v>
      </c>
      <c r="D1515" t="str">
        <f>"4279011638392780"</f>
        <v>4279011638392780</v>
      </c>
      <c r="E1515" t="str">
        <f t="shared" si="257"/>
        <v>2021-05-31</v>
      </c>
      <c r="F1515" t="str">
        <f>"+"</f>
        <v>+</v>
      </c>
      <c r="G1515" t="str">
        <f>"+"</f>
        <v>+</v>
      </c>
      <c r="H1515" t="str">
        <f>"40817810816991391496"</f>
        <v>40817810816991391496</v>
      </c>
      <c r="I1515" t="str">
        <f>"8597"</f>
        <v>8597</v>
      </c>
      <c r="J1515" t="str">
        <f>"0243"</f>
        <v>0243</v>
      </c>
      <c r="K1515" t="str">
        <f>"55000.00"</f>
        <v>55000.00</v>
      </c>
      <c r="L1515" t="str">
        <f>"454000 ОБЛ ЧЕЛЯБИНСКАЯ   Г ЧЕЛЯБИНСК   УЛ ГЕРОЕВ ТАНКОГРАДА д. 80П"</f>
        <v>454000 ОБЛ ЧЕЛЯБИНСКАЯ   Г ЧЕЛЯБИНСК   УЛ ГЕРОЕВ ТАНКОГРАДА д. 80П</v>
      </c>
      <c r="M1515" t="str">
        <f t="shared" si="250"/>
        <v>2019-08-24</v>
      </c>
      <c r="N1515" t="str">
        <f>"АО ЧЭМК"</f>
        <v>АО ЧЭМК</v>
      </c>
      <c r="O1515" t="str">
        <f>"456503"</f>
        <v>456503</v>
      </c>
      <c r="P1515" t="str">
        <f>"ОБЛ ЧЕЛЯБИНСКАЯ"</f>
        <v>ОБЛ ЧЕЛЯБИНСКАЯ</v>
      </c>
      <c r="Q1515" t="str">
        <f>"Р-Н СОСНОВСКИЙ"</f>
        <v>Р-Н СОСНОВСКИЙ</v>
      </c>
      <c r="R1515" t="str">
        <f>""</f>
        <v/>
      </c>
      <c r="S1515" t="str">
        <f>"Д ЧИШМА"</f>
        <v>Д ЧИШМА</v>
      </c>
      <c r="T1515" t="str">
        <f>"УЛ ГАГАРИНА"</f>
        <v>УЛ ГАГАРИНА</v>
      </c>
      <c r="U1515" s="1" t="str">
        <f>"18"</f>
        <v>18</v>
      </c>
      <c r="V1515" s="1" t="str">
        <f>""</f>
        <v/>
      </c>
      <c r="W1515" s="1" t="str">
        <f>""</f>
        <v/>
      </c>
      <c r="X1515" s="1" t="str">
        <f>""</f>
        <v/>
      </c>
      <c r="Y1515" s="1" t="str">
        <f>""</f>
        <v/>
      </c>
      <c r="Z1515" t="str">
        <f>"9823219331"</f>
        <v>9823219331</v>
      </c>
      <c r="AA1515" t="str">
        <f>"9123096234"</f>
        <v>9123096234</v>
      </c>
      <c r="AB1515" t="str">
        <f>"9193065402"</f>
        <v>9193065402</v>
      </c>
      <c r="AC1515" t="str">
        <f>"9123096234"</f>
        <v>9123096234</v>
      </c>
      <c r="AD1515" t="str">
        <f>"9193065402"</f>
        <v>9193065402</v>
      </c>
      <c r="AE1515" t="str">
        <f>"9823219331"</f>
        <v>9823219331</v>
      </c>
    </row>
    <row r="1516" spans="1:31" x14ac:dyDescent="0.45">
      <c r="A1516" t="str">
        <f>"ГУСТОВА ЛАРИСА НИКОЛАЕВНА"</f>
        <v>ГУСТОВА ЛАРИСА НИКОЛАЕВНА</v>
      </c>
      <c r="B1516" t="str">
        <f>"1982-08-10"</f>
        <v>1982-08-10</v>
      </c>
      <c r="C1516" t="str">
        <f>"80 05 277245"</f>
        <v>80 05 277245</v>
      </c>
      <c r="D1516" t="str">
        <f>"4279011627616165"</f>
        <v>4279011627616165</v>
      </c>
      <c r="E1516" t="str">
        <f t="shared" si="257"/>
        <v>2021-05-31</v>
      </c>
      <c r="F1516" t="str">
        <f>"Q"</f>
        <v>Q</v>
      </c>
      <c r="G1516" t="str">
        <f>"Q"</f>
        <v>Q</v>
      </c>
      <c r="H1516" t="str">
        <f>"40817810916991391503"</f>
        <v>40817810916991391503</v>
      </c>
      <c r="I1516" t="str">
        <f>"8598"</f>
        <v>8598</v>
      </c>
      <c r="J1516" t="str">
        <f>"0781"</f>
        <v>0781</v>
      </c>
      <c r="K1516" t="str">
        <f>"0.00"</f>
        <v>0.00</v>
      </c>
      <c r="L1516" t="str">
        <f>"450000 РЕСП БАШКОРТОСТАН   Г НЕФТЕКАМСК   УЛ ПАРКОВАЯ д. 6 стр. Д"</f>
        <v>450000 РЕСП БАШКОРТОСТАН   Г НЕФТЕКАМСК   УЛ ПАРКОВАЯ д. 6 стр. Д</v>
      </c>
      <c r="M1516" t="str">
        <f t="shared" si="250"/>
        <v>2019-08-24</v>
      </c>
      <c r="N1516" t="str">
        <f>"ГАЗПРОМ МЕЖРЕГИОНГАЗ"</f>
        <v>ГАЗПРОМ МЕЖРЕГИОНГАЗ</v>
      </c>
      <c r="O1516" t="str">
        <f>"450000"</f>
        <v>450000</v>
      </c>
      <c r="P1516" t="str">
        <f>"РЕСП БАШКОРТОСТАН"</f>
        <v>РЕСП БАШКОРТОСТАН</v>
      </c>
      <c r="Q1516" t="str">
        <f>""</f>
        <v/>
      </c>
      <c r="R1516" t="str">
        <f>"Г НЕФТЕКАМСК"</f>
        <v>Г НЕФТЕКАМСК</v>
      </c>
      <c r="S1516" t="str">
        <f>""</f>
        <v/>
      </c>
      <c r="T1516" t="str">
        <f>"ПР-КТ КОМСОМОЛЬСКИЙ"</f>
        <v>ПР-КТ КОМСОМОЛЬСКИЙ</v>
      </c>
      <c r="U1516" s="1" t="str">
        <f>"68"</f>
        <v>68</v>
      </c>
      <c r="V1516" s="1" t="str">
        <f>""</f>
        <v/>
      </c>
      <c r="W1516" s="1" t="str">
        <f>""</f>
        <v/>
      </c>
      <c r="X1516" s="1" t="str">
        <f>""</f>
        <v/>
      </c>
      <c r="Y1516" s="1" t="str">
        <f>"52"</f>
        <v>52</v>
      </c>
      <c r="Z1516" t="str">
        <f>"9177384071"</f>
        <v>9177384071</v>
      </c>
      <c r="AA1516" t="str">
        <f>"3478391039"</f>
        <v>3478391039</v>
      </c>
      <c r="AB1516" t="str">
        <f>"9177384071"</f>
        <v>9177384071</v>
      </c>
      <c r="AC1516" t="str">
        <f>"9177384071"</f>
        <v>9177384071</v>
      </c>
      <c r="AD1516" t="str">
        <f>"9177384071"</f>
        <v>9177384071</v>
      </c>
      <c r="AE1516" t="str">
        <f>"9177384071"</f>
        <v>9177384071</v>
      </c>
    </row>
    <row r="1517" spans="1:31" x14ac:dyDescent="0.45">
      <c r="A1517" t="str">
        <f>"ПЕТРОВА ВАЛЕНТИНА МИХАЙЛОВНА"</f>
        <v>ПЕТРОВА ВАЛЕНТИНА МИХАЙЛОВНА</v>
      </c>
      <c r="B1517" t="str">
        <f>"1979-03-13"</f>
        <v>1979-03-13</v>
      </c>
      <c r="C1517" t="str">
        <f>"37 99 042648"</f>
        <v>37 99 042648</v>
      </c>
      <c r="D1517" t="str">
        <f>"4279011640665603"</f>
        <v>4279011640665603</v>
      </c>
      <c r="E1517" t="str">
        <f t="shared" si="257"/>
        <v>2021-05-31</v>
      </c>
      <c r="F1517" t="str">
        <f>"+"</f>
        <v>+</v>
      </c>
      <c r="G1517" t="str">
        <f>"+"</f>
        <v>+</v>
      </c>
      <c r="H1517" t="str">
        <f>"40817810616991391670"</f>
        <v>40817810616991391670</v>
      </c>
      <c r="I1517" t="str">
        <f>"8599"</f>
        <v>8599</v>
      </c>
      <c r="J1517" t="str">
        <f>"0081"</f>
        <v>0081</v>
      </c>
      <c r="K1517" t="str">
        <f>"20000.00"</f>
        <v>20000.00</v>
      </c>
      <c r="L1517" t="str">
        <f>"641000 ОБЛ КУРГАНСКАЯ   Г КУРГАН   УЛ ДЗЕРЖИНСКОГО д. 30"</f>
        <v>641000 ОБЛ КУРГАНСКАЯ   Г КУРГАН   УЛ ДЗЕРЖИНСКОГО д. 30</v>
      </c>
      <c r="M1517" t="str">
        <f t="shared" si="250"/>
        <v>2019-08-24</v>
      </c>
      <c r="N1517" t="str">
        <f>"ИП КРАСНИКОВА НВ"</f>
        <v>ИП КРАСНИКОВА НВ</v>
      </c>
      <c r="O1517" t="str">
        <f>"641000"</f>
        <v>641000</v>
      </c>
      <c r="P1517" t="str">
        <f>"ОБЛ КУРГАНСКАЯ"</f>
        <v>ОБЛ КУРГАНСКАЯ</v>
      </c>
      <c r="Q1517" t="str">
        <f>""</f>
        <v/>
      </c>
      <c r="R1517" t="str">
        <f>"Г КУРГАН"</f>
        <v>Г КУРГАН</v>
      </c>
      <c r="S1517" t="str">
        <f>""</f>
        <v/>
      </c>
      <c r="T1517" t="str">
        <f>"УЛ ДЗЕРЖИНСКОГО"</f>
        <v>УЛ ДЗЕРЖИНСКОГО</v>
      </c>
      <c r="U1517" s="1" t="str">
        <f>"29"</f>
        <v>29</v>
      </c>
      <c r="V1517" s="1" t="str">
        <f>"А"</f>
        <v>А</v>
      </c>
      <c r="W1517" s="1" t="str">
        <f>""</f>
        <v/>
      </c>
      <c r="X1517" s="1" t="str">
        <f>""</f>
        <v/>
      </c>
      <c r="Y1517" s="1" t="str">
        <f>"9"</f>
        <v>9</v>
      </c>
      <c r="Z1517" t="str">
        <f>""</f>
        <v/>
      </c>
      <c r="AA1517" t="str">
        <f>"9058512310"</f>
        <v>9058512310</v>
      </c>
      <c r="AB1517" t="str">
        <f>"9058512310"</f>
        <v>9058512310</v>
      </c>
      <c r="AC1517" t="str">
        <f>"9512658340"</f>
        <v>9512658340</v>
      </c>
      <c r="AD1517" t="str">
        <f>"9058512310"</f>
        <v>9058512310</v>
      </c>
      <c r="AE1517" t="str">
        <f>""</f>
        <v/>
      </c>
    </row>
    <row r="1518" spans="1:31" x14ac:dyDescent="0.45">
      <c r="A1518" t="str">
        <f>"БУРЕНИНА ОЛЬГА МИХАЙЛОВНА"</f>
        <v>БУРЕНИНА ОЛЬГА МИХАЙЛОВНА</v>
      </c>
      <c r="B1518" t="str">
        <f>"1962-06-27"</f>
        <v>1962-06-27</v>
      </c>
      <c r="C1518" t="str">
        <f>"80 07 321366"</f>
        <v>80 07 321366</v>
      </c>
      <c r="D1518" t="str">
        <f>"4279011673841766"</f>
        <v>4279011673841766</v>
      </c>
      <c r="E1518" t="str">
        <f t="shared" si="257"/>
        <v>2021-05-31</v>
      </c>
      <c r="F1518" t="str">
        <f>"+"</f>
        <v>+</v>
      </c>
      <c r="G1518" t="str">
        <f>"+"</f>
        <v>+</v>
      </c>
      <c r="H1518" t="str">
        <f>"40817810716991391648"</f>
        <v>40817810716991391648</v>
      </c>
      <c r="I1518" t="str">
        <f>"8598"</f>
        <v>8598</v>
      </c>
      <c r="J1518" t="str">
        <f>"0130"</f>
        <v>0130</v>
      </c>
      <c r="K1518" t="str">
        <f>"13000.00"</f>
        <v>13000.00</v>
      </c>
      <c r="L1518" t="str">
        <f>"450000 РЕСП БАШКОРТОСТАН   Г УФА   УЛ РОССИЙСКАЯ д. 157 корп. 2"</f>
        <v>450000 РЕСП БАШКОРТОСТАН   Г УФА   УЛ РОССИЙСКАЯ д. 157 корп. 2</v>
      </c>
      <c r="M1518" t="str">
        <f t="shared" si="250"/>
        <v>2019-08-24</v>
      </c>
      <c r="N1518" t="str">
        <f>"МУП УФА ВОДОКАНАЛ"</f>
        <v>МУП УФА ВОДОКАНАЛ</v>
      </c>
      <c r="O1518" t="str">
        <f>"450000"</f>
        <v>450000</v>
      </c>
      <c r="P1518" t="str">
        <f>"РЕСП БАШКОРТОСТАН"</f>
        <v>РЕСП БАШКОРТОСТАН</v>
      </c>
      <c r="Q1518" t="str">
        <f>""</f>
        <v/>
      </c>
      <c r="R1518" t="str">
        <f>"Г УФА"</f>
        <v>Г УФА</v>
      </c>
      <c r="S1518" t="str">
        <f>""</f>
        <v/>
      </c>
      <c r="T1518" t="str">
        <f>"УЛ КУСТАРЕВО"</f>
        <v>УЛ КУСТАРЕВО</v>
      </c>
      <c r="U1518" s="1" t="str">
        <f>"70"</f>
        <v>70</v>
      </c>
      <c r="V1518" s="1" t="str">
        <f>""</f>
        <v/>
      </c>
      <c r="W1518" s="1" t="str">
        <f>""</f>
        <v/>
      </c>
      <c r="X1518" s="1" t="str">
        <f>""</f>
        <v/>
      </c>
      <c r="Y1518" s="1" t="str">
        <f>""</f>
        <v/>
      </c>
      <c r="Z1518" t="str">
        <f>""</f>
        <v/>
      </c>
      <c r="AA1518" t="str">
        <f>"9053535508"</f>
        <v>9053535508</v>
      </c>
      <c r="AB1518" t="str">
        <f>"9053535508"</f>
        <v>9053535508</v>
      </c>
      <c r="AC1518" t="str">
        <f>"9273493699"</f>
        <v>9273493699</v>
      </c>
      <c r="AD1518" t="str">
        <f>"9053535508"</f>
        <v>9053535508</v>
      </c>
      <c r="AE1518" t="str">
        <f>""</f>
        <v/>
      </c>
    </row>
    <row r="1519" spans="1:31" x14ac:dyDescent="0.45">
      <c r="A1519" t="str">
        <f>"ИСАКОВА АЛЕКСАНДРА ЕВГЕНЬЕВНА"</f>
        <v>ИСАКОВА АЛЕКСАНДРА ЕВГЕНЬЕВНА</v>
      </c>
      <c r="B1519" t="str">
        <f>"1990-11-03"</f>
        <v>1990-11-03</v>
      </c>
      <c r="C1519" t="str">
        <f>"80 11 376676"</f>
        <v>80 11 376676</v>
      </c>
      <c r="D1519" t="str">
        <f>"4279011640211101"</f>
        <v>4279011640211101</v>
      </c>
      <c r="E1519" t="str">
        <f t="shared" si="257"/>
        <v>2021-05-31</v>
      </c>
      <c r="F1519" t="str">
        <f>"K"</f>
        <v>K</v>
      </c>
      <c r="G1519" t="str">
        <f>"+"</f>
        <v>+</v>
      </c>
      <c r="H1519" t="str">
        <f>"40817810016991391649"</f>
        <v>40817810016991391649</v>
      </c>
      <c r="I1519" t="str">
        <f>"8598"</f>
        <v>8598</v>
      </c>
      <c r="J1519" t="str">
        <f>"0217"</f>
        <v>0217</v>
      </c>
      <c r="K1519" t="str">
        <f>"10000.00"</f>
        <v>10000.00</v>
      </c>
      <c r="L1519" t="str">
        <f>"450000 РЕСП БАШКОРТОСТАН   Г УФА   УЛ ФЕРИНА д. 8 кв. 170"</f>
        <v>450000 РЕСП БАШКОРТОСТАН   Г УФА   УЛ ФЕРИНА д. 8 кв. 170</v>
      </c>
      <c r="M1519" t="str">
        <f t="shared" si="250"/>
        <v>2019-08-24</v>
      </c>
      <c r="N1519" t="str">
        <f>"ДОМОХОЗЙЯКА"</f>
        <v>ДОМОХОЗЙЯКА</v>
      </c>
      <c r="O1519" t="str">
        <f>"450000"</f>
        <v>450000</v>
      </c>
      <c r="P1519" t="str">
        <f>"РЕСП БАШКОРТОСТАН"</f>
        <v>РЕСП БАШКОРТОСТАН</v>
      </c>
      <c r="Q1519" t="str">
        <f>""</f>
        <v/>
      </c>
      <c r="R1519" t="str">
        <f>"Г УФА"</f>
        <v>Г УФА</v>
      </c>
      <c r="S1519" t="str">
        <f>""</f>
        <v/>
      </c>
      <c r="T1519" t="str">
        <f>"УЛ ФЕРИНА"</f>
        <v>УЛ ФЕРИНА</v>
      </c>
      <c r="U1519" s="1" t="str">
        <f>"8"</f>
        <v>8</v>
      </c>
      <c r="V1519" s="1" t="str">
        <f>""</f>
        <v/>
      </c>
      <c r="W1519" s="1" t="str">
        <f>""</f>
        <v/>
      </c>
      <c r="X1519" s="1" t="str">
        <f>""</f>
        <v/>
      </c>
      <c r="Y1519" s="1" t="str">
        <f>"170"</f>
        <v>170</v>
      </c>
      <c r="Z1519" t="str">
        <f>"+7 (917) 7360013"</f>
        <v>+7 (917) 7360013</v>
      </c>
      <c r="AA1519" t="str">
        <f>"+7 (917) 7360013"</f>
        <v>+7 (917) 7360013</v>
      </c>
      <c r="AB1519" t="str">
        <f>"+7 (917) 7360013"</f>
        <v>+7 (917) 7360013</v>
      </c>
      <c r="AC1519" t="str">
        <f>"9177360013"</f>
        <v>9177360013</v>
      </c>
      <c r="AD1519" t="str">
        <f>"9177360013"</f>
        <v>9177360013</v>
      </c>
      <c r="AE1519" t="str">
        <f>"9177360013"</f>
        <v>9177360013</v>
      </c>
    </row>
    <row r="1520" spans="1:31" x14ac:dyDescent="0.45">
      <c r="A1520" t="str">
        <f>"СБРОДОВ АНТОН АЛЕКСАНДРОВИЧ"</f>
        <v>СБРОДОВ АНТОН АЛЕКСАНДРОВИЧ</v>
      </c>
      <c r="B1520" t="str">
        <f>"1986-10-01"</f>
        <v>1986-10-01</v>
      </c>
      <c r="C1520" t="str">
        <f>"37 06 156702"</f>
        <v>37 06 156702</v>
      </c>
      <c r="D1520" t="str">
        <f>"4279011617601284"</f>
        <v>4279011617601284</v>
      </c>
      <c r="E1520" t="str">
        <f t="shared" si="257"/>
        <v>2021-05-31</v>
      </c>
      <c r="F1520" t="str">
        <f t="shared" ref="F1520:G1531" si="258">"+"</f>
        <v>+</v>
      </c>
      <c r="G1520" t="str">
        <f>"+"</f>
        <v>+</v>
      </c>
      <c r="H1520" t="str">
        <f>"40817810816991391645"</f>
        <v>40817810816991391645</v>
      </c>
      <c r="I1520" t="str">
        <f>"8599"</f>
        <v>8599</v>
      </c>
      <c r="J1520" t="str">
        <f>"0081"</f>
        <v>0081</v>
      </c>
      <c r="K1520" t="str">
        <f>"310000.00"</f>
        <v>310000.00</v>
      </c>
      <c r="L1520" t="str">
        <f>"641000 ОБЛ КУРГАНСКАЯ   Г КУРГАН   МКР 6 д. 20"</f>
        <v>641000 ОБЛ КУРГАНСКАЯ   Г КУРГАН   МКР 6 д. 20</v>
      </c>
      <c r="M1520" t="str">
        <f t="shared" si="250"/>
        <v>2019-08-24</v>
      </c>
      <c r="N1520" t="str">
        <f>"ООО АНТИДА"</f>
        <v>ООО АНТИДА</v>
      </c>
      <c r="O1520" t="str">
        <f>"641000"</f>
        <v>641000</v>
      </c>
      <c r="P1520" t="str">
        <f>"ОБЛ КУРГАНСКАЯ"</f>
        <v>ОБЛ КУРГАНСКАЯ</v>
      </c>
      <c r="Q1520" t="str">
        <f>"Р-Н КЕТОВСКИЙ"</f>
        <v>Р-Н КЕТОВСКИЙ</v>
      </c>
      <c r="R1520" t="str">
        <f>""</f>
        <v/>
      </c>
      <c r="S1520" t="str">
        <f>"ДП БЕРЕЗОВАЯ РОЩА"</f>
        <v>ДП БЕРЕЗОВАЯ РОЩА</v>
      </c>
      <c r="T1520" t="str">
        <f>"УЧ-К 226"</f>
        <v>УЧ-К 226</v>
      </c>
      <c r="U1520" s="1" t="str">
        <f>""</f>
        <v/>
      </c>
      <c r="V1520" s="1" t="str">
        <f>""</f>
        <v/>
      </c>
      <c r="W1520" s="1" t="str">
        <f>""</f>
        <v/>
      </c>
      <c r="X1520" s="1" t="str">
        <f>""</f>
        <v/>
      </c>
      <c r="Y1520" s="1" t="str">
        <f>""</f>
        <v/>
      </c>
      <c r="Z1520" t="str">
        <f>""</f>
        <v/>
      </c>
      <c r="AA1520" t="str">
        <f>"3522446419"</f>
        <v>3522446419</v>
      </c>
      <c r="AB1520" t="str">
        <f>"9195995999"</f>
        <v>9195995999</v>
      </c>
      <c r="AC1520" t="str">
        <f>"9003791999"</f>
        <v>9003791999</v>
      </c>
      <c r="AD1520" t="str">
        <f>"9195995999"</f>
        <v>9195995999</v>
      </c>
      <c r="AE1520" t="str">
        <f>""</f>
        <v/>
      </c>
    </row>
    <row r="1521" spans="1:31" x14ac:dyDescent="0.45">
      <c r="A1521" t="str">
        <f>"ЗАГУМЕННАЯ НАТАЛЬЯ АЛЕКСАНДРОВНА"</f>
        <v>ЗАГУМЕННАЯ НАТАЛЬЯ АЛЕКСАНДРОВНА</v>
      </c>
      <c r="B1521" t="str">
        <f>"1984-06-26"</f>
        <v>1984-06-26</v>
      </c>
      <c r="C1521" t="str">
        <f>"75 04 550236"</f>
        <v>75 04 550236</v>
      </c>
      <c r="D1521" t="str">
        <f>"4279011661212483"</f>
        <v>4279011661212483</v>
      </c>
      <c r="E1521" t="str">
        <f t="shared" si="257"/>
        <v>2021-05-31</v>
      </c>
      <c r="F1521" t="str">
        <f t="shared" si="258"/>
        <v>+</v>
      </c>
      <c r="G1521" t="str">
        <f>"+"</f>
        <v>+</v>
      </c>
      <c r="H1521" t="str">
        <f>"40817810316991391666"</f>
        <v>40817810316991391666</v>
      </c>
      <c r="I1521" t="str">
        <f>"8597"</f>
        <v>8597</v>
      </c>
      <c r="J1521" t="str">
        <f>"0540"</f>
        <v>0540</v>
      </c>
      <c r="K1521" t="str">
        <f>"64000.00"</f>
        <v>64000.00</v>
      </c>
      <c r="L1521" t="str">
        <f>"456440 ОБЛ ЧЕЛЯБИНСКАЯ     С КУНДРАВЫ УЛ БОЛЬНИЧНАЯ д. 9"</f>
        <v>456440 ОБЛ ЧЕЛЯБИНСКАЯ     С КУНДРАВЫ УЛ БОЛЬНИЧНАЯ д. 9</v>
      </c>
      <c r="M1521" t="str">
        <f t="shared" si="250"/>
        <v>2019-08-24</v>
      </c>
      <c r="N1521" t="str">
        <f>"КУНДРАВИНСКАЯ УЧАСТКОВАЯ БОЛЬНИЦА"</f>
        <v>КУНДРАВИНСКАЯ УЧАСТКОВАЯ БОЛЬНИЦА</v>
      </c>
      <c r="O1521" t="str">
        <f>"456440"</f>
        <v>456440</v>
      </c>
      <c r="P1521" t="str">
        <f>"ОБЛ ЧЕЛЯБИНСКАЯ"</f>
        <v>ОБЛ ЧЕЛЯБИНСКАЯ</v>
      </c>
      <c r="Q1521" t="str">
        <f>""</f>
        <v/>
      </c>
      <c r="R1521" t="str">
        <f>""</f>
        <v/>
      </c>
      <c r="S1521" t="str">
        <f>"С САРАФАНОВО"</f>
        <v>С САРАФАНОВО</v>
      </c>
      <c r="T1521" t="str">
        <f>"УЛ МИЧУРИНА"</f>
        <v>УЛ МИЧУРИНА</v>
      </c>
      <c r="U1521" s="1" t="str">
        <f>"29"</f>
        <v>29</v>
      </c>
      <c r="V1521" s="1" t="str">
        <f>""</f>
        <v/>
      </c>
      <c r="W1521" s="1" t="str">
        <f>""</f>
        <v/>
      </c>
      <c r="X1521" s="1" t="str">
        <f>""</f>
        <v/>
      </c>
      <c r="Y1521" s="1" t="str">
        <f>"1"</f>
        <v>1</v>
      </c>
      <c r="Z1521" t="str">
        <f>"+7 (35168) 42334"</f>
        <v>+7 (35168) 42334</v>
      </c>
      <c r="AA1521" t="str">
        <f>"+7 (950) 7380671"</f>
        <v>+7 (950) 7380671</v>
      </c>
      <c r="AB1521" t="str">
        <f>"+7 (950) 7380671"</f>
        <v>+7 (950) 7380671</v>
      </c>
      <c r="AC1521" t="str">
        <f>"9507380671"</f>
        <v>9507380671</v>
      </c>
      <c r="AD1521" t="str">
        <f>"9507380671"</f>
        <v>9507380671</v>
      </c>
      <c r="AE1521" t="str">
        <f>""</f>
        <v/>
      </c>
    </row>
    <row r="1522" spans="1:31" x14ac:dyDescent="0.45">
      <c r="A1522" t="str">
        <f>"ХОРТОВ АНТОН АЛЕКСАНДРОВИЧ"</f>
        <v>ХОРТОВ АНТОН АЛЕКСАНДРОВИЧ</v>
      </c>
      <c r="B1522" t="str">
        <f>"1991-10-26"</f>
        <v>1991-10-26</v>
      </c>
      <c r="C1522" t="str">
        <f>"75 12 058929"</f>
        <v>75 12 058929</v>
      </c>
      <c r="D1522" t="str">
        <f>"4279011661360795"</f>
        <v>4279011661360795</v>
      </c>
      <c r="E1522" t="str">
        <f t="shared" si="257"/>
        <v>2021-05-31</v>
      </c>
      <c r="F1522" t="str">
        <f t="shared" si="258"/>
        <v>+</v>
      </c>
      <c r="G1522" t="str">
        <f>"W"</f>
        <v>W</v>
      </c>
      <c r="H1522" t="str">
        <f>"40817810116991391659"</f>
        <v>40817810116991391659</v>
      </c>
      <c r="I1522" t="str">
        <f>"8597"</f>
        <v>8597</v>
      </c>
      <c r="J1522" t="str">
        <f>"0548"</f>
        <v>0548</v>
      </c>
      <c r="K1522" t="str">
        <f>"264994.09"</f>
        <v>264994.09</v>
      </c>
      <c r="L1522" t="str">
        <f>"454000 ОБЛ ЧЕЛЯБИНСКАЯ   Г ЧЕБАРКУЛЬ   УЛ СТАНЦИОННАЯ д. 49Г"</f>
        <v>454000 ОБЛ ЧЕЛЯБИНСКАЯ   Г ЧЕБАРКУЛЬ   УЛ СТАНЦИОННАЯ д. 49Г</v>
      </c>
      <c r="M1522" t="str">
        <f t="shared" si="250"/>
        <v>2019-08-24</v>
      </c>
      <c r="N1522" t="str">
        <f>"ООО АВРОРА"</f>
        <v>ООО АВРОРА</v>
      </c>
      <c r="O1522" t="str">
        <f>"454000"</f>
        <v>454000</v>
      </c>
      <c r="P1522" t="str">
        <f>"ОБЛ ЧЕЛЯБИНСКАЯ"</f>
        <v>ОБЛ ЧЕЛЯБИНСКАЯ</v>
      </c>
      <c r="Q1522" t="str">
        <f>""</f>
        <v/>
      </c>
      <c r="R1522" t="str">
        <f>"Г ЧЕБАРКУЛЬ"</f>
        <v>Г ЧЕБАРКУЛЬ</v>
      </c>
      <c r="S1522" t="str">
        <f>""</f>
        <v/>
      </c>
      <c r="T1522" t="str">
        <f>"УЛ КАШИРИНА"</f>
        <v>УЛ КАШИРИНА</v>
      </c>
      <c r="U1522" s="1" t="str">
        <f>"24"</f>
        <v>24</v>
      </c>
      <c r="V1522" s="1" t="str">
        <f>""</f>
        <v/>
      </c>
      <c r="W1522" s="1" t="str">
        <f>""</f>
        <v/>
      </c>
      <c r="X1522" s="1" t="str">
        <f>""</f>
        <v/>
      </c>
      <c r="Y1522" s="1" t="str">
        <f>"2"</f>
        <v>2</v>
      </c>
      <c r="Z1522" t="str">
        <f>""</f>
        <v/>
      </c>
      <c r="AA1522" t="str">
        <f>"9193346184"</f>
        <v>9193346184</v>
      </c>
      <c r="AB1522" t="str">
        <f>"9085842129"</f>
        <v>9085842129</v>
      </c>
      <c r="AC1522" t="str">
        <f>"9193346184"</f>
        <v>9193346184</v>
      </c>
      <c r="AD1522" t="str">
        <f>"9085842129"</f>
        <v>9085842129</v>
      </c>
      <c r="AE1522" t="str">
        <f>""</f>
        <v/>
      </c>
    </row>
    <row r="1523" spans="1:31" x14ac:dyDescent="0.45">
      <c r="A1523" t="str">
        <f>"АНИСИМОВ АЛЕКСАНДР ВИКТОРОВИЧ"</f>
        <v>АНИСИМОВ АЛЕКСАНДР ВИКТОРОВИЧ</v>
      </c>
      <c r="B1523" t="str">
        <f>"1985-08-02"</f>
        <v>1985-08-02</v>
      </c>
      <c r="C1523" t="str">
        <f>"80 06 148016"</f>
        <v>80 06 148016</v>
      </c>
      <c r="D1523" t="str">
        <f>"4279011638934680"</f>
        <v>4279011638934680</v>
      </c>
      <c r="E1523" t="str">
        <f t="shared" si="257"/>
        <v>2021-05-31</v>
      </c>
      <c r="F1523" t="str">
        <f t="shared" si="258"/>
        <v>+</v>
      </c>
      <c r="G1523" t="str">
        <f t="shared" si="258"/>
        <v>+</v>
      </c>
      <c r="H1523" t="str">
        <f>"40817810116991391662"</f>
        <v>40817810116991391662</v>
      </c>
      <c r="I1523" t="str">
        <f>"8598"</f>
        <v>8598</v>
      </c>
      <c r="J1523" t="str">
        <f>"0479"</f>
        <v>0479</v>
      </c>
      <c r="K1523" t="str">
        <f>"200000.00"</f>
        <v>200000.00</v>
      </c>
      <c r="L1523" t="str">
        <f>"450000 РЕСП БАШКОРТОСТАН Р-Н БЕЛЕБЕЕВСКИЙ   РП ПРИЮТОВО УЛ КОМСОМОЛЬСКАЯ д. 1"</f>
        <v>450000 РЕСП БАШКОРТОСТАН Р-Н БЕЛЕБЕЕВСКИЙ   РП ПРИЮТОВО УЛ КОМСОМОЛЬСКАЯ д. 1</v>
      </c>
      <c r="M1523" t="str">
        <f t="shared" si="250"/>
        <v>2019-08-24</v>
      </c>
      <c r="N1523" t="str">
        <f>"ООО РН СЕРВИС"</f>
        <v>ООО РН СЕРВИС</v>
      </c>
      <c r="O1523" t="str">
        <f>"450000"</f>
        <v>450000</v>
      </c>
      <c r="P1523" t="str">
        <f>"РЕСП БАШКОРТОСТАН"</f>
        <v>РЕСП БАШКОРТОСТАН</v>
      </c>
      <c r="Q1523" t="str">
        <f>"Р-Н БЕЛЕБЕЕВСКИЙ"</f>
        <v>Р-Н БЕЛЕБЕЕВСКИЙ</v>
      </c>
      <c r="R1523" t="str">
        <f>"РП ПРИЮТОВО"</f>
        <v>РП ПРИЮТОВО</v>
      </c>
      <c r="S1523" t="str">
        <f>""</f>
        <v/>
      </c>
      <c r="T1523" t="str">
        <f>"УЛ СВЕРДЛОВА"</f>
        <v>УЛ СВЕРДЛОВА</v>
      </c>
      <c r="U1523" s="1" t="str">
        <f>"1"</f>
        <v>1</v>
      </c>
      <c r="V1523" s="1" t="str">
        <f>""</f>
        <v/>
      </c>
      <c r="W1523" s="1" t="str">
        <f>"А"</f>
        <v>А</v>
      </c>
      <c r="X1523" s="1" t="str">
        <f>""</f>
        <v/>
      </c>
      <c r="Y1523" s="1" t="str">
        <f>"62"</f>
        <v>62</v>
      </c>
      <c r="Z1523" t="str">
        <f>"3478671691"</f>
        <v>3478671691</v>
      </c>
      <c r="AA1523" t="str">
        <f>"9178042591"</f>
        <v>9178042591</v>
      </c>
      <c r="AB1523" t="str">
        <f>"9178042591"</f>
        <v>9178042591</v>
      </c>
      <c r="AC1523" t="str">
        <f>"9178042591"</f>
        <v>9178042591</v>
      </c>
      <c r="AD1523" t="str">
        <f>"9178042591"</f>
        <v>9178042591</v>
      </c>
      <c r="AE1523" t="str">
        <f>""</f>
        <v/>
      </c>
    </row>
    <row r="1524" spans="1:31" x14ac:dyDescent="0.45">
      <c r="A1524" t="str">
        <f>"ШАКИРОВА ОЛЬГА ЮРЬЕВНА"</f>
        <v>ШАКИРОВА ОЛЬГА ЮРЬЕВНА</v>
      </c>
      <c r="B1524" t="str">
        <f>"1991-03-29"</f>
        <v>1991-03-29</v>
      </c>
      <c r="C1524" t="str">
        <f>"80 14 938951"</f>
        <v>80 14 938951</v>
      </c>
      <c r="D1524" t="str">
        <f>"4276011694685278"</f>
        <v>4276011694685278</v>
      </c>
      <c r="E1524" t="str">
        <f t="shared" si="257"/>
        <v>2021-05-31</v>
      </c>
      <c r="F1524" t="str">
        <f t="shared" si="258"/>
        <v>+</v>
      </c>
      <c r="G1524" t="str">
        <f t="shared" si="258"/>
        <v>+</v>
      </c>
      <c r="H1524" t="str">
        <f>"40817810616991391654"</f>
        <v>40817810616991391654</v>
      </c>
      <c r="I1524" t="str">
        <f>"8598"</f>
        <v>8598</v>
      </c>
      <c r="J1524" t="str">
        <f>"0790"</f>
        <v>0790</v>
      </c>
      <c r="K1524" t="str">
        <f>"50000.00"</f>
        <v>50000.00</v>
      </c>
      <c r="L1524" t="str">
        <f>"450000 РЕСП БАШКОРТОСТАН   Г БЕПЕБЕЙ   УЛ КРАСНАЯ д. 124"</f>
        <v>450000 РЕСП БАШКОРТОСТАН   Г БЕПЕБЕЙ   УЛ КРАСНАЯ д. 124</v>
      </c>
      <c r="M1524" t="str">
        <f t="shared" si="250"/>
        <v>2019-08-24</v>
      </c>
      <c r="N1524" t="str">
        <f>"ООО ЛОМБАДР 555"</f>
        <v>ООО ЛОМБАДР 555</v>
      </c>
      <c r="O1524" t="str">
        <f>"450000"</f>
        <v>450000</v>
      </c>
      <c r="P1524" t="str">
        <f>"РЕСП БАШКОРТОСТАН"</f>
        <v>РЕСП БАШКОРТОСТАН</v>
      </c>
      <c r="Q1524" t="str">
        <f>""</f>
        <v/>
      </c>
      <c r="R1524" t="str">
        <f>"Г БЕЛЕБЕЙ"</f>
        <v>Г БЕЛЕБЕЙ</v>
      </c>
      <c r="S1524" t="str">
        <f>""</f>
        <v/>
      </c>
      <c r="T1524" t="str">
        <f>"УЛ РЕВОЛЮЦИОНЕРОВ"</f>
        <v>УЛ РЕВОЛЮЦИОНЕРОВ</v>
      </c>
      <c r="U1524" s="1" t="str">
        <f>"38"</f>
        <v>38</v>
      </c>
      <c r="V1524" s="1" t="str">
        <f>""</f>
        <v/>
      </c>
      <c r="W1524" s="1" t="str">
        <f>""</f>
        <v/>
      </c>
      <c r="X1524" s="1" t="str">
        <f>""</f>
        <v/>
      </c>
      <c r="Y1524" s="1" t="str">
        <f>"42"</f>
        <v>42</v>
      </c>
      <c r="Z1524" t="str">
        <f>""</f>
        <v/>
      </c>
      <c r="AA1524" t="str">
        <f>"9196124877"</f>
        <v>9196124877</v>
      </c>
      <c r="AB1524" t="str">
        <f>"9196124877"</f>
        <v>9196124877</v>
      </c>
      <c r="AC1524" t="str">
        <f>"9196131682"</f>
        <v>9196131682</v>
      </c>
      <c r="AD1524" t="str">
        <f>"9196131682"</f>
        <v>9196131682</v>
      </c>
      <c r="AE1524" t="str">
        <f>""</f>
        <v/>
      </c>
    </row>
    <row r="1525" spans="1:31" x14ac:dyDescent="0.45">
      <c r="A1525" t="str">
        <f>"БАБИНА МАРИЯ АЛЕКСЕЕВНА"</f>
        <v>БАБИНА МАРИЯ АЛЕКСЕЕВНА</v>
      </c>
      <c r="B1525" t="str">
        <f>"1982-07-10"</f>
        <v>1982-07-10</v>
      </c>
      <c r="C1525" t="str">
        <f>"80 12 700938"</f>
        <v>80 12 700938</v>
      </c>
      <c r="D1525" t="str">
        <f>"4279011697324476"</f>
        <v>4279011697324476</v>
      </c>
      <c r="E1525" t="str">
        <f t="shared" si="257"/>
        <v>2021-05-31</v>
      </c>
      <c r="F1525" t="str">
        <f t="shared" si="258"/>
        <v>+</v>
      </c>
      <c r="G1525" t="str">
        <f t="shared" si="258"/>
        <v>+</v>
      </c>
      <c r="H1525" t="str">
        <f>"40817810916991391668"</f>
        <v>40817810916991391668</v>
      </c>
      <c r="I1525" t="str">
        <f>"8598"</f>
        <v>8598</v>
      </c>
      <c r="J1525" t="str">
        <f>"0765"</f>
        <v>0765</v>
      </c>
      <c r="K1525" t="str">
        <f>"125000.00"</f>
        <v>125000.00</v>
      </c>
      <c r="L1525" t="str">
        <f>"450000 РЕСП БАШКОРТОСТАН Р-Н КУЮРГАЗИНСКИЙ   Д НОВАЯ ОТРАДА УЛ НОВООТРАДИНСКАЯ д. 59"</f>
        <v>450000 РЕСП БАШКОРТОСТАН Р-Н КУЮРГАЗИНСКИЙ   Д НОВАЯ ОТРАДА УЛ НОВООТРАДИНСКАЯ д. 59</v>
      </c>
      <c r="M1525" t="str">
        <f t="shared" si="250"/>
        <v>2019-08-24</v>
      </c>
      <c r="N1525" t="str">
        <f>"ДОМОХОЗЯЙКА"</f>
        <v>ДОМОХОЗЯЙКА</v>
      </c>
      <c r="O1525" t="str">
        <f>"450000"</f>
        <v>450000</v>
      </c>
      <c r="P1525" t="str">
        <f>"РЕСП БАШКОРТОСТАН"</f>
        <v>РЕСП БАШКОРТОСТАН</v>
      </c>
      <c r="Q1525" t="str">
        <f>"Р-Н КУЮРГАЗИНСКИЙ"</f>
        <v>Р-Н КУЮРГАЗИНСКИЙ</v>
      </c>
      <c r="R1525" t="str">
        <f>""</f>
        <v/>
      </c>
      <c r="S1525" t="str">
        <f>"Д НОВАЯ ОТРАДА"</f>
        <v>Д НОВАЯ ОТРАДА</v>
      </c>
      <c r="T1525" t="str">
        <f>"УЛ НОВООТРАДИНСКАЯ"</f>
        <v>УЛ НОВООТРАДИНСКАЯ</v>
      </c>
      <c r="U1525" s="1" t="str">
        <f>"59"</f>
        <v>59</v>
      </c>
      <c r="V1525" s="1" t="str">
        <f>""</f>
        <v/>
      </c>
      <c r="W1525" s="1" t="str">
        <f>""</f>
        <v/>
      </c>
      <c r="X1525" s="1" t="str">
        <f>""</f>
        <v/>
      </c>
      <c r="Y1525" s="1" t="str">
        <f>""</f>
        <v/>
      </c>
      <c r="Z1525" t="str">
        <f>""</f>
        <v/>
      </c>
      <c r="AA1525" t="str">
        <f>"9871459049"</f>
        <v>9871459049</v>
      </c>
      <c r="AB1525" t="str">
        <f>"9871459049"</f>
        <v>9871459049</v>
      </c>
      <c r="AC1525" t="str">
        <f>"9871459049"</f>
        <v>9871459049</v>
      </c>
      <c r="AD1525" t="str">
        <f>"9871459049"</f>
        <v>9871459049</v>
      </c>
      <c r="AE1525" t="str">
        <f>""</f>
        <v/>
      </c>
    </row>
    <row r="1526" spans="1:31" x14ac:dyDescent="0.45">
      <c r="A1526" t="str">
        <f>"ТАЙМАЗОВА ОЛЬГА МАГОМЕДОВНА"</f>
        <v>ТАЙМАЗОВА ОЛЬГА МАГОМЕДОВНА</v>
      </c>
      <c r="B1526" t="str">
        <f>"1982-12-02"</f>
        <v>1982-12-02</v>
      </c>
      <c r="C1526" t="str">
        <f>"80 04 030288"</f>
        <v>80 04 030288</v>
      </c>
      <c r="D1526" t="str">
        <f>"4279011671769266"</f>
        <v>4279011671769266</v>
      </c>
      <c r="E1526" t="str">
        <f t="shared" si="257"/>
        <v>2021-05-31</v>
      </c>
      <c r="F1526" t="str">
        <f t="shared" si="258"/>
        <v>+</v>
      </c>
      <c r="G1526" t="str">
        <f t="shared" si="258"/>
        <v>+</v>
      </c>
      <c r="H1526" t="str">
        <f>"40817810716991391651"</f>
        <v>40817810716991391651</v>
      </c>
      <c r="I1526" t="str">
        <f>"8598"</f>
        <v>8598</v>
      </c>
      <c r="J1526" t="str">
        <f>"0434"</f>
        <v>0434</v>
      </c>
      <c r="K1526" t="str">
        <f>"200000.00"</f>
        <v>200000.00</v>
      </c>
      <c r="L1526" t="str">
        <f>"450000 РЕСП БАШКОРТОСТАН   Г УФА   УЛ ПАРХОМЕНКО д. 156 стр. 3 офис 802"</f>
        <v>450000 РЕСП БАШКОРТОСТАН   Г УФА   УЛ ПАРХОМЕНКО д. 156 стр. 3 офис 802</v>
      </c>
      <c r="M1526" t="str">
        <f t="shared" si="250"/>
        <v>2019-08-24</v>
      </c>
      <c r="N1526" t="str">
        <f>"ООО АЙНЬЮС"</f>
        <v>ООО АЙНЬЮС</v>
      </c>
      <c r="O1526" t="str">
        <f>"450000"</f>
        <v>450000</v>
      </c>
      <c r="P1526" t="str">
        <f>"РЕСП БАШКОРТОСТАН"</f>
        <v>РЕСП БАШКОРТОСТАН</v>
      </c>
      <c r="Q1526" t="str">
        <f>""</f>
        <v/>
      </c>
      <c r="R1526" t="str">
        <f>"Г ДАВЛЕКАНОВО"</f>
        <v>Г ДАВЛЕКАНОВО</v>
      </c>
      <c r="S1526" t="str">
        <f>""</f>
        <v/>
      </c>
      <c r="T1526" t="str">
        <f>"УЛ СТРОИТЕЛЬНАЯ"</f>
        <v>УЛ СТРОИТЕЛЬНАЯ</v>
      </c>
      <c r="U1526" s="1" t="str">
        <f>"6"</f>
        <v>6</v>
      </c>
      <c r="V1526" s="1" t="str">
        <f>""</f>
        <v/>
      </c>
      <c r="W1526" s="1" t="str">
        <f>""</f>
        <v/>
      </c>
      <c r="X1526" s="1" t="str">
        <f>""</f>
        <v/>
      </c>
      <c r="Y1526" s="1" t="str">
        <f>"1"</f>
        <v>1</v>
      </c>
      <c r="Z1526" t="str">
        <f>""</f>
        <v/>
      </c>
      <c r="AA1526" t="str">
        <f>"9177999788"</f>
        <v>9177999788</v>
      </c>
      <c r="AB1526" t="str">
        <f>"9177999788"</f>
        <v>9177999788</v>
      </c>
      <c r="AC1526" t="str">
        <f>"9177999788"</f>
        <v>9177999788</v>
      </c>
      <c r="AD1526" t="str">
        <f>"9177999788"</f>
        <v>9177999788</v>
      </c>
      <c r="AE1526" t="str">
        <f>""</f>
        <v/>
      </c>
    </row>
    <row r="1527" spans="1:31" x14ac:dyDescent="0.45">
      <c r="A1527" t="str">
        <f>"ГРИДИН СЕРГЕЙ ВИКТОРОВИЧ"</f>
        <v>ГРИДИН СЕРГЕЙ ВИКТОРОВИЧ</v>
      </c>
      <c r="B1527" t="str">
        <f>"1965-04-03"</f>
        <v>1965-04-03</v>
      </c>
      <c r="C1527" t="str">
        <f>"75 09 688227"</f>
        <v>75 09 688227</v>
      </c>
      <c r="D1527" t="str">
        <f>"4279011684695185"</f>
        <v>4279011684695185</v>
      </c>
      <c r="E1527" t="str">
        <f t="shared" si="257"/>
        <v>2021-05-31</v>
      </c>
      <c r="F1527" t="str">
        <f t="shared" si="258"/>
        <v>+</v>
      </c>
      <c r="G1527" t="str">
        <f t="shared" si="258"/>
        <v>+</v>
      </c>
      <c r="H1527" t="str">
        <f>"40817810816991391674"</f>
        <v>40817810816991391674</v>
      </c>
      <c r="I1527" t="str">
        <f>"8597"</f>
        <v>8597</v>
      </c>
      <c r="J1527" t="str">
        <f>"0533"</f>
        <v>0533</v>
      </c>
      <c r="K1527" t="str">
        <f>"370000.00"</f>
        <v>370000.00</v>
      </c>
      <c r="L1527" t="str">
        <f>"454000 ОБЛ ЧЕЛЯБИНСКАЯ   Г МИАСС   Ш ТУРГОЯКСКОЕ д. 1"</f>
        <v>454000 ОБЛ ЧЕЛЯБИНСКАЯ   Г МИАСС   Ш ТУРГОЯКСКОЕ д. 1</v>
      </c>
      <c r="M1527" t="str">
        <f t="shared" si="250"/>
        <v>2019-08-24</v>
      </c>
      <c r="N1527" t="str">
        <f>"ГРЦ МАКЕЕВА"</f>
        <v>ГРЦ МАКЕЕВА</v>
      </c>
      <c r="O1527" t="str">
        <f>"454000"</f>
        <v>454000</v>
      </c>
      <c r="P1527" t="str">
        <f>"ОБЛ ЧЕЛЯБИНСКАЯ"</f>
        <v>ОБЛ ЧЕЛЯБИНСКАЯ</v>
      </c>
      <c r="Q1527" t="str">
        <f>""</f>
        <v/>
      </c>
      <c r="R1527" t="str">
        <f>"Г МИАСС"</f>
        <v>Г МИАСС</v>
      </c>
      <c r="S1527" t="str">
        <f>""</f>
        <v/>
      </c>
      <c r="T1527" t="str">
        <f>"УЛ ВЕРНАДСКОГО"</f>
        <v>УЛ ВЕРНАДСКОГО</v>
      </c>
      <c r="U1527" s="1" t="str">
        <f>"54"</f>
        <v>54</v>
      </c>
      <c r="V1527" s="1" t="str">
        <f>""</f>
        <v/>
      </c>
      <c r="W1527" s="1" t="str">
        <f>""</f>
        <v/>
      </c>
      <c r="X1527" s="1" t="str">
        <f>""</f>
        <v/>
      </c>
      <c r="Y1527" s="1" t="str">
        <f>"5"</f>
        <v>5</v>
      </c>
      <c r="Z1527" t="str">
        <f>"3513288579"</f>
        <v>3513288579</v>
      </c>
      <c r="AA1527" t="str">
        <f>"3513527127"</f>
        <v>3513527127</v>
      </c>
      <c r="AB1527" t="str">
        <f>"9514668078"</f>
        <v>9514668078</v>
      </c>
      <c r="AC1527" t="str">
        <f>"9514668078"</f>
        <v>9514668078</v>
      </c>
      <c r="AD1527" t="str">
        <f>"9514668078"</f>
        <v>9514668078</v>
      </c>
      <c r="AE1527" t="str">
        <f>""</f>
        <v/>
      </c>
    </row>
    <row r="1528" spans="1:31" x14ac:dyDescent="0.45">
      <c r="A1528" t="str">
        <f>"ЧЕРВО ЕЛЕНА ВЛАДИМИРОВНА"</f>
        <v>ЧЕРВО ЕЛЕНА ВЛАДИМИРОВНА</v>
      </c>
      <c r="B1528" t="str">
        <f>"1978-05-15"</f>
        <v>1978-05-15</v>
      </c>
      <c r="C1528" t="str">
        <f>"80 17 668026"</f>
        <v>80 17 668026</v>
      </c>
      <c r="D1528" t="str">
        <f>"4279011663055591"</f>
        <v>4279011663055591</v>
      </c>
      <c r="E1528" t="str">
        <f t="shared" si="257"/>
        <v>2021-05-31</v>
      </c>
      <c r="F1528" t="str">
        <f t="shared" si="258"/>
        <v>+</v>
      </c>
      <c r="G1528" t="str">
        <f t="shared" si="258"/>
        <v>+</v>
      </c>
      <c r="H1528" t="str">
        <f>"40817810416991391676"</f>
        <v>40817810416991391676</v>
      </c>
      <c r="I1528" t="str">
        <f>"8598"</f>
        <v>8598</v>
      </c>
      <c r="J1528" t="str">
        <f>"0449"</f>
        <v>0449</v>
      </c>
      <c r="K1528" t="str">
        <f>"20000.00"</f>
        <v>20000.00</v>
      </c>
      <c r="L1528" t="str">
        <f>"450000 РЕСП БАШКОРТОСТАН Р-Н ЧИШМИНСКИЙ Г УФА   УЛ ПРИВОКЗАЛЬНАЯ д. 3"</f>
        <v>450000 РЕСП БАШКОРТОСТАН Р-Н ЧИШМИНСКИЙ Г УФА   УЛ ПРИВОКЗАЛЬНАЯ д. 3</v>
      </c>
      <c r="M1528" t="str">
        <f t="shared" si="250"/>
        <v>2019-08-24</v>
      </c>
      <c r="N1528" t="str">
        <f>"ОСП УФИМСКИЙ МСЦ РБ"</f>
        <v>ОСП УФИМСКИЙ МСЦ РБ</v>
      </c>
      <c r="O1528" t="str">
        <f>"450000"</f>
        <v>450000</v>
      </c>
      <c r="P1528" t="str">
        <f>"РЕСП БАШКОРТОСТАН"</f>
        <v>РЕСП БАШКОРТОСТАН</v>
      </c>
      <c r="Q1528" t="str">
        <f>"Р-Н ЧИШМИНСКИЙ"</f>
        <v>Р-Н ЧИШМИНСКИЙ</v>
      </c>
      <c r="R1528" t="str">
        <f>""</f>
        <v/>
      </c>
      <c r="S1528" t="str">
        <f>"РП ЧИШМЫ"</f>
        <v>РП ЧИШМЫ</v>
      </c>
      <c r="T1528" t="str">
        <f>"УЛ ТОПОЛИНАЯ"</f>
        <v>УЛ ТОПОЛИНАЯ</v>
      </c>
      <c r="U1528" s="1" t="str">
        <f>"16"</f>
        <v>16</v>
      </c>
      <c r="V1528" s="1" t="str">
        <f>""</f>
        <v/>
      </c>
      <c r="W1528" s="1" t="str">
        <f>""</f>
        <v/>
      </c>
      <c r="X1528" s="1" t="str">
        <f>""</f>
        <v/>
      </c>
      <c r="Y1528" s="1" t="str">
        <f>""</f>
        <v/>
      </c>
      <c r="Z1528" t="str">
        <f>"3472738654"</f>
        <v>3472738654</v>
      </c>
      <c r="AA1528" t="str">
        <f>"9378545396"</f>
        <v>9378545396</v>
      </c>
      <c r="AB1528" t="str">
        <f>"9378545396"</f>
        <v>9378545396</v>
      </c>
      <c r="AC1528" t="str">
        <f>"9378545396"</f>
        <v>9378545396</v>
      </c>
      <c r="AD1528" t="str">
        <f>"9378545396"</f>
        <v>9378545396</v>
      </c>
      <c r="AE1528" t="str">
        <f>""</f>
        <v/>
      </c>
    </row>
    <row r="1529" spans="1:31" x14ac:dyDescent="0.45">
      <c r="A1529" t="str">
        <f>"БЕРЕЗОВСКАЯ ЛЮДМИЛА ВЛАДИМИРОВНА"</f>
        <v>БЕРЕЗОВСКАЯ ЛЮДМИЛА ВЛАДИМИРОВНА</v>
      </c>
      <c r="B1529" t="str">
        <f>"1959-01-05"</f>
        <v>1959-01-05</v>
      </c>
      <c r="C1529" t="str">
        <f>"71 04 218303"</f>
        <v>71 04 218303</v>
      </c>
      <c r="D1529" t="str">
        <f>"4854630374462300"</f>
        <v>4854630374462300</v>
      </c>
      <c r="E1529" t="str">
        <f>"2021-04-30"</f>
        <v>2021-04-30</v>
      </c>
      <c r="F1529" t="str">
        <f t="shared" si="258"/>
        <v>+</v>
      </c>
      <c r="G1529" t="str">
        <f t="shared" si="258"/>
        <v>+</v>
      </c>
      <c r="H1529" t="str">
        <f>"40817810616992056231"</f>
        <v>40817810616992056231</v>
      </c>
      <c r="I1529" t="str">
        <f>"8647"</f>
        <v>8647</v>
      </c>
      <c r="J1529" t="str">
        <f>"0026"</f>
        <v>0026</v>
      </c>
      <c r="K1529" t="str">
        <f>"125000.00"</f>
        <v>125000.00</v>
      </c>
      <c r="L1529" t="str">
        <f>"625000 ОБЛ ТЮМЕНСКАЯ   Г ТЮМЕНЬ   УЛ ЛЕНИНА д. 74"</f>
        <v>625000 ОБЛ ТЮМЕНСКАЯ   Г ТЮМЕНЬ   УЛ ЛЕНИНА д. 74</v>
      </c>
      <c r="M1529" t="str">
        <f t="shared" si="250"/>
        <v>2019-08-24</v>
      </c>
      <c r="N1529" t="str">
        <f>"ПЕНСИОНЕР"</f>
        <v>ПЕНСИОНЕР</v>
      </c>
      <c r="O1529" t="str">
        <f>"625000"</f>
        <v>625000</v>
      </c>
      <c r="P1529" t="str">
        <f>"ОБЛ ТЮМЕНСКАЯ"</f>
        <v>ОБЛ ТЮМЕНСКАЯ</v>
      </c>
      <c r="Q1529" t="str">
        <f>""</f>
        <v/>
      </c>
      <c r="R1529" t="str">
        <f>"Г ТЮМЕНЬ"</f>
        <v>Г ТЮМЕНЬ</v>
      </c>
      <c r="S1529" t="str">
        <f>""</f>
        <v/>
      </c>
      <c r="T1529" t="str">
        <f>"УЛ ЖУКОВСКОГО"</f>
        <v>УЛ ЖУКОВСКОГО</v>
      </c>
      <c r="U1529" s="1" t="str">
        <f>"90"</f>
        <v>90</v>
      </c>
      <c r="V1529" s="1" t="str">
        <f>""</f>
        <v/>
      </c>
      <c r="W1529" s="1" t="str">
        <f>""</f>
        <v/>
      </c>
      <c r="X1529" s="1" t="str">
        <f>""</f>
        <v/>
      </c>
      <c r="Y1529" s="1" t="str">
        <f>"30"</f>
        <v>30</v>
      </c>
      <c r="Z1529" t="str">
        <f>""</f>
        <v/>
      </c>
      <c r="AA1529" t="str">
        <f>"9827822192"</f>
        <v>9827822192</v>
      </c>
      <c r="AB1529" t="str">
        <f>"9199427521"</f>
        <v>9199427521</v>
      </c>
      <c r="AC1529" t="str">
        <f>"9827822192"</f>
        <v>9827822192</v>
      </c>
      <c r="AD1529" t="str">
        <f>"9199427521"</f>
        <v>9199427521</v>
      </c>
      <c r="AE1529" t="str">
        <f>""</f>
        <v/>
      </c>
    </row>
    <row r="1530" spans="1:31" x14ac:dyDescent="0.45">
      <c r="A1530" t="str">
        <f>"ЗАБОЛОЦКАЯ ОЛЬГА ЕВГЕНЬЕВНА"</f>
        <v>ЗАБОЛОЦКАЯ ОЛЬГА ЕВГЕНЬЕВНА</v>
      </c>
      <c r="B1530" t="str">
        <f>"1976-02-02"</f>
        <v>1976-02-02</v>
      </c>
      <c r="C1530" t="str">
        <f>"75 00 623898"</f>
        <v>75 00 623898</v>
      </c>
      <c r="D1530" t="str">
        <f>"4854630367282467"</f>
        <v>4854630367282467</v>
      </c>
      <c r="E1530" t="str">
        <f>"2021-04-30"</f>
        <v>2021-04-30</v>
      </c>
      <c r="F1530" t="str">
        <f t="shared" si="258"/>
        <v>+</v>
      </c>
      <c r="G1530" t="str">
        <f t="shared" si="258"/>
        <v>+</v>
      </c>
      <c r="H1530" t="str">
        <f>"40817810316991463248"</f>
        <v>40817810316991463248</v>
      </c>
      <c r="I1530" t="str">
        <f>"8597"</f>
        <v>8597</v>
      </c>
      <c r="J1530" t="str">
        <f>"0314"</f>
        <v>0314</v>
      </c>
      <c r="K1530" t="str">
        <f>"100000.00"</f>
        <v>100000.00</v>
      </c>
      <c r="L1530" t="str">
        <f>"456011 ОБЛ ЧЕЛЯБИНСКАЯ Р-Н АШИНСКИЙ Г АША   УЛ НЕКРАСОВА д. 19"</f>
        <v>456011 ОБЛ ЧЕЛЯБИНСКАЯ Р-Н АШИНСКИЙ Г АША   УЛ НЕКРАСОВА д. 19</v>
      </c>
      <c r="M1530" t="str">
        <f t="shared" si="250"/>
        <v>2019-08-24</v>
      </c>
      <c r="N1530" t="str">
        <f>"ГБУЗ ГБ 1 АША"</f>
        <v>ГБУЗ ГБ 1 АША</v>
      </c>
      <c r="O1530" t="str">
        <f>"456011"</f>
        <v>456011</v>
      </c>
      <c r="P1530" t="str">
        <f>"ОБЛ ЧЕЛЯБИНСКАЯ"</f>
        <v>ОБЛ ЧЕЛЯБИНСКАЯ</v>
      </c>
      <c r="Q1530" t="str">
        <f>"Р-Н АШИНСКИЙ"</f>
        <v>Р-Н АШИНСКИЙ</v>
      </c>
      <c r="R1530" t="str">
        <f>"Г АША"</f>
        <v>Г АША</v>
      </c>
      <c r="S1530" t="str">
        <f>""</f>
        <v/>
      </c>
      <c r="T1530" t="str">
        <f>"УЛ КОММУНИСТИЧЕСКАЯ"</f>
        <v>УЛ КОММУНИСТИЧЕСКАЯ</v>
      </c>
      <c r="U1530" s="1" t="str">
        <f>"34"</f>
        <v>34</v>
      </c>
      <c r="V1530" s="1" t="str">
        <f>""</f>
        <v/>
      </c>
      <c r="W1530" s="1" t="str">
        <f>""</f>
        <v/>
      </c>
      <c r="X1530" s="1" t="str">
        <f>""</f>
        <v/>
      </c>
      <c r="Y1530" s="1" t="str">
        <f>"23"</f>
        <v>23</v>
      </c>
      <c r="Z1530" t="str">
        <f>"3515932210"</f>
        <v>3515932210</v>
      </c>
      <c r="AA1530" t="str">
        <f>"9517905567"</f>
        <v>9517905567</v>
      </c>
      <c r="AB1530" t="str">
        <f>"9822857341"</f>
        <v>9822857341</v>
      </c>
      <c r="AC1530" t="str">
        <f>"9517905567"</f>
        <v>9517905567</v>
      </c>
      <c r="AD1530" t="str">
        <f>"9822857341"</f>
        <v>9822857341</v>
      </c>
      <c r="AE1530" t="str">
        <f>"3515932210"</f>
        <v>3515932210</v>
      </c>
    </row>
    <row r="1531" spans="1:31" x14ac:dyDescent="0.45">
      <c r="A1531" t="str">
        <f>"ЕМЕЛЬЯНОВА НАДЕЖДА СТАНИСЛАВОВНА"</f>
        <v>ЕМЕЛЬЯНОВА НАДЕЖДА СТАНИСЛАВОВНА</v>
      </c>
      <c r="B1531" t="str">
        <f>"1975-11-19"</f>
        <v>1975-11-19</v>
      </c>
      <c r="C1531" t="str">
        <f>"71 00 273174"</f>
        <v>71 00 273174</v>
      </c>
      <c r="D1531" t="str">
        <f>"5484016709338883"</f>
        <v>5484016709338883</v>
      </c>
      <c r="E1531" t="str">
        <f t="shared" ref="E1531:E1539" si="259">"2021-05-31"</f>
        <v>2021-05-31</v>
      </c>
      <c r="F1531" t="str">
        <f t="shared" si="258"/>
        <v>+</v>
      </c>
      <c r="G1531" t="str">
        <f t="shared" si="258"/>
        <v>+</v>
      </c>
      <c r="H1531" t="str">
        <f>"40817810816992096965"</f>
        <v>40817810816992096965</v>
      </c>
      <c r="I1531" t="str">
        <f>"8647"</f>
        <v>8647</v>
      </c>
      <c r="J1531" t="str">
        <f>"0149"</f>
        <v>0149</v>
      </c>
      <c r="K1531" t="str">
        <f>"66000.00"</f>
        <v>66000.00</v>
      </c>
      <c r="L1531" t="str">
        <f>"625000 ОБЛ ТЮМЕНСКАЯ   Г ТЮМЕНЬ   УЛ ДРУЖБЫ д. 165 корп. А"</f>
        <v>625000 ОБЛ ТЮМЕНСКАЯ   Г ТЮМЕНЬ   УЛ ДРУЖБЫ д. 165 корп. А</v>
      </c>
      <c r="M1531" t="str">
        <f t="shared" si="250"/>
        <v>2019-08-24</v>
      </c>
      <c r="N1531" t="str">
        <f>"СОЛНЫШКО"</f>
        <v>СОЛНЫШКО</v>
      </c>
      <c r="O1531" t="str">
        <f>"625000"</f>
        <v>625000</v>
      </c>
      <c r="P1531" t="str">
        <f>"ОБЛ ТЮМЕНСКАЯ"</f>
        <v>ОБЛ ТЮМЕНСКАЯ</v>
      </c>
      <c r="Q1531" t="str">
        <f>""</f>
        <v/>
      </c>
      <c r="R1531" t="str">
        <f>"Г ТЮМЕНЬ"</f>
        <v>Г ТЮМЕНЬ</v>
      </c>
      <c r="S1531" t="str">
        <f>""</f>
        <v/>
      </c>
      <c r="T1531" t="str">
        <f>"УЛ МИРА"</f>
        <v>УЛ МИРА</v>
      </c>
      <c r="U1531" s="1" t="str">
        <f>"2В"</f>
        <v>2В</v>
      </c>
      <c r="V1531" s="1" t="str">
        <f>""</f>
        <v/>
      </c>
      <c r="W1531" s="1" t="str">
        <f>""</f>
        <v/>
      </c>
      <c r="X1531" s="1" t="str">
        <f>""</f>
        <v/>
      </c>
      <c r="Y1531" s="1" t="str">
        <f>"79"</f>
        <v>79</v>
      </c>
      <c r="Z1531" t="str">
        <f>""</f>
        <v/>
      </c>
      <c r="AA1531" t="str">
        <f>"9044934785"</f>
        <v>9044934785</v>
      </c>
      <c r="AB1531" t="str">
        <f>"9044934785"</f>
        <v>9044934785</v>
      </c>
      <c r="AC1531" t="str">
        <f>"9044914327"</f>
        <v>9044914327</v>
      </c>
      <c r="AD1531" t="str">
        <f>"9044934785"</f>
        <v>9044934785</v>
      </c>
      <c r="AE1531" t="str">
        <f>""</f>
        <v/>
      </c>
    </row>
    <row r="1532" spans="1:31" x14ac:dyDescent="0.45">
      <c r="A1532" t="str">
        <f>"ИСАЕВА ВАЛЕНТИНА ВАСИЛЬЕВНА"</f>
        <v>ИСАЕВА ВАЛЕНТИНА ВАСИЛЬЕВНА</v>
      </c>
      <c r="B1532" t="str">
        <f>"1972-03-12"</f>
        <v>1972-03-12</v>
      </c>
      <c r="C1532" t="str">
        <f>"67 17 630312"</f>
        <v>67 17 630312</v>
      </c>
      <c r="D1532" t="str">
        <f>"5484016704348333"</f>
        <v>5484016704348333</v>
      </c>
      <c r="E1532" t="str">
        <f t="shared" si="259"/>
        <v>2021-05-31</v>
      </c>
      <c r="F1532" t="str">
        <f>"Q"</f>
        <v>Q</v>
      </c>
      <c r="G1532" t="str">
        <f>"Q"</f>
        <v>Q</v>
      </c>
      <c r="H1532" t="str">
        <f>"40817810767720692911"</f>
        <v>40817810767720692911</v>
      </c>
      <c r="I1532" t="str">
        <f>"5940"</f>
        <v>5940</v>
      </c>
      <c r="J1532" t="str">
        <f>"7770"</f>
        <v>7770</v>
      </c>
      <c r="K1532" t="str">
        <f>"0.00"</f>
        <v>0.00</v>
      </c>
      <c r="L1532" t="str">
        <f>"628449 ОБЛ ТЮМЕНСКАЯ Р-Н СУРГУТСКИЙ Г ЛЯНТОР   МКР 7 д. 68"</f>
        <v>628449 ОБЛ ТЮМЕНСКАЯ Р-Н СУРГУТСКИЙ Г ЛЯНТОР   МКР 7 д. 68</v>
      </c>
      <c r="M1532" t="str">
        <f t="shared" si="250"/>
        <v>2019-08-24</v>
      </c>
      <c r="N1532" t="str">
        <f>"Д/С РОДНИЧОК"</f>
        <v>Д/С РОДНИЧОК</v>
      </c>
      <c r="O1532" t="str">
        <f>"628449"</f>
        <v>628449</v>
      </c>
      <c r="P1532" t="str">
        <f>"ОБЛ ТЮМЕНСКАЯ"</f>
        <v>ОБЛ ТЮМЕНСКАЯ</v>
      </c>
      <c r="Q1532" t="str">
        <f>"Р-Н СУРГУТСКИЙ"</f>
        <v>Р-Н СУРГУТСКИЙ</v>
      </c>
      <c r="R1532" t="str">
        <f>"Г ЛЯНТОР"</f>
        <v>Г ЛЯНТОР</v>
      </c>
      <c r="S1532" t="str">
        <f>""</f>
        <v/>
      </c>
      <c r="T1532" t="str">
        <f>"УЛ ЭСТОНСКИХ ДОРОЖНИКОВ"</f>
        <v>УЛ ЭСТОНСКИХ ДОРОЖНИКОВ</v>
      </c>
      <c r="U1532" s="1" t="str">
        <f>"26"</f>
        <v>26</v>
      </c>
      <c r="V1532" s="1" t="str">
        <f>""</f>
        <v/>
      </c>
      <c r="W1532" s="1" t="str">
        <f>""</f>
        <v/>
      </c>
      <c r="X1532" s="1" t="str">
        <f>""</f>
        <v/>
      </c>
      <c r="Y1532" s="1" t="str">
        <f>"103"</f>
        <v>103</v>
      </c>
      <c r="Z1532" t="str">
        <f>"3463824915"</f>
        <v>3463824915</v>
      </c>
      <c r="AA1532" t="str">
        <f>"9825949710"</f>
        <v>9825949710</v>
      </c>
      <c r="AB1532" t="str">
        <f>"9825949710"</f>
        <v>9825949710</v>
      </c>
      <c r="AC1532" t="str">
        <f>"9825949710"</f>
        <v>9825949710</v>
      </c>
      <c r="AD1532" t="str">
        <f>"9825949710"</f>
        <v>9825949710</v>
      </c>
      <c r="AE1532" t="str">
        <f>"3463824915"</f>
        <v>3463824915</v>
      </c>
    </row>
    <row r="1533" spans="1:31" x14ac:dyDescent="0.45">
      <c r="A1533" t="str">
        <f>"ЛАРИОНОВА ЛИДИЯ ДМИТРИЕВНА"</f>
        <v>ЛАРИОНОВА ЛИДИЯ ДМИТРИЕВНА</v>
      </c>
      <c r="B1533" t="str">
        <f>"1974-02-02"</f>
        <v>1974-02-02</v>
      </c>
      <c r="C1533" t="str">
        <f>"67 18 801965"</f>
        <v>67 18 801965</v>
      </c>
      <c r="D1533" t="str">
        <f>"5484016704415389"</f>
        <v>5484016704415389</v>
      </c>
      <c r="E1533" t="str">
        <f t="shared" si="259"/>
        <v>2021-05-31</v>
      </c>
      <c r="F1533" t="str">
        <f t="shared" ref="F1533:G1538" si="260">"+"</f>
        <v>+</v>
      </c>
      <c r="G1533" t="str">
        <f t="shared" si="260"/>
        <v>+</v>
      </c>
      <c r="H1533" t="str">
        <f>"40817810216992301577"</f>
        <v>40817810216992301577</v>
      </c>
      <c r="I1533" t="str">
        <f>"5940"</f>
        <v>5940</v>
      </c>
      <c r="J1533" t="str">
        <f>"7770"</f>
        <v>7770</v>
      </c>
      <c r="K1533" t="str">
        <f>"25000.00"</f>
        <v>25000.00</v>
      </c>
      <c r="L1533" t="str">
        <f>"628400 ОБЛ ТЮМЕНСКАЯ   Г СУРГУТ   ПРОЕЗД СОВЕТОВ д. 4"</f>
        <v>628400 ОБЛ ТЮМЕНСКАЯ   Г СУРГУТ   ПРОЕЗД СОВЕТОВ д. 4</v>
      </c>
      <c r="M1533" t="str">
        <f t="shared" si="250"/>
        <v>2019-08-24</v>
      </c>
      <c r="N1533" t="str">
        <f>"МКУ ЦООД"</f>
        <v>МКУ ЦООД</v>
      </c>
      <c r="O1533" t="str">
        <f>"628400"</f>
        <v>628400</v>
      </c>
      <c r="P1533" t="str">
        <f>"ОБЛ ТЮМЕНСКАЯ"</f>
        <v>ОБЛ ТЮМЕНСКАЯ</v>
      </c>
      <c r="Q1533" t="str">
        <f>""</f>
        <v/>
      </c>
      <c r="R1533" t="str">
        <f>"Г СУРГУТ"</f>
        <v>Г СУРГУТ</v>
      </c>
      <c r="S1533" t="str">
        <f>""</f>
        <v/>
      </c>
      <c r="T1533" t="str">
        <f>"ПР-КТ МИРА"</f>
        <v>ПР-КТ МИРА</v>
      </c>
      <c r="U1533" s="1" t="str">
        <f>"9/1"</f>
        <v>9/1</v>
      </c>
      <c r="V1533" s="1" t="str">
        <f>""</f>
        <v/>
      </c>
      <c r="W1533" s="1" t="str">
        <f>""</f>
        <v/>
      </c>
      <c r="X1533" s="1" t="str">
        <f>""</f>
        <v/>
      </c>
      <c r="Y1533" s="1" t="str">
        <f>"92"</f>
        <v>92</v>
      </c>
      <c r="Z1533" t="str">
        <f>"3462230931"</f>
        <v>3462230931</v>
      </c>
      <c r="AA1533" t="str">
        <f>"+7 (3462) 321657"</f>
        <v>+7 (3462) 321657</v>
      </c>
      <c r="AB1533" t="str">
        <f>"+7 (922) 6525732"</f>
        <v>+7 (922) 6525732</v>
      </c>
      <c r="AC1533" t="str">
        <f>"3462231010"</f>
        <v>3462231010</v>
      </c>
      <c r="AD1533" t="str">
        <f>"9226525732"</f>
        <v>9226525732</v>
      </c>
      <c r="AE1533" t="str">
        <f>"3462230931"</f>
        <v>3462230931</v>
      </c>
    </row>
    <row r="1534" spans="1:31" x14ac:dyDescent="0.45">
      <c r="A1534" t="str">
        <f>"КРОИТОРУ ОЛЕГ ВИКТОРОВИЧ"</f>
        <v>КРОИТОРУ ОЛЕГ ВИКТОРОВИЧ</v>
      </c>
      <c r="B1534" t="str">
        <f>"1975-03-21"</f>
        <v>1975-03-21</v>
      </c>
      <c r="C1534" t="str">
        <f>"67 04 069123"</f>
        <v>67 04 069123</v>
      </c>
      <c r="D1534" t="str">
        <f>"4279016715925600"</f>
        <v>4279016715925600</v>
      </c>
      <c r="E1534" t="str">
        <f t="shared" si="259"/>
        <v>2021-05-31</v>
      </c>
      <c r="F1534" t="str">
        <f t="shared" si="260"/>
        <v>+</v>
      </c>
      <c r="G1534" t="str">
        <f t="shared" si="260"/>
        <v>+</v>
      </c>
      <c r="H1534" t="str">
        <f>"40817810216992099339"</f>
        <v>40817810216992099339</v>
      </c>
      <c r="I1534" t="str">
        <f>"5940"</f>
        <v>5940</v>
      </c>
      <c r="J1534" t="str">
        <f>"0083"</f>
        <v>0083</v>
      </c>
      <c r="K1534" t="str">
        <f>"200000.00"</f>
        <v>200000.00</v>
      </c>
      <c r="L1534" t="str">
        <f>"628400 ОБЛ ТЮМЕНСКАЯ   Г СУРГУТ   УЛ СОЛНЕЧНАЯ д. 4"</f>
        <v>628400 ОБЛ ТЮМЕНСКАЯ   Г СУРГУТ   УЛ СОЛНЕЧНАЯ д. 4</v>
      </c>
      <c r="M1534" t="str">
        <f t="shared" si="250"/>
        <v>2019-08-24</v>
      </c>
      <c r="N1534" t="str">
        <f>"ООО СТРОЙИНВЕСТГРУП"</f>
        <v>ООО СТРОЙИНВЕСТГРУП</v>
      </c>
      <c r="O1534" t="str">
        <f>"628400"</f>
        <v>628400</v>
      </c>
      <c r="P1534" t="str">
        <f>"ОБЛ ТЮМЕНСКАЯ"</f>
        <v>ОБЛ ТЮМЕНСКАЯ</v>
      </c>
      <c r="Q1534" t="str">
        <f>""</f>
        <v/>
      </c>
      <c r="R1534" t="str">
        <f>"Г СУРГУТ"</f>
        <v>Г СУРГУТ</v>
      </c>
      <c r="S1534" t="str">
        <f>""</f>
        <v/>
      </c>
      <c r="T1534" t="str">
        <f>"УЛ НЕФТЯНИКОВ"</f>
        <v>УЛ НЕФТЯНИКОВ</v>
      </c>
      <c r="U1534" s="1" t="str">
        <f>"10/1"</f>
        <v>10/1</v>
      </c>
      <c r="V1534" s="1" t="str">
        <f>""</f>
        <v/>
      </c>
      <c r="W1534" s="1" t="str">
        <f>""</f>
        <v/>
      </c>
      <c r="X1534" s="1" t="str">
        <f>""</f>
        <v/>
      </c>
      <c r="Y1534" s="1" t="str">
        <f>"77"</f>
        <v>77</v>
      </c>
      <c r="Z1534" t="str">
        <f>""</f>
        <v/>
      </c>
      <c r="AA1534" t="str">
        <f>"3462240056"</f>
        <v>3462240056</v>
      </c>
      <c r="AB1534" t="str">
        <f>"9226541927"</f>
        <v>9226541927</v>
      </c>
      <c r="AC1534" t="str">
        <f>"3462240056"</f>
        <v>3462240056</v>
      </c>
      <c r="AD1534" t="str">
        <f>"9226541927"</f>
        <v>9226541927</v>
      </c>
      <c r="AE1534" t="str">
        <f>""</f>
        <v/>
      </c>
    </row>
    <row r="1535" spans="1:31" x14ac:dyDescent="0.45">
      <c r="A1535" t="str">
        <f>"АБАНИН ВИТАЛИЙ ВЯЧЕСЛАВОВИЧ"</f>
        <v>АБАНИН ВИТАЛИЙ ВЯЧЕСЛАВОВИЧ</v>
      </c>
      <c r="B1535" t="str">
        <f>"1990-06-04"</f>
        <v>1990-06-04</v>
      </c>
      <c r="C1535" t="str">
        <f>"37 10 381663"</f>
        <v>37 10 381663</v>
      </c>
      <c r="D1535" t="str">
        <f>"5484016704990720"</f>
        <v>5484016704990720</v>
      </c>
      <c r="E1535" t="str">
        <f t="shared" si="259"/>
        <v>2021-05-31</v>
      </c>
      <c r="F1535" t="str">
        <f t="shared" si="260"/>
        <v>+</v>
      </c>
      <c r="G1535" t="str">
        <f t="shared" si="260"/>
        <v>+</v>
      </c>
      <c r="H1535" t="str">
        <f>"40817810016992400238"</f>
        <v>40817810016992400238</v>
      </c>
      <c r="I1535" t="str">
        <f>"8647"</f>
        <v>8647</v>
      </c>
      <c r="J1535" t="str">
        <f>"0080"</f>
        <v>0080</v>
      </c>
      <c r="K1535" t="str">
        <f>"17000.00"</f>
        <v>17000.00</v>
      </c>
      <c r="L1535" t="str">
        <f>"625000 ОБЛ ТЮМЕНСКАЯ   Г ТЮМЕНЬ   УЛ ЩЕРБАКОВА д. 239 офис 201"</f>
        <v>625000 ОБЛ ТЮМЕНСКАЯ   Г ТЮМЕНЬ   УЛ ЩЕРБАКОВА д. 239 офис 201</v>
      </c>
      <c r="M1535" t="str">
        <f t="shared" si="250"/>
        <v>2019-08-24</v>
      </c>
      <c r="N1535" t="str">
        <f>"ООО АВТОШАНС"</f>
        <v>ООО АВТОШАНС</v>
      </c>
      <c r="O1535" t="str">
        <f>"641000"</f>
        <v>641000</v>
      </c>
      <c r="P1535" t="str">
        <f>"ОБЛ КУРГАНСКАЯ"</f>
        <v>ОБЛ КУРГАНСКАЯ</v>
      </c>
      <c r="Q1535" t="str">
        <f>""</f>
        <v/>
      </c>
      <c r="R1535" t="str">
        <f>"Г КУРГАН"</f>
        <v>Г КУРГАН</v>
      </c>
      <c r="S1535" t="str">
        <f>""</f>
        <v/>
      </c>
      <c r="T1535" t="str">
        <f>"УЛ КУЙБЫШЕВА"</f>
        <v>УЛ КУЙБЫШЕВА</v>
      </c>
      <c r="U1535" s="1" t="str">
        <f>"140"</f>
        <v>140</v>
      </c>
      <c r="V1535" s="1" t="str">
        <f>""</f>
        <v/>
      </c>
      <c r="W1535" s="1" t="str">
        <f>""</f>
        <v/>
      </c>
      <c r="X1535" s="1" t="str">
        <f>""</f>
        <v/>
      </c>
      <c r="Y1535" s="1" t="str">
        <f>"18"</f>
        <v>18</v>
      </c>
      <c r="Z1535" t="str">
        <f>""</f>
        <v/>
      </c>
      <c r="AA1535" t="str">
        <f>"9504899088"</f>
        <v>9504899088</v>
      </c>
      <c r="AB1535" t="str">
        <f>"9068740071"</f>
        <v>9068740071</v>
      </c>
      <c r="AC1535" t="str">
        <f>"9504899088"</f>
        <v>9504899088</v>
      </c>
      <c r="AD1535" t="str">
        <f>"9068740071"</f>
        <v>9068740071</v>
      </c>
      <c r="AE1535" t="str">
        <f>""</f>
        <v/>
      </c>
    </row>
    <row r="1536" spans="1:31" x14ac:dyDescent="0.45">
      <c r="A1536" t="str">
        <f>"ЛАЗАРЕВ ПАВЕЛ ПАВЛОВИЧ"</f>
        <v>ЛАЗАРЕВ ПАВЕЛ ПАВЛОВИЧ</v>
      </c>
      <c r="B1536" t="str">
        <f>"1973-01-25"</f>
        <v>1973-01-25</v>
      </c>
      <c r="C1536" t="str">
        <f>"71 17 340100"</f>
        <v>71 17 340100</v>
      </c>
      <c r="D1536" t="str">
        <f>"5484016703068692"</f>
        <v>5484016703068692</v>
      </c>
      <c r="E1536" t="str">
        <f t="shared" si="259"/>
        <v>2021-05-31</v>
      </c>
      <c r="F1536" t="str">
        <f t="shared" si="260"/>
        <v>+</v>
      </c>
      <c r="G1536" t="str">
        <f t="shared" si="260"/>
        <v>+</v>
      </c>
      <c r="H1536" t="str">
        <f>"40817810216992400287"</f>
        <v>40817810216992400287</v>
      </c>
      <c r="I1536" t="str">
        <f>"8647"</f>
        <v>8647</v>
      </c>
      <c r="J1536" t="str">
        <f>"7772"</f>
        <v>7772</v>
      </c>
      <c r="K1536" t="str">
        <f>"110000.00"</f>
        <v>110000.00</v>
      </c>
      <c r="L1536" t="str">
        <f>"625000 ОБЛ ТЮМЕНСКАЯ   Г ТЮМЕНЬ   УЛ ОДЕССКАЯ д. 33"</f>
        <v>625000 ОБЛ ТЮМЕНСКАЯ   Г ТЮМЕНЬ   УЛ ОДЕССКАЯ д. 33</v>
      </c>
      <c r="M1536" t="str">
        <f t="shared" si="250"/>
        <v>2019-08-24</v>
      </c>
      <c r="N1536" t="str">
        <f>"ФГУП ГОСРЫБЦЕНТР"</f>
        <v>ФГУП ГОСРЫБЦЕНТР</v>
      </c>
      <c r="O1536" t="str">
        <f>"626127"</f>
        <v>626127</v>
      </c>
      <c r="P1536" t="str">
        <f>"ОБЛ ТЮМЕНСКАЯ"</f>
        <v>ОБЛ ТЮМЕНСКАЯ</v>
      </c>
      <c r="Q1536" t="str">
        <f>"Р-Н ТОБОЛЬСКИЙ"</f>
        <v>Р-Н ТОБОЛЬСКИЙ</v>
      </c>
      <c r="R1536" t="str">
        <f>""</f>
        <v/>
      </c>
      <c r="S1536" t="str">
        <f>"Д ПОЛУЯНОВА"</f>
        <v>Д ПОЛУЯНОВА</v>
      </c>
      <c r="T1536" t="str">
        <f>"УЛ ПЕРВОМАЙСКАЯ"</f>
        <v>УЛ ПЕРВОМАЙСКАЯ</v>
      </c>
      <c r="U1536" s="1" t="str">
        <f>"9"</f>
        <v>9</v>
      </c>
      <c r="V1536" s="1" t="str">
        <f>"А"</f>
        <v>А</v>
      </c>
      <c r="W1536" s="1" t="str">
        <f>""</f>
        <v/>
      </c>
      <c r="X1536" s="1" t="str">
        <f>""</f>
        <v/>
      </c>
      <c r="Y1536" s="1" t="str">
        <f>"1"</f>
        <v>1</v>
      </c>
      <c r="Z1536" t="str">
        <f>"3456348595"</f>
        <v>3456348595</v>
      </c>
      <c r="AA1536" t="str">
        <f>""</f>
        <v/>
      </c>
      <c r="AB1536" t="str">
        <f>"9088761336"</f>
        <v>9088761336</v>
      </c>
      <c r="AC1536" t="str">
        <f>"9088761336"</f>
        <v>9088761336</v>
      </c>
      <c r="AD1536" t="str">
        <f>"9224850379"</f>
        <v>9224850379</v>
      </c>
      <c r="AE1536" t="str">
        <f>"3456348595"</f>
        <v>3456348595</v>
      </c>
    </row>
    <row r="1537" spans="1:31" x14ac:dyDescent="0.45">
      <c r="A1537" t="str">
        <f>"СТАРОДВОРСКАЯ ИРИНА ЮРЬЕВНА"</f>
        <v>СТАРОДВОРСКАЯ ИРИНА ЮРЬЕВНА</v>
      </c>
      <c r="B1537" t="str">
        <f>"1967-12-04"</f>
        <v>1967-12-04</v>
      </c>
      <c r="C1537" t="str">
        <f>"67 12 260177"</f>
        <v>67 12 260177</v>
      </c>
      <c r="D1537" t="str">
        <f>"5484016705880987"</f>
        <v>5484016705880987</v>
      </c>
      <c r="E1537" t="str">
        <f t="shared" si="259"/>
        <v>2021-05-31</v>
      </c>
      <c r="F1537" t="str">
        <f t="shared" si="260"/>
        <v>+</v>
      </c>
      <c r="G1537" t="str">
        <f t="shared" si="260"/>
        <v>+</v>
      </c>
      <c r="H1537" t="str">
        <f>"40817810816992099166"</f>
        <v>40817810816992099166</v>
      </c>
      <c r="I1537" t="str">
        <f>"5940"</f>
        <v>5940</v>
      </c>
      <c r="J1537" t="str">
        <f>"7770"</f>
        <v>7770</v>
      </c>
      <c r="K1537" t="str">
        <f>"200000.00"</f>
        <v>200000.00</v>
      </c>
      <c r="L1537" t="str">
        <f>"628400 ОБЛ ТЮМЕНСКАЯ   Г ЛЯНТОР   МКР 7 д. 68"</f>
        <v>628400 ОБЛ ТЮМЕНСКАЯ   Г ЛЯНТОР   МКР 7 д. 68</v>
      </c>
      <c r="M1537" t="str">
        <f t="shared" si="250"/>
        <v>2019-08-24</v>
      </c>
      <c r="N1537" t="str">
        <f>"МБДОУ РОДНИЧОК"</f>
        <v>МБДОУ РОДНИЧОК</v>
      </c>
      <c r="O1537" t="str">
        <f>"628400"</f>
        <v>628400</v>
      </c>
      <c r="P1537" t="str">
        <f>"ОБЛ ТЮМЕНСКАЯ"</f>
        <v>ОБЛ ТЮМЕНСКАЯ</v>
      </c>
      <c r="Q1537" t="str">
        <f>"Р-Н СУРГУТСКИЙ"</f>
        <v>Р-Н СУРГУТСКИЙ</v>
      </c>
      <c r="R1537" t="str">
        <f>"Г ЛЯНТОР"</f>
        <v>Г ЛЯНТОР</v>
      </c>
      <c r="S1537" t="str">
        <f>""</f>
        <v/>
      </c>
      <c r="T1537" t="str">
        <f>"МКР 47"</f>
        <v>МКР 47</v>
      </c>
      <c r="U1537" s="1" t="str">
        <f>"3"</f>
        <v>3</v>
      </c>
      <c r="V1537" s="1" t="str">
        <f>""</f>
        <v/>
      </c>
      <c r="W1537" s="1" t="str">
        <f>""</f>
        <v/>
      </c>
      <c r="X1537" s="1" t="str">
        <f>""</f>
        <v/>
      </c>
      <c r="Y1537" s="1" t="str">
        <f>""</f>
        <v/>
      </c>
      <c r="Z1537" t="str">
        <f>"3463824721"</f>
        <v>3463824721</v>
      </c>
      <c r="AA1537" t="str">
        <f>"9322522273"</f>
        <v>9322522273</v>
      </c>
      <c r="AB1537" t="str">
        <f>"9322522273"</f>
        <v>9322522273</v>
      </c>
      <c r="AC1537" t="str">
        <f>"9322522273"</f>
        <v>9322522273</v>
      </c>
      <c r="AD1537" t="str">
        <f>"9322522273"</f>
        <v>9322522273</v>
      </c>
      <c r="AE1537" t="str">
        <f>"3463824721"</f>
        <v>3463824721</v>
      </c>
    </row>
    <row r="1538" spans="1:31" x14ac:dyDescent="0.45">
      <c r="A1538" t="str">
        <f>"КРИСАНОВА ОЛЬГА ГЕННАДЬЕВНА"</f>
        <v>КРИСАНОВА ОЛЬГА ГЕННАДЬЕВНА</v>
      </c>
      <c r="B1538" t="str">
        <f>"1985-06-08"</f>
        <v>1985-06-08</v>
      </c>
      <c r="C1538" t="str">
        <f>"67 04 109634"</f>
        <v>67 04 109634</v>
      </c>
      <c r="D1538" t="str">
        <f>"5484016701924136"</f>
        <v>5484016701924136</v>
      </c>
      <c r="E1538" t="str">
        <f t="shared" si="259"/>
        <v>2021-05-31</v>
      </c>
      <c r="F1538" t="str">
        <f t="shared" si="260"/>
        <v>+</v>
      </c>
      <c r="G1538" t="str">
        <f t="shared" si="260"/>
        <v>+</v>
      </c>
      <c r="H1538" t="str">
        <f>"40817810016992400380"</f>
        <v>40817810016992400380</v>
      </c>
      <c r="I1538" t="str">
        <f>"1791"</f>
        <v>1791</v>
      </c>
      <c r="J1538" t="str">
        <f>"0100"</f>
        <v>0100</v>
      </c>
      <c r="K1538" t="str">
        <f>"300000.00"</f>
        <v>300000.00</v>
      </c>
      <c r="L1538" t="str">
        <f>"628181 ОБЛ ТЮМЕНСКАЯ   Г НЯГАНЬ   МКР 2 д. 43"</f>
        <v>628181 ОБЛ ТЮМЕНСКАЯ   Г НЯГАНЬ   МКР 2 д. 43</v>
      </c>
      <c r="M1538" t="str">
        <f t="shared" ref="M1538:M1601" si="261">"2019-08-24"</f>
        <v>2019-08-24</v>
      </c>
      <c r="N1538" t="str">
        <f>"УПРАВЛЕНИЕ РОСРЕЕСТРА"</f>
        <v>УПРАВЛЕНИЕ РОСРЕЕСТРА</v>
      </c>
      <c r="O1538" t="str">
        <f>"628181"</f>
        <v>628181</v>
      </c>
      <c r="P1538" t="str">
        <f>"ОБЛ ТЮМЕНСКАЯ"</f>
        <v>ОБЛ ТЮМЕНСКАЯ</v>
      </c>
      <c r="Q1538" t="str">
        <f>""</f>
        <v/>
      </c>
      <c r="R1538" t="str">
        <f>"Г НЯГАНЬ"</f>
        <v>Г НЯГАНЬ</v>
      </c>
      <c r="S1538" t="str">
        <f>""</f>
        <v/>
      </c>
      <c r="T1538" t="str">
        <f>"УЛ ЖЕЛЕЗНОДОРОЖНАЯ"</f>
        <v>УЛ ЖЕЛЕЗНОДОРОЖНАЯ</v>
      </c>
      <c r="U1538" s="1" t="str">
        <f>"23"</f>
        <v>23</v>
      </c>
      <c r="V1538" s="1" t="str">
        <f>""</f>
        <v/>
      </c>
      <c r="W1538" s="1" t="str">
        <f>""</f>
        <v/>
      </c>
      <c r="X1538" s="1" t="str">
        <f>""</f>
        <v/>
      </c>
      <c r="Y1538" s="1" t="str">
        <f>"6"</f>
        <v>6</v>
      </c>
      <c r="Z1538" t="str">
        <f>"3467267011"</f>
        <v>3467267011</v>
      </c>
      <c r="AA1538" t="str">
        <f>"3467260702"</f>
        <v>3467260702</v>
      </c>
      <c r="AB1538" t="str">
        <f>"9505321202"</f>
        <v>9505321202</v>
      </c>
      <c r="AC1538" t="str">
        <f>"3467260702"</f>
        <v>3467260702</v>
      </c>
      <c r="AD1538" t="str">
        <f>"9505321202"</f>
        <v>9505321202</v>
      </c>
      <c r="AE1538" t="str">
        <f>""</f>
        <v/>
      </c>
    </row>
    <row r="1539" spans="1:31" x14ac:dyDescent="0.45">
      <c r="A1539" t="str">
        <f>"РЕБРИЩЕВ ВАЛЕНТИН СЕРГЕЕВИЧ"</f>
        <v>РЕБРИЩЕВ ВАЛЕНТИН СЕРГЕЕВИЧ</v>
      </c>
      <c r="B1539" t="str">
        <f>"1991-12-26"</f>
        <v>1991-12-26</v>
      </c>
      <c r="C1539" t="str">
        <f>"52 11 075450"</f>
        <v>52 11 075450</v>
      </c>
      <c r="D1539" t="str">
        <f>"5484016706469905"</f>
        <v>5484016706469905</v>
      </c>
      <c r="E1539" t="str">
        <f t="shared" si="259"/>
        <v>2021-05-31</v>
      </c>
      <c r="F1539" t="str">
        <f>"+"</f>
        <v>+</v>
      </c>
      <c r="G1539" t="str">
        <f>"3"</f>
        <v>3</v>
      </c>
      <c r="H1539" t="str">
        <f>"40817810316992099242"</f>
        <v>40817810316992099242</v>
      </c>
      <c r="I1539" t="str">
        <f>"8634"</f>
        <v>8634</v>
      </c>
      <c r="J1539" t="str">
        <f>"0366"</f>
        <v>0366</v>
      </c>
      <c r="K1539" t="str">
        <f>"220000.00"</f>
        <v>220000.00</v>
      </c>
      <c r="L1539" t="str">
        <f>"626150 ОБЛ ТЮМЕНСКАЯ   Г СУРГУТ   УЛ - стр. 1"</f>
        <v>626150 ОБЛ ТЮМЕНСКАЯ   Г СУРГУТ   УЛ - стр. 1</v>
      </c>
      <c r="M1539" t="str">
        <f t="shared" si="261"/>
        <v>2019-08-24</v>
      </c>
      <c r="N1539" t="str">
        <f>"ООО НЕФТЬ МОНТАЖ"</f>
        <v>ООО НЕФТЬ МОНТАЖ</v>
      </c>
      <c r="O1539" t="str">
        <f>"644000"</f>
        <v>644000</v>
      </c>
      <c r="P1539" t="str">
        <f>"ОБЛ ОМСКАЯ"</f>
        <v>ОБЛ ОМСКАЯ</v>
      </c>
      <c r="Q1539" t="str">
        <f>"Р-Н ТЮКАЛИНСКИЙ"</f>
        <v>Р-Н ТЮКАЛИНСКИЙ</v>
      </c>
      <c r="R1539" t="str">
        <f>""</f>
        <v/>
      </c>
      <c r="S1539" t="str">
        <f>"Д 2-ПЯТИЛЕТКА"</f>
        <v>Д 2-ПЯТИЛЕТКА</v>
      </c>
      <c r="T1539" t="str">
        <f>"УЛ НОВАЯ"</f>
        <v>УЛ НОВАЯ</v>
      </c>
      <c r="U1539" s="1" t="str">
        <f>"2"</f>
        <v>2</v>
      </c>
      <c r="V1539" s="1" t="str">
        <f>""</f>
        <v/>
      </c>
      <c r="W1539" s="1" t="str">
        <f>""</f>
        <v/>
      </c>
      <c r="X1539" s="1" t="str">
        <f>""</f>
        <v/>
      </c>
      <c r="Y1539" s="1" t="str">
        <f>"2"</f>
        <v>2</v>
      </c>
      <c r="Z1539" t="str">
        <f>"0000000000"</f>
        <v>0000000000</v>
      </c>
      <c r="AA1539" t="str">
        <f>"9083147584"</f>
        <v>9083147584</v>
      </c>
      <c r="AB1539" t="str">
        <f>"9088010547"</f>
        <v>9088010547</v>
      </c>
      <c r="AC1539" t="str">
        <f>"9083147584"</f>
        <v>9083147584</v>
      </c>
      <c r="AD1539" t="str">
        <f>"9088010547"</f>
        <v>9088010547</v>
      </c>
      <c r="AE1539" t="str">
        <f>""</f>
        <v/>
      </c>
    </row>
    <row r="1540" spans="1:31" x14ac:dyDescent="0.45">
      <c r="A1540" t="str">
        <f>"АЗИМБАЕВА РАЙХАНА МИННАГУЛОВНА"</f>
        <v>АЗИМБАЕВА РАЙХАНА МИННАГУЛОВНА</v>
      </c>
      <c r="B1540" t="str">
        <f>"1964-04-20"</f>
        <v>1964-04-20</v>
      </c>
      <c r="C1540" t="str">
        <f>"67 09 915734"</f>
        <v>67 09 915734</v>
      </c>
      <c r="D1540" t="str">
        <f>"4854630027484255"</f>
        <v>4854630027484255</v>
      </c>
      <c r="E1540" t="str">
        <f>"2020-11-30"</f>
        <v>2020-11-30</v>
      </c>
      <c r="F1540" t="str">
        <f>"Q"</f>
        <v>Q</v>
      </c>
      <c r="G1540" t="str">
        <f>"Q"</f>
        <v>Q</v>
      </c>
      <c r="H1540" t="str">
        <f>"40817810316992113047"</f>
        <v>40817810316992113047</v>
      </c>
      <c r="I1540" t="str">
        <f>"5940"</f>
        <v>5940</v>
      </c>
      <c r="J1540" t="str">
        <f>"0129"</f>
        <v>0129</v>
      </c>
      <c r="K1540" t="str">
        <f>"0.00"</f>
        <v>0.00</v>
      </c>
      <c r="L1540" t="str">
        <f>"628690 ОБЛ ТЮМЕНСКАЯ   Г МЕГИОН П ВЫСОКИЙ УЛ 8 МКР д. 7 кв. 8"</f>
        <v>628690 ОБЛ ТЮМЕНСКАЯ   Г МЕГИОН П ВЫСОКИЙ УЛ 8 МКР д. 7 кв. 8</v>
      </c>
      <c r="M1540" t="str">
        <f t="shared" si="261"/>
        <v>2019-08-24</v>
      </c>
      <c r="N1540" t="str">
        <f>"ПЕНСИОНЕР"</f>
        <v>ПЕНСИОНЕР</v>
      </c>
      <c r="O1540" t="str">
        <f>"628690"</f>
        <v>628690</v>
      </c>
      <c r="P1540" t="str">
        <f>"ОБЛ ТЮМЕНСКАЯ"</f>
        <v>ОБЛ ТЮМЕНСКАЯ</v>
      </c>
      <c r="Q1540" t="str">
        <f>""</f>
        <v/>
      </c>
      <c r="R1540" t="str">
        <f>"Г МЕГИОН"</f>
        <v>Г МЕГИОН</v>
      </c>
      <c r="S1540" t="str">
        <f>"П ВЫСОКИЙ"</f>
        <v>П ВЫСОКИЙ</v>
      </c>
      <c r="T1540" t="str">
        <f>"УЛ 8 МКР"</f>
        <v>УЛ 8 МКР</v>
      </c>
      <c r="U1540" s="1" t="str">
        <f>"7"</f>
        <v>7</v>
      </c>
      <c r="V1540" s="1" t="str">
        <f>""</f>
        <v/>
      </c>
      <c r="W1540" s="1" t="str">
        <f>""</f>
        <v/>
      </c>
      <c r="X1540" s="1" t="str">
        <f>""</f>
        <v/>
      </c>
      <c r="Y1540" s="1" t="str">
        <f>"8"</f>
        <v>8</v>
      </c>
      <c r="Z1540" t="str">
        <f>""</f>
        <v/>
      </c>
      <c r="AA1540" t="str">
        <f>"9825478093"</f>
        <v>9825478093</v>
      </c>
      <c r="AB1540" t="str">
        <f>"9825478093"</f>
        <v>9825478093</v>
      </c>
      <c r="AC1540" t="str">
        <f>"9003936119"</f>
        <v>9003936119</v>
      </c>
      <c r="AD1540" t="str">
        <f>"9825478093"</f>
        <v>9825478093</v>
      </c>
      <c r="AE1540" t="str">
        <f>""</f>
        <v/>
      </c>
    </row>
    <row r="1541" spans="1:31" x14ac:dyDescent="0.45">
      <c r="A1541" t="str">
        <f>"ПОСТНОВА ОЛЬГА ВЛАДИМИРОВНА"</f>
        <v>ПОСТНОВА ОЛЬГА ВЛАДИМИРОВНА</v>
      </c>
      <c r="B1541" t="str">
        <f>"1983-08-31"</f>
        <v>1983-08-31</v>
      </c>
      <c r="C1541" t="str">
        <f>"37 09 356981"</f>
        <v>37 09 356981</v>
      </c>
      <c r="D1541" t="str">
        <f>"5313100710285783"</f>
        <v>5313100710285783</v>
      </c>
      <c r="E1541" t="str">
        <f>"2020-09-30"</f>
        <v>2020-09-30</v>
      </c>
      <c r="F1541" t="str">
        <f>"+"</f>
        <v>+</v>
      </c>
      <c r="G1541" t="str">
        <f>"+"</f>
        <v>+</v>
      </c>
      <c r="H1541" t="str">
        <f>"40817810516991391291"</f>
        <v>40817810516991391291</v>
      </c>
      <c r="I1541" t="str">
        <f>"8599"</f>
        <v>8599</v>
      </c>
      <c r="J1541" t="str">
        <f>"0237"</f>
        <v>0237</v>
      </c>
      <c r="K1541" t="str">
        <f>"20000.00"</f>
        <v>20000.00</v>
      </c>
      <c r="L1541" t="str">
        <f>"641920 ОБЛ КУРГАНСКАЯ Р-Н КАРГАПОЛЬСКИЙ   РП КАРГАПОЛЬЕ УЛ М.ГОРЬКОГО д. 72"</f>
        <v>641920 ОБЛ КУРГАНСКАЯ Р-Н КАРГАПОЛЬСКИЙ   РП КАРГАПОЛЬЕ УЛ М.ГОРЬКОГО д. 72</v>
      </c>
      <c r="M1541" t="str">
        <f t="shared" si="261"/>
        <v>2019-08-24</v>
      </c>
      <c r="N1541" t="str">
        <f>"МКУ КАРГАПОЛЬСКАЯ ДЮСШ"</f>
        <v>МКУ КАРГАПОЛЬСКАЯ ДЮСШ</v>
      </c>
      <c r="O1541" t="str">
        <f>"641914"</f>
        <v>641914</v>
      </c>
      <c r="P1541" t="str">
        <f>"ОБЛ КУРГАНСКАЯ"</f>
        <v>ОБЛ КУРГАНСКАЯ</v>
      </c>
      <c r="Q1541" t="str">
        <f>"Р-Н КАРГАПОЛЬСКИЙ"</f>
        <v>Р-Н КАРГАПОЛЬСКИЙ</v>
      </c>
      <c r="R1541" t="str">
        <f>""</f>
        <v/>
      </c>
      <c r="S1541" t="str">
        <f>"Д ШАХМАТОВА"</f>
        <v>Д ШАХМАТОВА</v>
      </c>
      <c r="T1541" t="str">
        <f>"УЛ ГОРНАЯ"</f>
        <v>УЛ ГОРНАЯ</v>
      </c>
      <c r="U1541" s="1" t="str">
        <f>"32"</f>
        <v>32</v>
      </c>
      <c r="V1541" s="1" t="str">
        <f>""</f>
        <v/>
      </c>
      <c r="W1541" s="1" t="str">
        <f>""</f>
        <v/>
      </c>
      <c r="X1541" s="1" t="str">
        <f>""</f>
        <v/>
      </c>
      <c r="Y1541" s="1" t="str">
        <f>""</f>
        <v/>
      </c>
      <c r="Z1541" t="str">
        <f>""</f>
        <v/>
      </c>
      <c r="AA1541" t="str">
        <f>""</f>
        <v/>
      </c>
      <c r="AB1541" t="str">
        <f>"+7 (922) 5729765"</f>
        <v>+7 (922) 5729765</v>
      </c>
      <c r="AC1541" t="str">
        <f>"9226785749"</f>
        <v>9226785749</v>
      </c>
      <c r="AD1541" t="str">
        <f>"9225729765"</f>
        <v>9225729765</v>
      </c>
      <c r="AE1541" t="str">
        <f>""</f>
        <v/>
      </c>
    </row>
    <row r="1542" spans="1:31" x14ac:dyDescent="0.45">
      <c r="A1542" t="str">
        <f>"ПЕТРОВ ВЛАДИМИР АНТОНОВИЧ"</f>
        <v>ПЕТРОВ ВЛАДИМИР АНТОНОВИЧ</v>
      </c>
      <c r="B1542" t="str">
        <f>"1961-01-11"</f>
        <v>1961-01-11</v>
      </c>
      <c r="C1542" t="str">
        <f>"74 06 584821"</f>
        <v>74 06 584821</v>
      </c>
      <c r="D1542" t="str">
        <f>"4854630099332457"</f>
        <v>4854630099332457</v>
      </c>
      <c r="E1542" t="str">
        <f>"2020-04-30"</f>
        <v>2020-04-30</v>
      </c>
      <c r="F1542" t="str">
        <f>"+"</f>
        <v>+</v>
      </c>
      <c r="G1542" t="str">
        <f>"+"</f>
        <v>+</v>
      </c>
      <c r="H1542" t="str">
        <f>"40817810916992113382"</f>
        <v>40817810916992113382</v>
      </c>
      <c r="I1542" t="str">
        <f>"8369"</f>
        <v>8369</v>
      </c>
      <c r="J1542" t="str">
        <f>"0045"</f>
        <v>0045</v>
      </c>
      <c r="K1542" t="str">
        <f>"38000.00"</f>
        <v>38000.00</v>
      </c>
      <c r="L1542" t="str">
        <f>"629880 ОБЛ ТЮМЕНСКАЯ Р-Н ПУРОВСКИЙ   П ПУРОВСК УЛ ТИХАЯ д. 3 кв. 1"</f>
        <v>629880 ОБЛ ТЮМЕНСКАЯ Р-Н ПУРОВСКИЙ   П ПУРОВСК УЛ ТИХАЯ д. 3 кв. 1</v>
      </c>
      <c r="M1542" t="str">
        <f t="shared" si="261"/>
        <v>2019-08-24</v>
      </c>
      <c r="N1542" t="str">
        <f>"ПЕНСИОНЕР"</f>
        <v>ПЕНСИОНЕР</v>
      </c>
      <c r="O1542" t="str">
        <f>"629880"</f>
        <v>629880</v>
      </c>
      <c r="P1542" t="str">
        <f>"ОБЛ ТЮМЕНСКАЯ"</f>
        <v>ОБЛ ТЮМЕНСКАЯ</v>
      </c>
      <c r="Q1542" t="str">
        <f>"Р-Н ПУРОВСКИЙ"</f>
        <v>Р-Н ПУРОВСКИЙ</v>
      </c>
      <c r="R1542" t="str">
        <f>""</f>
        <v/>
      </c>
      <c r="S1542" t="str">
        <f>"П ПУРОВСК"</f>
        <v>П ПУРОВСК</v>
      </c>
      <c r="T1542" t="str">
        <f>"УЛ ТИХАЯ"</f>
        <v>УЛ ТИХАЯ</v>
      </c>
      <c r="U1542" s="1" t="str">
        <f>"3"</f>
        <v>3</v>
      </c>
      <c r="V1542" s="1" t="str">
        <f>""</f>
        <v/>
      </c>
      <c r="W1542" s="1" t="str">
        <f>""</f>
        <v/>
      </c>
      <c r="X1542" s="1" t="str">
        <f>""</f>
        <v/>
      </c>
      <c r="Y1542" s="1" t="str">
        <f>"1"</f>
        <v>1</v>
      </c>
      <c r="Z1542" t="str">
        <f>"23744"</f>
        <v>23744</v>
      </c>
      <c r="AA1542" t="str">
        <f>"9220657781"</f>
        <v>9220657781</v>
      </c>
      <c r="AB1542" t="str">
        <f>"9320605956"</f>
        <v>9320605956</v>
      </c>
      <c r="AC1542" t="str">
        <f>"9220657781"</f>
        <v>9220657781</v>
      </c>
      <c r="AD1542" t="str">
        <f>"9320605956"</f>
        <v>9320605956</v>
      </c>
      <c r="AE1542" t="str">
        <f>""</f>
        <v/>
      </c>
    </row>
    <row r="1543" spans="1:31" x14ac:dyDescent="0.45">
      <c r="A1543" t="str">
        <f>"ПЕТРОВА НАТАЛЬЯ ВЛАДИМИРОВНА"</f>
        <v>ПЕТРОВА НАТАЛЬЯ ВЛАДИМИРОВНА</v>
      </c>
      <c r="B1543" t="str">
        <f>"1955-11-13"</f>
        <v>1955-11-13</v>
      </c>
      <c r="C1543" t="str">
        <f>"75 00 407534"</f>
        <v>75 00 407534</v>
      </c>
      <c r="D1543" t="str">
        <f>"4854630320594396"</f>
        <v>4854630320594396</v>
      </c>
      <c r="E1543" t="str">
        <f>"2020-11-30"</f>
        <v>2020-11-30</v>
      </c>
      <c r="F1543" t="str">
        <f>"Z"</f>
        <v>Z</v>
      </c>
      <c r="G1543" t="str">
        <f t="shared" ref="G1543:G1550" si="262">"+"</f>
        <v>+</v>
      </c>
      <c r="H1543" t="str">
        <f>"40817810116991391332"</f>
        <v>40817810116991391332</v>
      </c>
      <c r="I1543" t="str">
        <f>"8597"</f>
        <v>8597</v>
      </c>
      <c r="J1543" t="str">
        <f>"0459"</f>
        <v>0459</v>
      </c>
      <c r="K1543" t="str">
        <f>"0.00"</f>
        <v>0.00</v>
      </c>
      <c r="L1543" t="str">
        <f>"457040 ОБЛ ЧЕЛЯБИНСКАЯ   Г ЮЖНОУРАЛЬСК   УЛ ПАВЛОВА д. 51 кв. 21"</f>
        <v>457040 ОБЛ ЧЕЛЯБИНСКАЯ   Г ЮЖНОУРАЛЬСК   УЛ ПАВЛОВА д. 51 кв. 21</v>
      </c>
      <c r="M1543" t="str">
        <f t="shared" si="261"/>
        <v>2019-08-24</v>
      </c>
      <c r="N1543" t="str">
        <f>"ПЕНСИОНЕР"</f>
        <v>ПЕНСИОНЕР</v>
      </c>
      <c r="O1543" t="str">
        <f>"457040"</f>
        <v>457040</v>
      </c>
      <c r="P1543" t="str">
        <f>"ОБЛ ЧЕЛЯБИНСКАЯ"</f>
        <v>ОБЛ ЧЕЛЯБИНСКАЯ</v>
      </c>
      <c r="Q1543" t="str">
        <f>""</f>
        <v/>
      </c>
      <c r="R1543" t="str">
        <f>"Г ЮЖНОУРАЛЬСК"</f>
        <v>Г ЮЖНОУРАЛЬСК</v>
      </c>
      <c r="S1543" t="str">
        <f>""</f>
        <v/>
      </c>
      <c r="T1543" t="str">
        <f>"УЛ ПАВЛОВА"</f>
        <v>УЛ ПАВЛОВА</v>
      </c>
      <c r="U1543" s="1" t="str">
        <f>"51"</f>
        <v>51</v>
      </c>
      <c r="V1543" s="1" t="str">
        <f>""</f>
        <v/>
      </c>
      <c r="W1543" s="1" t="str">
        <f>""</f>
        <v/>
      </c>
      <c r="X1543" s="1" t="str">
        <f>""</f>
        <v/>
      </c>
      <c r="Y1543" s="1" t="str">
        <f>"21"</f>
        <v>21</v>
      </c>
      <c r="Z1543" t="str">
        <f>""</f>
        <v/>
      </c>
      <c r="AA1543" t="str">
        <f>"3513447211"</f>
        <v>3513447211</v>
      </c>
      <c r="AB1543" t="str">
        <f>"9090877522"</f>
        <v>9090877522</v>
      </c>
      <c r="AC1543" t="str">
        <f>"3513447211"</f>
        <v>3513447211</v>
      </c>
      <c r="AD1543" t="str">
        <f>"9090877522"</f>
        <v>9090877522</v>
      </c>
      <c r="AE1543" t="str">
        <f>""</f>
        <v/>
      </c>
    </row>
    <row r="1544" spans="1:31" x14ac:dyDescent="0.45">
      <c r="A1544" t="str">
        <f>"ЛОКТИОНОВ ПЕТР ВЛАДИМИРОВИЧ"</f>
        <v>ЛОКТИОНОВ ПЕТР ВЛАДИМИРОВИЧ</v>
      </c>
      <c r="B1544" t="str">
        <f>"1955-06-25"</f>
        <v>1955-06-25</v>
      </c>
      <c r="C1544" t="str">
        <f>"65 01 812341"</f>
        <v>65 01 812341</v>
      </c>
      <c r="D1544" t="str">
        <f>"4854630292132225"</f>
        <v>4854630292132225</v>
      </c>
      <c r="E1544" t="str">
        <f>"2020-11-30"</f>
        <v>2020-11-30</v>
      </c>
      <c r="F1544" t="str">
        <f t="shared" ref="F1544:F1550" si="263">"+"</f>
        <v>+</v>
      </c>
      <c r="G1544" t="str">
        <f t="shared" si="262"/>
        <v>+</v>
      </c>
      <c r="H1544" t="str">
        <f>"40817810416991391333"</f>
        <v>40817810416991391333</v>
      </c>
      <c r="I1544" t="str">
        <f>"7003"</f>
        <v>7003</v>
      </c>
      <c r="J1544" t="str">
        <f>"0383"</f>
        <v>0383</v>
      </c>
      <c r="K1544" t="str">
        <f>"25000.00"</f>
        <v>25000.00</v>
      </c>
      <c r="L1544" t="str">
        <f>"620000 ОБЛ СВЕРДЛОВСКАЯ   Г ЕКАТЕРИНБУРГ   УЛ АМУНДСЕНА д. 69 кв. 72"</f>
        <v>620000 ОБЛ СВЕРДЛОВСКАЯ   Г ЕКАТЕРИНБУРГ   УЛ АМУНДСЕНА д. 69 кв. 72</v>
      </c>
      <c r="M1544" t="str">
        <f t="shared" si="261"/>
        <v>2019-08-24</v>
      </c>
      <c r="N1544" t="str">
        <f>"ПЕНСИОНЕР"</f>
        <v>ПЕНСИОНЕР</v>
      </c>
      <c r="O1544" t="str">
        <f>"620000"</f>
        <v>620000</v>
      </c>
      <c r="P1544" t="str">
        <f>"ОБЛ СВЕРДЛОВСКАЯ"</f>
        <v>ОБЛ СВЕРДЛОВСКАЯ</v>
      </c>
      <c r="Q1544" t="str">
        <f>""</f>
        <v/>
      </c>
      <c r="R1544" t="str">
        <f>"Г ЕКАТЕРИНБУРГ"</f>
        <v>Г ЕКАТЕРИНБУРГ</v>
      </c>
      <c r="S1544" t="str">
        <f>""</f>
        <v/>
      </c>
      <c r="T1544" t="str">
        <f>"УЛ АМУНДСЕНА"</f>
        <v>УЛ АМУНДСЕНА</v>
      </c>
      <c r="U1544" s="1" t="str">
        <f>"69"</f>
        <v>69</v>
      </c>
      <c r="V1544" s="1" t="str">
        <f>""</f>
        <v/>
      </c>
      <c r="W1544" s="1" t="str">
        <f>""</f>
        <v/>
      </c>
      <c r="X1544" s="1" t="str">
        <f>""</f>
        <v/>
      </c>
      <c r="Y1544" s="1" t="str">
        <f>"72"</f>
        <v>72</v>
      </c>
      <c r="Z1544" t="str">
        <f>""</f>
        <v/>
      </c>
      <c r="AA1544" t="str">
        <f>"+7 (953) 0037761"</f>
        <v>+7 (953) 0037761</v>
      </c>
      <c r="AB1544" t="str">
        <f>"+7 (953) 0037761"</f>
        <v>+7 (953) 0037761</v>
      </c>
      <c r="AC1544" t="str">
        <f>"9530037761"</f>
        <v>9530037761</v>
      </c>
      <c r="AD1544" t="str">
        <f>"9530037761"</f>
        <v>9530037761</v>
      </c>
      <c r="AE1544" t="str">
        <f>""</f>
        <v/>
      </c>
    </row>
    <row r="1545" spans="1:31" x14ac:dyDescent="0.45">
      <c r="A1545" t="str">
        <f>"БАШКИРОВ АНДРЕЙ АЛЕКСАНДРОВИЧ"</f>
        <v>БАШКИРОВ АНДРЕЙ АЛЕКСАНДРОВИЧ</v>
      </c>
      <c r="B1545" t="str">
        <f>"1978-12-06"</f>
        <v>1978-12-06</v>
      </c>
      <c r="C1545" t="str">
        <f>"65 12 419435"</f>
        <v>65 12 419435</v>
      </c>
      <c r="D1545" t="str">
        <f>"4279011696374647"</f>
        <v>4279011696374647</v>
      </c>
      <c r="E1545" t="str">
        <f t="shared" ref="E1545:E1556" si="264">"2021-05-31"</f>
        <v>2021-05-31</v>
      </c>
      <c r="F1545" t="str">
        <f t="shared" si="263"/>
        <v>+</v>
      </c>
      <c r="G1545" t="str">
        <f t="shared" si="262"/>
        <v>+</v>
      </c>
      <c r="H1545" t="str">
        <f>"40817810616991391395"</f>
        <v>40817810616991391395</v>
      </c>
      <c r="I1545" t="str">
        <f>"7003"</f>
        <v>7003</v>
      </c>
      <c r="J1545" t="str">
        <f>"0457"</f>
        <v>0457</v>
      </c>
      <c r="K1545" t="str">
        <f>"46000.00"</f>
        <v>46000.00</v>
      </c>
      <c r="L1545" t="str">
        <f>"620000 ОБЛ СВЕРДЛОВСКАЯ   Г ЕКАТЕРИНБУРГ   УЛ САМОЛЕТНАЯ д. 27"</f>
        <v>620000 ОБЛ СВЕРДЛОВСКАЯ   Г ЕКАТЕРИНБУРГ   УЛ САМОЛЕТНАЯ д. 27</v>
      </c>
      <c r="M1545" t="str">
        <f t="shared" si="261"/>
        <v>2019-08-24</v>
      </c>
      <c r="N1545" t="str">
        <f>"ГРУЗОПЕРЕВОЗКИ"</f>
        <v>ГРУЗОПЕРЕВОЗКИ</v>
      </c>
      <c r="O1545" t="str">
        <f>"620000"</f>
        <v>620000</v>
      </c>
      <c r="P1545" t="str">
        <f>"ОБЛ СВЕРДЛОВСКАЯ"</f>
        <v>ОБЛ СВЕРДЛОВСКАЯ</v>
      </c>
      <c r="Q1545" t="str">
        <f>""</f>
        <v/>
      </c>
      <c r="R1545" t="str">
        <f>"Г ЕКАТЕРИНБУРГ"</f>
        <v>Г ЕКАТЕРИНБУРГ</v>
      </c>
      <c r="S1545" t="str">
        <f>""</f>
        <v/>
      </c>
      <c r="T1545" t="str">
        <f>"УЛ САМОЛЕТНАЯ"</f>
        <v>УЛ САМОЛЕТНАЯ</v>
      </c>
      <c r="U1545" s="1" t="str">
        <f>"27"</f>
        <v>27</v>
      </c>
      <c r="V1545" s="1" t="str">
        <f>""</f>
        <v/>
      </c>
      <c r="W1545" s="1" t="str">
        <f>""</f>
        <v/>
      </c>
      <c r="X1545" s="1" t="str">
        <f>""</f>
        <v/>
      </c>
      <c r="Y1545" s="1" t="str">
        <f>"319"</f>
        <v>319</v>
      </c>
      <c r="Z1545" t="str">
        <f>""</f>
        <v/>
      </c>
      <c r="AA1545" t="str">
        <f>"9089251240"</f>
        <v>9089251240</v>
      </c>
      <c r="AB1545" t="str">
        <f>"9089251240"</f>
        <v>9089251240</v>
      </c>
      <c r="AC1545" t="str">
        <f>"9089251240"</f>
        <v>9089251240</v>
      </c>
      <c r="AD1545" t="str">
        <f>"9089251240"</f>
        <v>9089251240</v>
      </c>
      <c r="AE1545" t="str">
        <f>""</f>
        <v/>
      </c>
    </row>
    <row r="1546" spans="1:31" x14ac:dyDescent="0.45">
      <c r="A1546" t="str">
        <f>"ТОКУЖИНОВ СЕРГЕЙ ШАМАМБАЕВИЧ"</f>
        <v>ТОКУЖИНОВ СЕРГЕЙ ШАМАМБАЕВИЧ</v>
      </c>
      <c r="B1546" t="str">
        <f>"1985-05-02"</f>
        <v>1985-05-02</v>
      </c>
      <c r="C1546" t="str">
        <f>"65 15 041360"</f>
        <v>65 15 041360</v>
      </c>
      <c r="D1546" t="str">
        <f>"4279011699013838"</f>
        <v>4279011699013838</v>
      </c>
      <c r="E1546" t="str">
        <f t="shared" si="264"/>
        <v>2021-05-31</v>
      </c>
      <c r="F1546" t="str">
        <f t="shared" si="263"/>
        <v>+</v>
      </c>
      <c r="G1546" t="str">
        <f t="shared" si="262"/>
        <v>+</v>
      </c>
      <c r="H1546" t="str">
        <f>"40817810916991391396"</f>
        <v>40817810916991391396</v>
      </c>
      <c r="I1546" t="str">
        <f>"7003"</f>
        <v>7003</v>
      </c>
      <c r="J1546" t="str">
        <f>"0741"</f>
        <v>0741</v>
      </c>
      <c r="K1546" t="str">
        <f>"60000.00"</f>
        <v>60000.00</v>
      </c>
      <c r="L1546" t="str">
        <f>"620000 ОБЛ СВЕРДЛОВСКАЯ   Г НИЖНИЙ ТАГИЛ   УЛ КАРЛА МАРКСА д. 39"</f>
        <v>620000 ОБЛ СВЕРДЛОВСКАЯ   Г НИЖНИЙ ТАГИЛ   УЛ КАРЛА МАРКСА д. 39</v>
      </c>
      <c r="M1546" t="str">
        <f t="shared" si="261"/>
        <v>2019-08-24</v>
      </c>
      <c r="N1546" t="str">
        <f>"ИП ГРИГОРЬЕВ С.А."</f>
        <v>ИП ГРИГОРЬЕВ С.А.</v>
      </c>
      <c r="O1546" t="str">
        <f>"620000"</f>
        <v>620000</v>
      </c>
      <c r="P1546" t="str">
        <f>"ОБЛ СВЕРДЛОВСКАЯ"</f>
        <v>ОБЛ СВЕРДЛОВСКАЯ</v>
      </c>
      <c r="Q1546" t="str">
        <f>""</f>
        <v/>
      </c>
      <c r="R1546" t="str">
        <f>""</f>
        <v/>
      </c>
      <c r="S1546" t="str">
        <f>"П ЧЕРНОИСТОЧИНСК"</f>
        <v>П ЧЕРНОИСТОЧИНСК</v>
      </c>
      <c r="T1546" t="str">
        <f>"УЛ КИРОВА"</f>
        <v>УЛ КИРОВА</v>
      </c>
      <c r="U1546" s="1" t="str">
        <f>"3"</f>
        <v>3</v>
      </c>
      <c r="V1546" s="1" t="str">
        <f>""</f>
        <v/>
      </c>
      <c r="W1546" s="1" t="str">
        <f>""</f>
        <v/>
      </c>
      <c r="X1546" s="1" t="str">
        <f>""</f>
        <v/>
      </c>
      <c r="Y1546" s="1" t="str">
        <f>""</f>
        <v/>
      </c>
      <c r="Z1546" t="str">
        <f>""</f>
        <v/>
      </c>
      <c r="AA1546" t="str">
        <f>"9527275458"</f>
        <v>9527275458</v>
      </c>
      <c r="AB1546" t="str">
        <f>"9501960997"</f>
        <v>9501960997</v>
      </c>
      <c r="AC1546" t="str">
        <f>"9527275458"</f>
        <v>9527275458</v>
      </c>
      <c r="AD1546" t="str">
        <f>"9501960997"</f>
        <v>9501960997</v>
      </c>
      <c r="AE1546" t="str">
        <f>""</f>
        <v/>
      </c>
    </row>
    <row r="1547" spans="1:31" x14ac:dyDescent="0.45">
      <c r="A1547" t="str">
        <f>"ПЕТЕРНЕВ ВИТАЛИЙ АЛЕКСАНДРОВИЧ"</f>
        <v>ПЕТЕРНЕВ ВИТАЛИЙ АЛЕКСАНДРОВИЧ</v>
      </c>
      <c r="B1547" t="str">
        <f>"1974-03-29"</f>
        <v>1974-03-29</v>
      </c>
      <c r="C1547" t="str">
        <f>"75 18 282065"</f>
        <v>75 18 282065</v>
      </c>
      <c r="D1547" t="str">
        <f>"4279011645264238"</f>
        <v>4279011645264238</v>
      </c>
      <c r="E1547" t="str">
        <f t="shared" si="264"/>
        <v>2021-05-31</v>
      </c>
      <c r="F1547" t="str">
        <f t="shared" si="263"/>
        <v>+</v>
      </c>
      <c r="G1547" t="str">
        <f t="shared" si="262"/>
        <v>+</v>
      </c>
      <c r="H1547" t="str">
        <f>"40817810216991391397"</f>
        <v>40817810216991391397</v>
      </c>
      <c r="I1547" t="str">
        <f>"8597"</f>
        <v>8597</v>
      </c>
      <c r="J1547" t="str">
        <f>"0313"</f>
        <v>0313</v>
      </c>
      <c r="K1547" t="str">
        <f>"300000.00"</f>
        <v>300000.00</v>
      </c>
      <c r="L1547" t="str">
        <f>"454000 ОБЛ ЧЕЛЯБИНСКАЯ   Г ЧЕЛЯБИНСК   УЛ ГЕР ТАНКОГРАДА д. 17 корп. П"</f>
        <v>454000 ОБЛ ЧЕЛЯБИНСКАЯ   Г ЧЕЛЯБИНСК   УЛ ГЕР ТАНКОГРАДА д. 17 корп. П</v>
      </c>
      <c r="M1547" t="str">
        <f t="shared" si="261"/>
        <v>2019-08-24</v>
      </c>
      <c r="N1547" t="str">
        <f>"ООО ЮЖМЕТАЛСЕРВИС"</f>
        <v>ООО ЮЖМЕТАЛСЕРВИС</v>
      </c>
      <c r="O1547" t="str">
        <f>"454000"</f>
        <v>454000</v>
      </c>
      <c r="P1547" t="str">
        <f>"ОБЛ ЧЕЛЯБИНСКАЯ"</f>
        <v>ОБЛ ЧЕЛЯБИНСКАЯ</v>
      </c>
      <c r="Q1547" t="str">
        <f>""</f>
        <v/>
      </c>
      <c r="R1547" t="str">
        <f>"Г ЧЕЛЯБИНСК"</f>
        <v>Г ЧЕЛЯБИНСК</v>
      </c>
      <c r="S1547" t="str">
        <f>"Г КОПЕЙСК"</f>
        <v>Г КОПЕЙСК</v>
      </c>
      <c r="T1547" t="str">
        <f>"ПЕР ПАВЛИКА МОРОЗОВА"</f>
        <v>ПЕР ПАВЛИКА МОРОЗОВА</v>
      </c>
      <c r="U1547" s="1" t="str">
        <f>"7"</f>
        <v>7</v>
      </c>
      <c r="V1547" s="1" t="str">
        <f>""</f>
        <v/>
      </c>
      <c r="W1547" s="1" t="str">
        <f>""</f>
        <v/>
      </c>
      <c r="X1547" s="1" t="str">
        <f>""</f>
        <v/>
      </c>
      <c r="Y1547" s="1" t="str">
        <f>"0"</f>
        <v>0</v>
      </c>
      <c r="Z1547" t="str">
        <f>"3512619553"</f>
        <v>3512619553</v>
      </c>
      <c r="AA1547" t="str">
        <f>"3513920269"</f>
        <v>3513920269</v>
      </c>
      <c r="AB1547" t="str">
        <f>"9518034393"</f>
        <v>9518034393</v>
      </c>
      <c r="AC1547" t="str">
        <f>"3510000000"</f>
        <v>3510000000</v>
      </c>
      <c r="AD1547" t="str">
        <f>"9518034393"</f>
        <v>9518034393</v>
      </c>
      <c r="AE1547" t="str">
        <f>""</f>
        <v/>
      </c>
    </row>
    <row r="1548" spans="1:31" x14ac:dyDescent="0.45">
      <c r="A1548" t="str">
        <f>"СЛОБОДЧИКОВА НАТАЛЬЯ АЛЕКСАНДРОВНА"</f>
        <v>СЛОБОДЧИКОВА НАТАЛЬЯ АЛЕКСАНДРОВНА</v>
      </c>
      <c r="B1548" t="str">
        <f>"1983-04-04"</f>
        <v>1983-04-04</v>
      </c>
      <c r="C1548" t="str">
        <f>"65 10 999278"</f>
        <v>65 10 999278</v>
      </c>
      <c r="D1548" t="str">
        <f>"4279011658449767"</f>
        <v>4279011658449767</v>
      </c>
      <c r="E1548" t="str">
        <f t="shared" si="264"/>
        <v>2021-05-31</v>
      </c>
      <c r="F1548" t="str">
        <f t="shared" si="263"/>
        <v>+</v>
      </c>
      <c r="G1548" t="str">
        <f t="shared" si="262"/>
        <v>+</v>
      </c>
      <c r="H1548" t="str">
        <f>"40817810116991391497"</f>
        <v>40817810116991391497</v>
      </c>
      <c r="I1548" t="str">
        <f>"7003"</f>
        <v>7003</v>
      </c>
      <c r="J1548" t="str">
        <f>"0391"</f>
        <v>0391</v>
      </c>
      <c r="K1548" t="str">
        <f>"105000.00"</f>
        <v>105000.00</v>
      </c>
      <c r="L1548" t="str">
        <f>"620000 ОБЛ СВЕРДЛОВСКАЯ   Г ЕКАТЕРИНБУРГ   УЛ СЕРАФИМЫ ДЕРЯБИНОЙ д. 32"</f>
        <v>620000 ОБЛ СВЕРДЛОВСКАЯ   Г ЕКАТЕРИНБУРГ   УЛ СЕРАФИМЫ ДЕРЯБИНОЙ д. 32</v>
      </c>
      <c r="M1548" t="str">
        <f t="shared" si="261"/>
        <v>2019-08-24</v>
      </c>
      <c r="N1548" t="str">
        <f>"ГБУЗ СО ОДКБ №1"</f>
        <v>ГБУЗ СО ОДКБ №1</v>
      </c>
      <c r="O1548" t="str">
        <f>"620000"</f>
        <v>620000</v>
      </c>
      <c r="P1548" t="str">
        <f>"ОБЛ СВЕРДЛОВСКАЯ"</f>
        <v>ОБЛ СВЕРДЛОВСКАЯ</v>
      </c>
      <c r="Q1548" t="str">
        <f>""</f>
        <v/>
      </c>
      <c r="R1548" t="str">
        <f>"Г ЕКАТЕРИНБУРГ"</f>
        <v>Г ЕКАТЕРИНБУРГ</v>
      </c>
      <c r="S1548" t="str">
        <f>""</f>
        <v/>
      </c>
      <c r="T1548" t="str">
        <f>"УЛ АКАДЕМИКА БАРДИНА"</f>
        <v>УЛ АКАДЕМИКА БАРДИНА</v>
      </c>
      <c r="U1548" s="1" t="str">
        <f>"30"</f>
        <v>30</v>
      </c>
      <c r="V1548" s="1" t="str">
        <f>""</f>
        <v/>
      </c>
      <c r="W1548" s="1" t="str">
        <f>""</f>
        <v/>
      </c>
      <c r="X1548" s="1" t="str">
        <f>""</f>
        <v/>
      </c>
      <c r="Y1548" s="1" t="str">
        <f>"58"</f>
        <v>58</v>
      </c>
      <c r="Z1548" t="str">
        <f>"9221387116"</f>
        <v>9221387116</v>
      </c>
      <c r="AA1548" t="str">
        <f>"9221387116"</f>
        <v>9221387116</v>
      </c>
      <c r="AB1548" t="str">
        <f>"9221387116"</f>
        <v>9221387116</v>
      </c>
      <c r="AC1548" t="str">
        <f>"9221387116"</f>
        <v>9221387116</v>
      </c>
      <c r="AD1548" t="str">
        <f>"9221387116"</f>
        <v>9221387116</v>
      </c>
      <c r="AE1548" t="str">
        <f>"9221387116"</f>
        <v>9221387116</v>
      </c>
    </row>
    <row r="1549" spans="1:31" x14ac:dyDescent="0.45">
      <c r="A1549" t="str">
        <f>"ИСЛАМОВ РУСЛАН АЙДАРОВИЧ"</f>
        <v>ИСЛАМОВ РУСЛАН АЙДАРОВИЧ</v>
      </c>
      <c r="B1549" t="str">
        <f>"1996-09-20"</f>
        <v>1996-09-20</v>
      </c>
      <c r="C1549" t="str">
        <f>"80 16 416120"</f>
        <v>80 16 416120</v>
      </c>
      <c r="D1549" t="str">
        <f>"4279011661088966"</f>
        <v>4279011661088966</v>
      </c>
      <c r="E1549" t="str">
        <f t="shared" si="264"/>
        <v>2021-05-31</v>
      </c>
      <c r="F1549" t="str">
        <f t="shared" si="263"/>
        <v>+</v>
      </c>
      <c r="G1549" t="str">
        <f t="shared" si="262"/>
        <v>+</v>
      </c>
      <c r="H1549" t="str">
        <f>"40817810416991391498"</f>
        <v>40817810416991391498</v>
      </c>
      <c r="I1549" t="str">
        <f>"8598"</f>
        <v>8598</v>
      </c>
      <c r="J1549" t="str">
        <f>"0569"</f>
        <v>0569</v>
      </c>
      <c r="K1549" t="str">
        <f>"50000.00"</f>
        <v>50000.00</v>
      </c>
      <c r="L1549" t="str">
        <f>"450000 РЕСП БАШКОРТОСТАН   Г УФА   УЛ РОСТОВСКАЯ д. 20"</f>
        <v>450000 РЕСП БАШКОРТОСТАН   Г УФА   УЛ РОСТОВСКАЯ д. 20</v>
      </c>
      <c r="M1549" t="str">
        <f t="shared" si="261"/>
        <v>2019-08-24</v>
      </c>
      <c r="N1549" t="str">
        <f>"ООО БАШНЕФТЬГЕОФИЗИКА"</f>
        <v>ООО БАШНЕФТЬГЕОФИЗИКА</v>
      </c>
      <c r="O1549" t="str">
        <f>"453030"</f>
        <v>453030</v>
      </c>
      <c r="P1549" t="str">
        <f>"РЕСП БАШКОРТОСТАН"</f>
        <v>РЕСП БАШКОРТОСТАН</v>
      </c>
      <c r="Q1549" t="str">
        <f>"Р-Н АРХАНГЕЛЬСКИЙ"</f>
        <v>Р-Н АРХАНГЕЛЬСКИЙ</v>
      </c>
      <c r="R1549" t="str">
        <f>""</f>
        <v/>
      </c>
      <c r="S1549" t="str">
        <f>"С АРХАНГЕЛЬСКОЕ"</f>
        <v>С АРХАНГЕЛЬСКОЕ</v>
      </c>
      <c r="T1549" t="str">
        <f>"УЛ ПУШКИНА"</f>
        <v>УЛ ПУШКИНА</v>
      </c>
      <c r="U1549" s="1" t="str">
        <f>"97"</f>
        <v>97</v>
      </c>
      <c r="V1549" s="1" t="str">
        <f>""</f>
        <v/>
      </c>
      <c r="W1549" s="1" t="str">
        <f>""</f>
        <v/>
      </c>
      <c r="X1549" s="1" t="str">
        <f>""</f>
        <v/>
      </c>
      <c r="Y1549" s="1" t="str">
        <f>""</f>
        <v/>
      </c>
      <c r="Z1549" t="str">
        <f>""</f>
        <v/>
      </c>
      <c r="AA1549" t="str">
        <f>"9874919129"</f>
        <v>9874919129</v>
      </c>
      <c r="AB1549" t="str">
        <f>"9874919129"</f>
        <v>9874919129</v>
      </c>
      <c r="AC1549" t="str">
        <f>"9874919129"</f>
        <v>9874919129</v>
      </c>
      <c r="AD1549" t="str">
        <f>"9874919129"</f>
        <v>9874919129</v>
      </c>
      <c r="AE1549" t="str">
        <f>""</f>
        <v/>
      </c>
    </row>
    <row r="1550" spans="1:31" x14ac:dyDescent="0.45">
      <c r="A1550" t="str">
        <f>"АНТОНОВ ИЛЬЯ АЛЕКСАНДРОВИЧ"</f>
        <v>АНТОНОВ ИЛЬЯ АЛЕКСАНДРОВИЧ</v>
      </c>
      <c r="B1550" t="str">
        <f>"1981-02-26"</f>
        <v>1981-02-26</v>
      </c>
      <c r="C1550" t="str">
        <f>"65 03 229970"</f>
        <v>65 03 229970</v>
      </c>
      <c r="D1550" t="str">
        <f>"4279011664366369"</f>
        <v>4279011664366369</v>
      </c>
      <c r="E1550" t="str">
        <f t="shared" si="264"/>
        <v>2021-05-31</v>
      </c>
      <c r="F1550" t="str">
        <f t="shared" si="263"/>
        <v>+</v>
      </c>
      <c r="G1550" t="str">
        <f t="shared" si="262"/>
        <v>+</v>
      </c>
      <c r="H1550" t="str">
        <f>"40817810216991391494"</f>
        <v>40817810216991391494</v>
      </c>
      <c r="I1550" t="str">
        <f>"7003"</f>
        <v>7003</v>
      </c>
      <c r="J1550" t="str">
        <f>"0898"</f>
        <v>0898</v>
      </c>
      <c r="K1550" t="str">
        <f>"225000.00"</f>
        <v>225000.00</v>
      </c>
      <c r="L1550" t="str">
        <f>"620000 ОБЛ СВЕРДЛОВСКАЯ   Г ЕКАТЕРИНБУРГ   ПЕР КРАСНЫЙ д. 13"</f>
        <v>620000 ОБЛ СВЕРДЛОВСКАЯ   Г ЕКАТЕРИНБУРГ   ПЕР КРАСНЫЙ д. 13</v>
      </c>
      <c r="M1550" t="str">
        <f t="shared" si="261"/>
        <v>2019-08-24</v>
      </c>
      <c r="N1550" t="str">
        <f>"ИП"</f>
        <v>ИП</v>
      </c>
      <c r="O1550" t="str">
        <f>"620000"</f>
        <v>620000</v>
      </c>
      <c r="P1550" t="str">
        <f>"ОБЛ СВЕРДЛОВСКАЯ"</f>
        <v>ОБЛ СВЕРДЛОВСКАЯ</v>
      </c>
      <c r="Q1550" t="str">
        <f>""</f>
        <v/>
      </c>
      <c r="R1550" t="str">
        <f>"Г ЕКАТЕРИНБУРГ"</f>
        <v>Г ЕКАТЕРИНБУРГ</v>
      </c>
      <c r="S1550" t="str">
        <f>""</f>
        <v/>
      </c>
      <c r="T1550" t="str">
        <f>"ПЕР КРАСНЫЙ"</f>
        <v>ПЕР КРАСНЫЙ</v>
      </c>
      <c r="U1550" s="1" t="str">
        <f>"13"</f>
        <v>13</v>
      </c>
      <c r="V1550" s="1" t="str">
        <f>""</f>
        <v/>
      </c>
      <c r="W1550" s="1" t="str">
        <f>""</f>
        <v/>
      </c>
      <c r="X1550" s="1" t="str">
        <f>""</f>
        <v/>
      </c>
      <c r="Y1550" s="1" t="str">
        <f>""</f>
        <v/>
      </c>
      <c r="Z1550" t="str">
        <f>"9221492222"</f>
        <v>9221492222</v>
      </c>
      <c r="AA1550" t="str">
        <f>"9221492222"</f>
        <v>9221492222</v>
      </c>
      <c r="AB1550" t="str">
        <f>"9221492222"</f>
        <v>9221492222</v>
      </c>
      <c r="AC1550" t="str">
        <f>"9221492222"</f>
        <v>9221492222</v>
      </c>
      <c r="AD1550" t="str">
        <f>"9221492222"</f>
        <v>9221492222</v>
      </c>
      <c r="AE1550" t="str">
        <f>"9221492222"</f>
        <v>9221492222</v>
      </c>
    </row>
    <row r="1551" spans="1:31" x14ac:dyDescent="0.45">
      <c r="A1551" t="str">
        <f>"ДАВЫДОВ АЛЕКСАНДР ВАСИЛЬЕВИЧ"</f>
        <v>ДАВЫДОВ АЛЕКСАНДР ВАСИЛЬЕВИЧ</v>
      </c>
      <c r="B1551" t="str">
        <f>"1982-06-29"</f>
        <v>1982-06-29</v>
      </c>
      <c r="C1551" t="str">
        <f>"75 04 546966"</f>
        <v>75 04 546966</v>
      </c>
      <c r="D1551" t="str">
        <f>"4279011649024026"</f>
        <v>4279011649024026</v>
      </c>
      <c r="E1551" t="str">
        <f t="shared" si="264"/>
        <v>2021-05-31</v>
      </c>
      <c r="F1551" t="str">
        <f>"Q"</f>
        <v>Q</v>
      </c>
      <c r="G1551" t="str">
        <f>"Q"</f>
        <v>Q</v>
      </c>
      <c r="H1551" t="str">
        <f>"40817810316991391501"</f>
        <v>40817810316991391501</v>
      </c>
      <c r="I1551" t="str">
        <f>"8597"</f>
        <v>8597</v>
      </c>
      <c r="J1551" t="str">
        <f>"0241"</f>
        <v>0241</v>
      </c>
      <c r="K1551" t="str">
        <f>"0.00"</f>
        <v>0.00</v>
      </c>
      <c r="L1551" t="str">
        <f>"454000 ОБЛ ЧЕЛЯБИНСКАЯ   Г ЧЕЛЯБИНСК   УЛ РОССИЙСКАЯ д. 1"</f>
        <v>454000 ОБЛ ЧЕЛЯБИНСКАЯ   Г ЧЕЛЯБИНСК   УЛ РОССИЙСКАЯ д. 1</v>
      </c>
      <c r="M1551" t="str">
        <f t="shared" si="261"/>
        <v>2019-08-24</v>
      </c>
      <c r="N1551" t="str">
        <f>"НАО ЭТАЛОН ВЕСЛПРОМ"</f>
        <v>НАО ЭТАЛОН ВЕСЛПРОМ</v>
      </c>
      <c r="O1551" t="str">
        <f>"454000"</f>
        <v>454000</v>
      </c>
      <c r="P1551" t="str">
        <f>"ОБЛ ЧЕЛЯБИНСКАЯ"</f>
        <v>ОБЛ ЧЕЛЯБИНСКАЯ</v>
      </c>
      <c r="Q1551" t="str">
        <f>""</f>
        <v/>
      </c>
      <c r="R1551" t="str">
        <f>"Г ЧЕЛЯБИНСК"</f>
        <v>Г ЧЕЛЯБИНСК</v>
      </c>
      <c r="S1551" t="str">
        <f>""</f>
        <v/>
      </c>
      <c r="T1551" t="str">
        <f>"УЛ ТРАШУТИНА"</f>
        <v>УЛ ТРАШУТИНА</v>
      </c>
      <c r="U1551" s="1" t="str">
        <f>"19"</f>
        <v>19</v>
      </c>
      <c r="V1551" s="1" t="str">
        <f>""</f>
        <v/>
      </c>
      <c r="W1551" s="1" t="str">
        <f>""</f>
        <v/>
      </c>
      <c r="X1551" s="1" t="str">
        <f>""</f>
        <v/>
      </c>
      <c r="Y1551" s="1" t="str">
        <f>"1"</f>
        <v>1</v>
      </c>
      <c r="Z1551" t="str">
        <f>"9514551672"</f>
        <v>9514551672</v>
      </c>
      <c r="AA1551" t="str">
        <f>"9080614200"</f>
        <v>9080614200</v>
      </c>
      <c r="AB1551" t="str">
        <f>"9080614200"</f>
        <v>9080614200</v>
      </c>
      <c r="AC1551" t="str">
        <f>"9080614200"</f>
        <v>9080614200</v>
      </c>
      <c r="AD1551" t="str">
        <f>"9080614200"</f>
        <v>9080614200</v>
      </c>
      <c r="AE1551" t="str">
        <f>"9514551672"</f>
        <v>9514551672</v>
      </c>
    </row>
    <row r="1552" spans="1:31" x14ac:dyDescent="0.45">
      <c r="A1552" t="str">
        <f>"БУЛАТОВА ИРИНА ВЛАДИМИРОВНА"</f>
        <v>БУЛАТОВА ИРИНА ВЛАДИМИРОВНА</v>
      </c>
      <c r="B1552" t="str">
        <f>"1971-12-04"</f>
        <v>1971-12-04</v>
      </c>
      <c r="C1552" t="str">
        <f>"65 16 355957"</f>
        <v>65 16 355957</v>
      </c>
      <c r="D1552" t="str">
        <f>"4279011641450351"</f>
        <v>4279011641450351</v>
      </c>
      <c r="E1552" t="str">
        <f t="shared" si="264"/>
        <v>2021-05-31</v>
      </c>
      <c r="F1552" t="str">
        <f t="shared" ref="F1552:G1555" si="265">"+"</f>
        <v>+</v>
      </c>
      <c r="G1552" t="str">
        <f t="shared" si="265"/>
        <v>+</v>
      </c>
      <c r="H1552" t="str">
        <f>"40817810616991391502"</f>
        <v>40817810616991391502</v>
      </c>
      <c r="I1552" t="str">
        <f>"7003"</f>
        <v>7003</v>
      </c>
      <c r="J1552" t="str">
        <f>"0682"</f>
        <v>0682</v>
      </c>
      <c r="K1552" t="str">
        <f>"25000.00"</f>
        <v>25000.00</v>
      </c>
      <c r="L1552" t="str">
        <f>"620000 ОБЛ СВЕРДЛОВСКАЯ   Г ПЕРВОУРАЛЬСК   УЛ ВАЙНЕРА д. 20"</f>
        <v>620000 ОБЛ СВЕРДЛОВСКАЯ   Г ПЕРВОУРАЛЬСК   УЛ ВАЙНЕРА д. 20</v>
      </c>
      <c r="M1552" t="str">
        <f t="shared" si="261"/>
        <v>2019-08-24</v>
      </c>
      <c r="N1552" t="str">
        <f>"ООО РОСАВТО"</f>
        <v>ООО РОСАВТО</v>
      </c>
      <c r="O1552" t="str">
        <f>"620000"</f>
        <v>620000</v>
      </c>
      <c r="P1552" t="str">
        <f>"ОБЛ СВЕРДЛОВСКАЯ"</f>
        <v>ОБЛ СВЕРДЛОВСКАЯ</v>
      </c>
      <c r="Q1552" t="str">
        <f>""</f>
        <v/>
      </c>
      <c r="R1552" t="str">
        <f>"Г ПЕРВОУРАЛЬСК"</f>
        <v>Г ПЕРВОУРАЛЬСК</v>
      </c>
      <c r="S1552" t="str">
        <f>""</f>
        <v/>
      </c>
      <c r="T1552" t="str">
        <f>"УЛ СТРОИТЕЛЕЙ"</f>
        <v>УЛ СТРОИТЕЛЕЙ</v>
      </c>
      <c r="U1552" s="1" t="str">
        <f>"1"</f>
        <v>1</v>
      </c>
      <c r="V1552" s="1" t="str">
        <f>""</f>
        <v/>
      </c>
      <c r="W1552" s="1" t="str">
        <f>""</f>
        <v/>
      </c>
      <c r="X1552" s="1" t="str">
        <f>""</f>
        <v/>
      </c>
      <c r="Y1552" s="1" t="str">
        <f>"112/3"</f>
        <v>112/3</v>
      </c>
      <c r="Z1552" t="str">
        <f>""</f>
        <v/>
      </c>
      <c r="AA1552" t="str">
        <f>"9001991971"</f>
        <v>9001991971</v>
      </c>
      <c r="AB1552" t="str">
        <f>"9089062601"</f>
        <v>9089062601</v>
      </c>
      <c r="AC1552" t="str">
        <f>"9089012601"</f>
        <v>9089012601</v>
      </c>
      <c r="AD1552" t="str">
        <f>"9089012601"</f>
        <v>9089012601</v>
      </c>
      <c r="AE1552" t="str">
        <f>""</f>
        <v/>
      </c>
    </row>
    <row r="1553" spans="1:31" x14ac:dyDescent="0.45">
      <c r="A1553" t="str">
        <f>"БАБОШКИНА НАДЕЖДА ВЛАДИМИРОВНА"</f>
        <v>БАБОШКИНА НАДЕЖДА ВЛАДИМИРОВНА</v>
      </c>
      <c r="B1553" t="str">
        <f>"1986-09-17"</f>
        <v>1986-09-17</v>
      </c>
      <c r="C1553" t="str">
        <f>"65 08 604793"</f>
        <v>65 08 604793</v>
      </c>
      <c r="D1553" t="str">
        <f>"4279011653589757"</f>
        <v>4279011653589757</v>
      </c>
      <c r="E1553" t="str">
        <f t="shared" si="264"/>
        <v>2021-05-31</v>
      </c>
      <c r="F1553" t="str">
        <f t="shared" si="265"/>
        <v>+</v>
      </c>
      <c r="G1553" t="str">
        <f t="shared" si="265"/>
        <v>+</v>
      </c>
      <c r="H1553" t="str">
        <f>"40817810516991391505"</f>
        <v>40817810516991391505</v>
      </c>
      <c r="I1553" t="str">
        <f>"7003"</f>
        <v>7003</v>
      </c>
      <c r="J1553" t="str">
        <f>"0659"</f>
        <v>0659</v>
      </c>
      <c r="K1553" t="str">
        <f>"11000.00"</f>
        <v>11000.00</v>
      </c>
      <c r="L1553" t="str">
        <f>"620000 ОБЛ СВЕРДЛОВСКАЯ Р-Н АЧИТСКИЙ   П АЧИТ УЛ ЛЕНИНА д. 2А"</f>
        <v>620000 ОБЛ СВЕРДЛОВСКАЯ Р-Н АЧИТСКИЙ   П АЧИТ УЛ ЛЕНИНА д. 2А</v>
      </c>
      <c r="M1553" t="str">
        <f t="shared" si="261"/>
        <v>2019-08-24</v>
      </c>
      <c r="N1553" t="str">
        <f>"ИП МОГИЛЬНИКОВ И.В."</f>
        <v>ИП МОГИЛЬНИКОВ И.В.</v>
      </c>
      <c r="O1553" t="str">
        <f>"620000"</f>
        <v>620000</v>
      </c>
      <c r="P1553" t="str">
        <f>"ОБЛ СВЕРДЛОВСКАЯ"</f>
        <v>ОБЛ СВЕРДЛОВСКАЯ</v>
      </c>
      <c r="Q1553" t="str">
        <f>""</f>
        <v/>
      </c>
      <c r="R1553" t="str">
        <f>""</f>
        <v/>
      </c>
      <c r="S1553" t="str">
        <f>"П АЧИТ"</f>
        <v>П АЧИТ</v>
      </c>
      <c r="T1553" t="str">
        <f>"УЛ СОВЕТСКАЯ"</f>
        <v>УЛ СОВЕТСКАЯ</v>
      </c>
      <c r="U1553" s="1" t="str">
        <f>"58"</f>
        <v>58</v>
      </c>
      <c r="V1553" s="1" t="str">
        <f>""</f>
        <v/>
      </c>
      <c r="W1553" s="1" t="str">
        <f>""</f>
        <v/>
      </c>
      <c r="X1553" s="1" t="str">
        <f>""</f>
        <v/>
      </c>
      <c r="Y1553" s="1" t="str">
        <f>""</f>
        <v/>
      </c>
      <c r="Z1553" t="str">
        <f>""</f>
        <v/>
      </c>
      <c r="AA1553" t="str">
        <f>"9089274016"</f>
        <v>9089274016</v>
      </c>
      <c r="AB1553" t="str">
        <f>"9089274016"</f>
        <v>9089274016</v>
      </c>
      <c r="AC1553" t="str">
        <f>"9089274016"</f>
        <v>9089274016</v>
      </c>
      <c r="AD1553" t="str">
        <f>"9089274016"</f>
        <v>9089274016</v>
      </c>
      <c r="AE1553" t="str">
        <f>""</f>
        <v/>
      </c>
    </row>
    <row r="1554" spans="1:31" x14ac:dyDescent="0.45">
      <c r="A1554" t="str">
        <f>"МОСЕЕВА СВЕТЛАНА ВАЛЕРЬЕВНА"</f>
        <v>МОСЕЕВА СВЕТЛАНА ВАЛЕРЬЕВНА</v>
      </c>
      <c r="B1554" t="str">
        <f>"1988-04-25"</f>
        <v>1988-04-25</v>
      </c>
      <c r="C1554" t="str">
        <f>"65 09 672967"</f>
        <v>65 09 672967</v>
      </c>
      <c r="D1554" t="str">
        <f>"4279011697200957"</f>
        <v>4279011697200957</v>
      </c>
      <c r="E1554" t="str">
        <f t="shared" si="264"/>
        <v>2021-05-31</v>
      </c>
      <c r="F1554" t="str">
        <f t="shared" si="265"/>
        <v>+</v>
      </c>
      <c r="G1554" t="str">
        <f t="shared" si="265"/>
        <v>+</v>
      </c>
      <c r="H1554" t="str">
        <f>"40817810716991391509"</f>
        <v>40817810716991391509</v>
      </c>
      <c r="I1554" t="str">
        <f>"7003"</f>
        <v>7003</v>
      </c>
      <c r="J1554" t="str">
        <f>"0681"</f>
        <v>0681</v>
      </c>
      <c r="K1554" t="str">
        <f>"46000.00"</f>
        <v>46000.00</v>
      </c>
      <c r="L1554" t="str">
        <f>"623100 ОБЛ СВЕРДЛОВСКАЯ   Г ПЕРВОУРАЛЬСК   УЛ ГОРНЯКОВ д. 5"</f>
        <v>623100 ОБЛ СВЕРДЛОВСКАЯ   Г ПЕРВОУРАЛЬСК   УЛ ГОРНЯКОВ д. 5</v>
      </c>
      <c r="M1554" t="str">
        <f t="shared" si="261"/>
        <v>2019-08-24</v>
      </c>
      <c r="N1554" t="str">
        <f>"ОА АГРОТОРГ"</f>
        <v>ОА АГРОТОРГ</v>
      </c>
      <c r="O1554" t="str">
        <f>"623100"</f>
        <v>623100</v>
      </c>
      <c r="P1554" t="str">
        <f>"ОБЛ СВЕРДЛОВСКАЯ"</f>
        <v>ОБЛ СВЕРДЛОВСКАЯ</v>
      </c>
      <c r="Q1554" t="str">
        <f>""</f>
        <v/>
      </c>
      <c r="R1554" t="str">
        <f>"Г ПЕРВОУРАЛЬСК"</f>
        <v>Г ПЕРВОУРАЛЬСК</v>
      </c>
      <c r="S1554" t="str">
        <f>""</f>
        <v/>
      </c>
      <c r="T1554" t="str">
        <f>"УЛ ЭНГЕЛЬСА"</f>
        <v>УЛ ЭНГЕЛЬСА</v>
      </c>
      <c r="U1554" s="1" t="str">
        <f>"38"</f>
        <v>38</v>
      </c>
      <c r="V1554" s="1" t="str">
        <f>""</f>
        <v/>
      </c>
      <c r="W1554" s="1" t="str">
        <f>""</f>
        <v/>
      </c>
      <c r="X1554" s="1" t="str">
        <f>""</f>
        <v/>
      </c>
      <c r="Y1554" s="1" t="str">
        <f>""</f>
        <v/>
      </c>
      <c r="Z1554" t="str">
        <f>"9632716201"</f>
        <v>9632716201</v>
      </c>
      <c r="AA1554" t="str">
        <f>"9632716201"</f>
        <v>9632716201</v>
      </c>
      <c r="AB1554" t="str">
        <f>"9632716201"</f>
        <v>9632716201</v>
      </c>
      <c r="AC1554" t="str">
        <f>"9632716201"</f>
        <v>9632716201</v>
      </c>
      <c r="AD1554" t="str">
        <f>"9632716201"</f>
        <v>9632716201</v>
      </c>
      <c r="AE1554" t="str">
        <f>"9632716201"</f>
        <v>9632716201</v>
      </c>
    </row>
    <row r="1555" spans="1:31" x14ac:dyDescent="0.45">
      <c r="A1555" t="str">
        <f>"АЮПОВ ДИНАР ФАНУРОВИЧ"</f>
        <v>АЮПОВ ДИНАР ФАНУРОВИЧ</v>
      </c>
      <c r="B1555" t="str">
        <f>"1996-08-16"</f>
        <v>1996-08-16</v>
      </c>
      <c r="C1555" t="str">
        <f>"80 16 406787"</f>
        <v>80 16 406787</v>
      </c>
      <c r="D1555" t="str">
        <f>"4279011674923159"</f>
        <v>4279011674923159</v>
      </c>
      <c r="E1555" t="str">
        <f t="shared" si="264"/>
        <v>2021-05-31</v>
      </c>
      <c r="F1555" t="str">
        <f t="shared" si="265"/>
        <v>+</v>
      </c>
      <c r="G1555" t="str">
        <f t="shared" si="265"/>
        <v>+</v>
      </c>
      <c r="H1555" t="str">
        <f>"40817810016991391513"</f>
        <v>40817810016991391513</v>
      </c>
      <c r="I1555" t="str">
        <f>"8598"</f>
        <v>8598</v>
      </c>
      <c r="J1555" t="str">
        <f>"0718"</f>
        <v>0718</v>
      </c>
      <c r="K1555" t="str">
        <f>"50000.00"</f>
        <v>50000.00</v>
      </c>
      <c r="L1555" t="str">
        <f>"628000 ОБЛ ТЮМЕНСКАЯ   Г КОГАЛЫМ   УЛ ГЕОФИЗИКОВ д. 14"</f>
        <v>628000 ОБЛ ТЮМЕНСКАЯ   Г КОГАЛЫМ   УЛ ГЕОФИЗИКОВ д. 14</v>
      </c>
      <c r="M1555" t="str">
        <f t="shared" si="261"/>
        <v>2019-08-24</v>
      </c>
      <c r="N1555" t="str">
        <f>"КРС ЕВРАЗИЯ"</f>
        <v>КРС ЕВРАЗИЯ</v>
      </c>
      <c r="O1555" t="str">
        <f>"450000"</f>
        <v>450000</v>
      </c>
      <c r="P1555" t="str">
        <f>"РЕСП БАШКОРТОСТАН"</f>
        <v>РЕСП БАШКОРТОСТАН</v>
      </c>
      <c r="Q1555" t="str">
        <f>""</f>
        <v/>
      </c>
      <c r="R1555" t="str">
        <f>"Г ИШИМБАЙ"</f>
        <v>Г ИШИМБАЙ</v>
      </c>
      <c r="S1555" t="str">
        <f>""</f>
        <v/>
      </c>
      <c r="T1555" t="str">
        <f>"УЛ ГУБКИНА"</f>
        <v>УЛ ГУБКИНА</v>
      </c>
      <c r="U1555" s="1" t="str">
        <f>"46"</f>
        <v>46</v>
      </c>
      <c r="V1555" s="1" t="str">
        <f>""</f>
        <v/>
      </c>
      <c r="W1555" s="1" t="str">
        <f>""</f>
        <v/>
      </c>
      <c r="X1555" s="1" t="str">
        <f>""</f>
        <v/>
      </c>
      <c r="Y1555" s="1" t="str">
        <f>"25"</f>
        <v>25</v>
      </c>
      <c r="Z1555" t="str">
        <f>""</f>
        <v/>
      </c>
      <c r="AA1555" t="str">
        <f>"9170409451"</f>
        <v>9170409451</v>
      </c>
      <c r="AB1555" t="str">
        <f>"9173462031"</f>
        <v>9173462031</v>
      </c>
      <c r="AC1555" t="str">
        <f>"9170409451"</f>
        <v>9170409451</v>
      </c>
      <c r="AD1555" t="str">
        <f>"9173462031"</f>
        <v>9173462031</v>
      </c>
      <c r="AE1555" t="str">
        <f>""</f>
        <v/>
      </c>
    </row>
    <row r="1556" spans="1:31" x14ac:dyDescent="0.45">
      <c r="A1556" t="str">
        <f>"ВОРОШНИНА ДАРЬЯ ВАРТАНОВНА"</f>
        <v>ВОРОШНИНА ДАРЬЯ ВАРТАНОВНА</v>
      </c>
      <c r="B1556" t="str">
        <f>"1990-02-17"</f>
        <v>1990-02-17</v>
      </c>
      <c r="C1556" t="str">
        <f>"65 15 081671"</f>
        <v>65 15 081671</v>
      </c>
      <c r="D1556" t="str">
        <f>"4279011646214067"</f>
        <v>4279011646214067</v>
      </c>
      <c r="E1556" t="str">
        <f t="shared" si="264"/>
        <v>2021-05-31</v>
      </c>
      <c r="F1556" t="str">
        <f>"K"</f>
        <v>K</v>
      </c>
      <c r="G1556" t="str">
        <f>"+"</f>
        <v>+</v>
      </c>
      <c r="H1556" t="str">
        <f>"40817810816991391661"</f>
        <v>40817810816991391661</v>
      </c>
      <c r="I1556" t="str">
        <f>"7003"</f>
        <v>7003</v>
      </c>
      <c r="J1556" t="str">
        <f>"0418"</f>
        <v>0418</v>
      </c>
      <c r="K1556" t="str">
        <f>"180000.00"</f>
        <v>180000.00</v>
      </c>
      <c r="L1556" t="str">
        <f>"620000 ОБЛ СВЕРДЛОВСКАЯ   Г ЕКАТЕРИНБУРГ   УЛ НАРОДНОЙ ВОЛИ д. 19 стр. А"</f>
        <v>620000 ОБЛ СВЕРДЛОВСКАЯ   Г ЕКАТЕРИНБУРГ   УЛ НАРОДНОЙ ВОЛИ д. 19 стр. А</v>
      </c>
      <c r="M1556" t="str">
        <f t="shared" si="261"/>
        <v>2019-08-24</v>
      </c>
      <c r="N1556" t="s">
        <v>92</v>
      </c>
      <c r="O1556" t="str">
        <f>"620000"</f>
        <v>620000</v>
      </c>
      <c r="P1556" t="str">
        <f>"ОБЛ СВЕРДЛОВСКАЯ"</f>
        <v>ОБЛ СВЕРДЛОВСКАЯ</v>
      </c>
      <c r="Q1556" t="str">
        <f>""</f>
        <v/>
      </c>
      <c r="R1556" t="str">
        <f>"Г ЕКАТЕРИНБУРГ"</f>
        <v>Г ЕКАТЕРИНБУРГ</v>
      </c>
      <c r="S1556" t="str">
        <f>""</f>
        <v/>
      </c>
      <c r="T1556" t="str">
        <f>"УЛ БЕССАРАБСКАЯ"</f>
        <v>УЛ БЕССАРАБСКАЯ</v>
      </c>
      <c r="U1556" s="1" t="str">
        <f>"10"</f>
        <v>10</v>
      </c>
      <c r="V1556" s="1" t="str">
        <f>"А"</f>
        <v>А</v>
      </c>
      <c r="W1556" s="1" t="str">
        <f>""</f>
        <v/>
      </c>
      <c r="X1556" s="1" t="str">
        <f>""</f>
        <v/>
      </c>
      <c r="Y1556" s="1" t="str">
        <f>"7"</f>
        <v>7</v>
      </c>
      <c r="Z1556" t="str">
        <f>""</f>
        <v/>
      </c>
      <c r="AA1556" t="str">
        <f>"9667017950"</f>
        <v>9667017950</v>
      </c>
      <c r="AB1556" t="str">
        <f>"9667017950"</f>
        <v>9667017950</v>
      </c>
      <c r="AC1556" t="str">
        <f>"9667017950"</f>
        <v>9667017950</v>
      </c>
      <c r="AD1556" t="str">
        <f>"9667017950"</f>
        <v>9667017950</v>
      </c>
      <c r="AE1556" t="str">
        <f>""</f>
        <v/>
      </c>
    </row>
    <row r="1557" spans="1:31" x14ac:dyDescent="0.45">
      <c r="A1557" t="str">
        <f>"ГАРЕЕВ АСХАТ НУРФАЯЗОВИЧ"</f>
        <v>ГАРЕЕВ АСХАТ НУРФАЯЗОВИЧ</v>
      </c>
      <c r="B1557" t="str">
        <f>"1970-11-03"</f>
        <v>1970-11-03</v>
      </c>
      <c r="C1557" t="str">
        <f>"71 15 185138"</f>
        <v>71 15 185138</v>
      </c>
      <c r="D1557" t="str">
        <f>"5484016709660690"</f>
        <v>5484016709660690</v>
      </c>
      <c r="E1557" t="str">
        <f t="shared" ref="E1557:E1565" si="266">"2021-06-30"</f>
        <v>2021-06-30</v>
      </c>
      <c r="F1557" t="str">
        <f t="shared" ref="F1557:F1564" si="267">"+"</f>
        <v>+</v>
      </c>
      <c r="G1557" t="str">
        <f>"W"</f>
        <v>W</v>
      </c>
      <c r="H1557" t="str">
        <f>"40817810916992105743"</f>
        <v>40817810916992105743</v>
      </c>
      <c r="I1557" t="str">
        <f>"5940"</f>
        <v>5940</v>
      </c>
      <c r="J1557" t="str">
        <f>"0091"</f>
        <v>0091</v>
      </c>
      <c r="K1557" t="str">
        <f>"11000.00"</f>
        <v>11000.00</v>
      </c>
      <c r="L1557" t="str">
        <f>"628331 ОБЛ ТЮМЕНСКАЯ Р-Н НЕФТЕЮГАНСКИЙ   ПГТ ПОЙКОВСКИЙ УЛ ПРОМЗОНА стр. 54"</f>
        <v>628331 ОБЛ ТЮМЕНСКАЯ Р-Н НЕФТЕЮГАНСКИЙ   ПГТ ПОЙКОВСКИЙ УЛ ПРОМЗОНА стр. 54</v>
      </c>
      <c r="M1557" t="str">
        <f t="shared" si="261"/>
        <v>2019-08-24</v>
      </c>
      <c r="N1557" t="str">
        <f>"СОДЕЛ"</f>
        <v>СОДЕЛ</v>
      </c>
      <c r="O1557" t="str">
        <f>"629259"</f>
        <v>629259</v>
      </c>
      <c r="P1557" t="str">
        <f>"ОБЛ ТЮМЕНСКАЯ"</f>
        <v>ОБЛ ТЮМЕНСКАЯ</v>
      </c>
      <c r="Q1557" t="str">
        <f>"Р-Н ВАГАЙСКИЙ"</f>
        <v>Р-Н ВАГАЙСКИЙ</v>
      </c>
      <c r="R1557" t="str">
        <f>""</f>
        <v/>
      </c>
      <c r="S1557" t="str">
        <f>"С КОМСОМОЛЬСКИЙ"</f>
        <v>С КОМСОМОЛЬСКИЙ</v>
      </c>
      <c r="T1557" t="str">
        <f>"УЛ ТАТАРСКАЯ"</f>
        <v>УЛ ТАТАРСКАЯ</v>
      </c>
      <c r="U1557" s="1" t="str">
        <f>"17"</f>
        <v>17</v>
      </c>
      <c r="V1557" s="1" t="str">
        <f>""</f>
        <v/>
      </c>
      <c r="W1557" s="1" t="str">
        <f>""</f>
        <v/>
      </c>
      <c r="X1557" s="1" t="str">
        <f>""</f>
        <v/>
      </c>
      <c r="Y1557" s="1" t="str">
        <f>""</f>
        <v/>
      </c>
      <c r="Z1557" t="str">
        <f>""</f>
        <v/>
      </c>
      <c r="AA1557" t="str">
        <f>"9523405275"</f>
        <v>9523405275</v>
      </c>
      <c r="AB1557" t="str">
        <f>"9125109053"</f>
        <v>9125109053</v>
      </c>
      <c r="AC1557" t="str">
        <f>"9523405275"</f>
        <v>9523405275</v>
      </c>
      <c r="AD1557" t="str">
        <f>"9125109053"</f>
        <v>9125109053</v>
      </c>
      <c r="AE1557" t="str">
        <f>""</f>
        <v/>
      </c>
    </row>
    <row r="1558" spans="1:31" x14ac:dyDescent="0.45">
      <c r="A1558" t="str">
        <f>"ФЕНЕНКО НАТАЛЬЯ ВАЛЕРЬЕВНА"</f>
        <v>ФЕНЕНКО НАТАЛЬЯ ВАЛЕРЬЕВНА</v>
      </c>
      <c r="B1558" t="str">
        <f>"1992-10-26"</f>
        <v>1992-10-26</v>
      </c>
      <c r="C1558" t="str">
        <f>"65 14 812154"</f>
        <v>65 14 812154</v>
      </c>
      <c r="D1558" t="str">
        <f>"4279011672395871"</f>
        <v>4279011672395871</v>
      </c>
      <c r="E1558" t="str">
        <f t="shared" si="266"/>
        <v>2021-06-30</v>
      </c>
      <c r="F1558" t="str">
        <f t="shared" si="267"/>
        <v>+</v>
      </c>
      <c r="G1558" t="str">
        <f>"+"</f>
        <v>+</v>
      </c>
      <c r="H1558" t="str">
        <f>"40817810716991463217"</f>
        <v>40817810716991463217</v>
      </c>
      <c r="I1558" t="str">
        <f>"7003"</f>
        <v>7003</v>
      </c>
      <c r="J1558" t="str">
        <f>"0393"</f>
        <v>0393</v>
      </c>
      <c r="K1558" t="str">
        <f>"90000.00"</f>
        <v>90000.00</v>
      </c>
      <c r="L1558" t="str">
        <f>"620050 ОБЛ СВЕРДЛОВСКАЯ   Г ЕКАТЕРИНБУРГ   УЛ МАНЕВРОВАЯ д. 41"</f>
        <v>620050 ОБЛ СВЕРДЛОВСКАЯ   Г ЕКАТЕРИНБУРГ   УЛ МАНЕВРОВАЯ д. 41</v>
      </c>
      <c r="M1558" t="str">
        <f t="shared" si="261"/>
        <v>2019-08-24</v>
      </c>
      <c r="N1558" t="str">
        <f>"ООО ВОСТОЧНЫЙ ВЕТЕР ЦЕНТР"</f>
        <v>ООО ВОСТОЧНЫЙ ВЕТЕР ЦЕНТР</v>
      </c>
      <c r="O1558" t="str">
        <f>"624300"</f>
        <v>624300</v>
      </c>
      <c r="P1558" t="str">
        <f>"ОБЛ СВЕРДЛОВСКАЯ"</f>
        <v>ОБЛ СВЕРДЛОВСКАЯ</v>
      </c>
      <c r="Q1558" t="str">
        <f>""</f>
        <v/>
      </c>
      <c r="R1558" t="str">
        <f>"Г КУШВА"</f>
        <v>Г КУШВА</v>
      </c>
      <c r="S1558" t="str">
        <f>""</f>
        <v/>
      </c>
      <c r="T1558" t="str">
        <f>"УЛ ЦЕНТРАЛЬНАЯ"</f>
        <v>УЛ ЦЕНТРАЛЬНАЯ</v>
      </c>
      <c r="U1558" s="1" t="str">
        <f>"11"</f>
        <v>11</v>
      </c>
      <c r="V1558" s="1" t="str">
        <f>""</f>
        <v/>
      </c>
      <c r="W1558" s="1" t="str">
        <f>""</f>
        <v/>
      </c>
      <c r="X1558" s="1" t="str">
        <f>""</f>
        <v/>
      </c>
      <c r="Y1558" s="1" t="str">
        <f>"3"</f>
        <v>3</v>
      </c>
      <c r="Z1558" t="str">
        <f>""</f>
        <v/>
      </c>
      <c r="AA1558" t="str">
        <f>"9222976760"</f>
        <v>9222976760</v>
      </c>
      <c r="AB1558" t="str">
        <f>"9028741304"</f>
        <v>9028741304</v>
      </c>
      <c r="AC1558" t="str">
        <f>"9222976760"</f>
        <v>9222976760</v>
      </c>
      <c r="AD1558" t="str">
        <f>"9028741304"</f>
        <v>9028741304</v>
      </c>
      <c r="AE1558" t="str">
        <f>""</f>
        <v/>
      </c>
    </row>
    <row r="1559" spans="1:31" x14ac:dyDescent="0.45">
      <c r="A1559" t="str">
        <f>"ПРОСЕКОВА ТАТЬЯНА МИХАЙЛОВНА"</f>
        <v>ПРОСЕКОВА ТАТЬЯНА МИХАЙЛОВНА</v>
      </c>
      <c r="B1559" t="str">
        <f>"1993-03-29"</f>
        <v>1993-03-29</v>
      </c>
      <c r="C1559" t="str">
        <f>"37 13 528508"</f>
        <v>37 13 528508</v>
      </c>
      <c r="D1559" t="str">
        <f>"4279011657815828"</f>
        <v>4279011657815828</v>
      </c>
      <c r="E1559" t="str">
        <f t="shared" si="266"/>
        <v>2021-06-30</v>
      </c>
      <c r="F1559" t="str">
        <f t="shared" si="267"/>
        <v>+</v>
      </c>
      <c r="G1559" t="str">
        <f>"+"</f>
        <v>+</v>
      </c>
      <c r="H1559" t="str">
        <f>"40817810316991463219"</f>
        <v>40817810316991463219</v>
      </c>
      <c r="I1559" t="str">
        <f>"8599"</f>
        <v>8599</v>
      </c>
      <c r="J1559" t="str">
        <f>"7770"</f>
        <v>7770</v>
      </c>
      <c r="K1559" t="str">
        <f>"110000.00"</f>
        <v>110000.00</v>
      </c>
      <c r="L1559" t="str">
        <f>"641000 ОБЛ КУРГАНСКАЯ Р-Н ВАРГАШИНСКИЙ   РП ВАРГАШИ УЛ ЛЕНИНА д. 14"</f>
        <v>641000 ОБЛ КУРГАНСКАЯ Р-Н ВАРГАШИНСКИЙ   РП ВАРГАШИ УЛ ЛЕНИНА д. 14</v>
      </c>
      <c r="M1559" t="str">
        <f t="shared" si="261"/>
        <v>2019-08-24</v>
      </c>
      <c r="N1559" t="str">
        <f>"ВАРГАШИНСКАЯ ЦРБ"</f>
        <v>ВАРГАШИНСКАЯ ЦРБ</v>
      </c>
      <c r="O1559" t="str">
        <f>"641000"</f>
        <v>641000</v>
      </c>
      <c r="P1559" t="str">
        <f>"ОБЛ КУРГАНСКАЯ"</f>
        <v>ОБЛ КУРГАНСКАЯ</v>
      </c>
      <c r="Q1559" t="str">
        <f>"Р-Н ВАРГАШИНСКИЙ"</f>
        <v>Р-Н ВАРГАШИНСКИЙ</v>
      </c>
      <c r="R1559" t="str">
        <f>""</f>
        <v/>
      </c>
      <c r="S1559" t="str">
        <f>"РП ВАРГАШИ"</f>
        <v>РП ВАРГАШИ</v>
      </c>
      <c r="T1559" t="str">
        <f>"УЛ АНДРЕЕВА"</f>
        <v>УЛ АНДРЕЕВА</v>
      </c>
      <c r="U1559" s="1" t="str">
        <f>"61"</f>
        <v>61</v>
      </c>
      <c r="V1559" s="1" t="str">
        <f>""</f>
        <v/>
      </c>
      <c r="W1559" s="1" t="str">
        <f>""</f>
        <v/>
      </c>
      <c r="X1559" s="1" t="str">
        <f>""</f>
        <v/>
      </c>
      <c r="Y1559" s="1" t="str">
        <f>""</f>
        <v/>
      </c>
      <c r="Z1559" t="str">
        <f>"3523321003"</f>
        <v>3523321003</v>
      </c>
      <c r="AA1559" t="str">
        <f>"9630077885"</f>
        <v>9630077885</v>
      </c>
      <c r="AB1559" t="str">
        <f>"9630077885"</f>
        <v>9630077885</v>
      </c>
      <c r="AC1559" t="str">
        <f>"9630077885"</f>
        <v>9630077885</v>
      </c>
      <c r="AD1559" t="str">
        <f>"9630077885"</f>
        <v>9630077885</v>
      </c>
      <c r="AE1559" t="str">
        <f>"3523321003"</f>
        <v>3523321003</v>
      </c>
    </row>
    <row r="1560" spans="1:31" x14ac:dyDescent="0.45">
      <c r="A1560" t="str">
        <f>"ЗИМИНА ТАТЬЯНА АЛЕКСАНДРОВНА"</f>
        <v>ЗИМИНА ТАТЬЯНА АЛЕКСАНДРОВНА</v>
      </c>
      <c r="B1560" t="str">
        <f>"1968-04-21"</f>
        <v>1968-04-21</v>
      </c>
      <c r="C1560" t="str">
        <f>"75 12 223349"</f>
        <v>75 12 223349</v>
      </c>
      <c r="D1560" t="str">
        <f>"4279011676438511"</f>
        <v>4279011676438511</v>
      </c>
      <c r="E1560" t="str">
        <f t="shared" si="266"/>
        <v>2021-06-30</v>
      </c>
      <c r="F1560" t="str">
        <f t="shared" si="267"/>
        <v>+</v>
      </c>
      <c r="G1560" t="str">
        <f>"+"</f>
        <v>+</v>
      </c>
      <c r="H1560" t="str">
        <f>"40817810716991463220"</f>
        <v>40817810716991463220</v>
      </c>
      <c r="I1560" t="str">
        <f>"8597"</f>
        <v>8597</v>
      </c>
      <c r="J1560" t="str">
        <f>"0384"</f>
        <v>0384</v>
      </c>
      <c r="K1560" t="str">
        <f>"90000.00"</f>
        <v>90000.00</v>
      </c>
      <c r="L1560" t="str">
        <f>"454000 ОБЛ ЧЕЛЯБИНСКАЯ   Г КАРТАЛЫ   ПЕР ДЗЕРЖИНСКОГО д. 4"</f>
        <v>454000 ОБЛ ЧЕЛЯБИНСКАЯ   Г КАРТАЛЫ   ПЕР ДЗЕРЖИНСКОГО д. 4</v>
      </c>
      <c r="M1560" t="str">
        <f t="shared" si="261"/>
        <v>2019-08-24</v>
      </c>
      <c r="N1560" t="str">
        <f>"ООО КАРТАЛИНСКИЙ ЭЛЕВАТОР"</f>
        <v>ООО КАРТАЛИНСКИЙ ЭЛЕВАТОР</v>
      </c>
      <c r="O1560" t="str">
        <f>"454000"</f>
        <v>454000</v>
      </c>
      <c r="P1560" t="str">
        <f>"ОБЛ ЧЕЛЯБИНСКАЯ"</f>
        <v>ОБЛ ЧЕЛЯБИНСКАЯ</v>
      </c>
      <c r="Q1560" t="str">
        <f>""</f>
        <v/>
      </c>
      <c r="R1560" t="str">
        <f>"Г КАРТАЛЫ"</f>
        <v>Г КАРТАЛЫ</v>
      </c>
      <c r="S1560" t="str">
        <f>""</f>
        <v/>
      </c>
      <c r="T1560" t="str">
        <f>"УЛ СЛАВЫ"</f>
        <v>УЛ СЛАВЫ</v>
      </c>
      <c r="U1560" s="1" t="str">
        <f>"1"</f>
        <v>1</v>
      </c>
      <c r="V1560" s="1" t="str">
        <f>""</f>
        <v/>
      </c>
      <c r="W1560" s="1" t="str">
        <f>""</f>
        <v/>
      </c>
      <c r="X1560" s="1" t="str">
        <f>""</f>
        <v/>
      </c>
      <c r="Y1560" s="1" t="str">
        <f>"14"</f>
        <v>14</v>
      </c>
      <c r="Z1560" t="str">
        <f>"9049484587"</f>
        <v>9049484587</v>
      </c>
      <c r="AA1560" t="str">
        <f>"9049484587"</f>
        <v>9049484587</v>
      </c>
      <c r="AB1560" t="str">
        <f>"9049484587"</f>
        <v>9049484587</v>
      </c>
      <c r="AC1560" t="str">
        <f>"9049484587"</f>
        <v>9049484587</v>
      </c>
      <c r="AD1560" t="str">
        <f>"9049484587"</f>
        <v>9049484587</v>
      </c>
      <c r="AE1560" t="str">
        <f>"9049484587"</f>
        <v>9049484587</v>
      </c>
    </row>
    <row r="1561" spans="1:31" x14ac:dyDescent="0.45">
      <c r="A1561" t="str">
        <f>"НИКОЛАЕВА КСЕНИЯ ВЯЧЕСЛАВОВНА"</f>
        <v>НИКОЛАЕВА КСЕНИЯ ВЯЧЕСЛАВОВНА</v>
      </c>
      <c r="B1561" t="str">
        <f>"1996-03-13"</f>
        <v>1996-03-13</v>
      </c>
      <c r="C1561" t="str">
        <f>"65 16 224579"</f>
        <v>65 16 224579</v>
      </c>
      <c r="D1561" t="str">
        <f>"4276011622688915"</f>
        <v>4276011622688915</v>
      </c>
      <c r="E1561" t="str">
        <f t="shared" si="266"/>
        <v>2021-06-30</v>
      </c>
      <c r="F1561" t="str">
        <f t="shared" si="267"/>
        <v>+</v>
      </c>
      <c r="G1561" t="str">
        <f>"W"</f>
        <v>W</v>
      </c>
      <c r="H1561" t="str">
        <f>"40817810016991463221"</f>
        <v>40817810016991463221</v>
      </c>
      <c r="I1561" t="str">
        <f>"7003"</f>
        <v>7003</v>
      </c>
      <c r="J1561" t="str">
        <f>"0383"</f>
        <v>0383</v>
      </c>
      <c r="K1561" t="str">
        <f>"50000.00"</f>
        <v>50000.00</v>
      </c>
      <c r="L1561" t="str">
        <f>"620014 ОБЛ СВЕРДЛОВСКАЯ   Г ЕКАТЕРИНБУРГ   УЛ ШЕЙНКМАНА д. 90"</f>
        <v>620014 ОБЛ СВЕРДЛОВСКАЯ   Г ЕКАТЕРИНБУРГ   УЛ ШЕЙНКМАНА д. 90</v>
      </c>
      <c r="M1561" t="str">
        <f t="shared" si="261"/>
        <v>2019-08-24</v>
      </c>
      <c r="N1561" t="str">
        <f>"КАФЕ БОЛЬШИЕ ТАРЕЛКИ"</f>
        <v>КАФЕ БОЛЬШИЕ ТАРЕЛКИ</v>
      </c>
      <c r="O1561" t="str">
        <f>"620000"</f>
        <v>620000</v>
      </c>
      <c r="P1561" t="str">
        <f>"ОБЛ СВЕРДЛОВСКАЯ"</f>
        <v>ОБЛ СВЕРДЛОВСКАЯ</v>
      </c>
      <c r="Q1561" t="str">
        <f>"Р-Н АРТИНСКИЙ"</f>
        <v>Р-Н АРТИНСКИЙ</v>
      </c>
      <c r="R1561" t="str">
        <f>""</f>
        <v/>
      </c>
      <c r="S1561" t="str">
        <f>"РП АРТИ"</f>
        <v>РП АРТИ</v>
      </c>
      <c r="T1561" t="str">
        <f>"УЛ ГЕОФИЗИЧЕСКАЯ"</f>
        <v>УЛ ГЕОФИЗИЧЕСКАЯ</v>
      </c>
      <c r="U1561" s="1" t="str">
        <f>"1А"</f>
        <v>1А</v>
      </c>
      <c r="V1561" s="1" t="str">
        <f>""</f>
        <v/>
      </c>
      <c r="W1561" s="1" t="str">
        <f>""</f>
        <v/>
      </c>
      <c r="X1561" s="1" t="str">
        <f>""</f>
        <v/>
      </c>
      <c r="Y1561" s="1" t="str">
        <f>"22"</f>
        <v>22</v>
      </c>
      <c r="Z1561" t="str">
        <f>""</f>
        <v/>
      </c>
      <c r="AA1561" t="str">
        <f>"9221296432"</f>
        <v>9221296432</v>
      </c>
      <c r="AB1561" t="str">
        <f>"9221296432"</f>
        <v>9221296432</v>
      </c>
      <c r="AC1561" t="str">
        <f>""</f>
        <v/>
      </c>
      <c r="AD1561" t="str">
        <f>"9221296432"</f>
        <v>9221296432</v>
      </c>
      <c r="AE1561" t="str">
        <f>""</f>
        <v/>
      </c>
    </row>
    <row r="1562" spans="1:31" x14ac:dyDescent="0.45">
      <c r="A1562" t="str">
        <f>"ГОРДИНОВА ВАЛЕНТИНА АЛЕКСЕЕВНА"</f>
        <v>ГОРДИНОВА ВАЛЕНТИНА АЛЕКСЕЕВНА</v>
      </c>
      <c r="B1562" t="str">
        <f>"1962-01-18"</f>
        <v>1962-01-18</v>
      </c>
      <c r="C1562" t="str">
        <f>"75 07 078993"</f>
        <v>75 07 078993</v>
      </c>
      <c r="D1562" t="str">
        <f>"4279011610329685"</f>
        <v>4279011610329685</v>
      </c>
      <c r="E1562" t="str">
        <f t="shared" si="266"/>
        <v>2021-06-30</v>
      </c>
      <c r="F1562" t="str">
        <f t="shared" si="267"/>
        <v>+</v>
      </c>
      <c r="G1562" t="str">
        <f>"+"</f>
        <v>+</v>
      </c>
      <c r="H1562" t="str">
        <f>"40817810316991463222"</f>
        <v>40817810316991463222</v>
      </c>
      <c r="I1562" t="str">
        <f>"8597"</f>
        <v>8597</v>
      </c>
      <c r="J1562" t="str">
        <f>"0530"</f>
        <v>0530</v>
      </c>
      <c r="K1562" t="str">
        <f>"68000.00"</f>
        <v>68000.00</v>
      </c>
      <c r="L1562" t="str">
        <f>"456300 ОБЛ ЧЕЛЯБИНСКАЯ   Г МИАСС   УЛ НАХИМОВА д. 2 кв. 0"</f>
        <v>456300 ОБЛ ЧЕЛЯБИНСКАЯ   Г МИАСС   УЛ НАХИМОВА д. 2 кв. 0</v>
      </c>
      <c r="M1562" t="str">
        <f t="shared" si="261"/>
        <v>2019-08-24</v>
      </c>
      <c r="N1562" t="str">
        <f>"72001826"</f>
        <v>72001826</v>
      </c>
      <c r="O1562" t="str">
        <f>"454000"</f>
        <v>454000</v>
      </c>
      <c r="P1562" t="str">
        <f>"ОБЛ ЧЕЛЯБИНСКАЯ"</f>
        <v>ОБЛ ЧЕЛЯБИНСКАЯ</v>
      </c>
      <c r="Q1562" t="str">
        <f>""</f>
        <v/>
      </c>
      <c r="R1562" t="str">
        <f>"Г МИАСС"</f>
        <v>Г МИАСС</v>
      </c>
      <c r="S1562" t="str">
        <f>""</f>
        <v/>
      </c>
      <c r="T1562" t="str">
        <f>"ПЕР БОЛЬШОЙ ЛЕСНОЙ"</f>
        <v>ПЕР БОЛЬШОЙ ЛЕСНОЙ</v>
      </c>
      <c r="U1562" s="1" t="str">
        <f>"2"</f>
        <v>2</v>
      </c>
      <c r="V1562" s="1" t="str">
        <f>""</f>
        <v/>
      </c>
      <c r="W1562" s="1" t="str">
        <f>""</f>
        <v/>
      </c>
      <c r="X1562" s="1" t="str">
        <f>""</f>
        <v/>
      </c>
      <c r="Y1562" s="1" t="str">
        <f>""</f>
        <v/>
      </c>
      <c r="Z1562" t="str">
        <f>"9194016313"</f>
        <v>9194016313</v>
      </c>
      <c r="AA1562" t="str">
        <f>"9194016313"</f>
        <v>9194016313</v>
      </c>
      <c r="AB1562" t="str">
        <f>"9194016313"</f>
        <v>9194016313</v>
      </c>
      <c r="AC1562" t="str">
        <f>"9194016313"</f>
        <v>9194016313</v>
      </c>
      <c r="AD1562" t="str">
        <f>"9194016313"</f>
        <v>9194016313</v>
      </c>
      <c r="AE1562" t="str">
        <f>"9194016313"</f>
        <v>9194016313</v>
      </c>
    </row>
    <row r="1563" spans="1:31" x14ac:dyDescent="0.45">
      <c r="A1563" t="str">
        <f>"ХАЛЯПОВА ЗУХРА ИСКАНДАРОВНА"</f>
        <v>ХАЛЯПОВА ЗУХРА ИСКАНДАРОВНА</v>
      </c>
      <c r="B1563" t="str">
        <f>"1994-04-07"</f>
        <v>1994-04-07</v>
      </c>
      <c r="C1563" t="str">
        <f>"80 17 718486"</f>
        <v>80 17 718486</v>
      </c>
      <c r="D1563" t="str">
        <f>"4279011642690674"</f>
        <v>4279011642690674</v>
      </c>
      <c r="E1563" t="str">
        <f t="shared" si="266"/>
        <v>2021-06-30</v>
      </c>
      <c r="F1563" t="str">
        <f t="shared" si="267"/>
        <v>+</v>
      </c>
      <c r="G1563" t="str">
        <f>"+"</f>
        <v>+</v>
      </c>
      <c r="H1563" t="str">
        <f>"40817810916991463224"</f>
        <v>40817810916991463224</v>
      </c>
      <c r="I1563" t="str">
        <f>"8598"</f>
        <v>8598</v>
      </c>
      <c r="J1563" t="str">
        <f>"0193"</f>
        <v>0193</v>
      </c>
      <c r="K1563" t="str">
        <f>"70000.00"</f>
        <v>70000.00</v>
      </c>
      <c r="L1563" t="str">
        <f>"450000 РЕСП БАШКОРТОСТАН   Г УФА   УЛ ПРОСПЕКТ САЛАВАТА ЮЛАЕВА д. 89"</f>
        <v>450000 РЕСП БАШКОРТОСТАН   Г УФА   УЛ ПРОСПЕКТ САЛАВАТА ЮЛАЕВА д. 89</v>
      </c>
      <c r="M1563" t="str">
        <f t="shared" si="261"/>
        <v>2019-08-24</v>
      </c>
      <c r="N1563" t="str">
        <f>"ООО КАЛИНА АВТО"</f>
        <v>ООО КАЛИНА АВТО</v>
      </c>
      <c r="O1563" t="str">
        <f>"450000"</f>
        <v>450000</v>
      </c>
      <c r="P1563" t="str">
        <f>"РЕСП БАШКОРТОСТАН"</f>
        <v>РЕСП БАШКОРТОСТАН</v>
      </c>
      <c r="Q1563" t="str">
        <f>"Р-Н БАКАЛИНСКИЙ"</f>
        <v>Р-Н БАКАЛИНСКИЙ</v>
      </c>
      <c r="R1563" t="str">
        <f>""</f>
        <v/>
      </c>
      <c r="S1563" t="str">
        <f>"С КУРЧЕЕВО"</f>
        <v>С КУРЧЕЕВО</v>
      </c>
      <c r="T1563" t="str">
        <f>"УЛ НАГОРНАЯ"</f>
        <v>УЛ НАГОРНАЯ</v>
      </c>
      <c r="U1563" s="1" t="str">
        <f>"15"</f>
        <v>15</v>
      </c>
      <c r="V1563" s="1" t="str">
        <f>""</f>
        <v/>
      </c>
      <c r="W1563" s="1" t="str">
        <f>""</f>
        <v/>
      </c>
      <c r="X1563" s="1" t="str">
        <f>""</f>
        <v/>
      </c>
      <c r="Y1563" s="1" t="str">
        <f>""</f>
        <v/>
      </c>
      <c r="Z1563" t="str">
        <f>""</f>
        <v/>
      </c>
      <c r="AA1563" t="str">
        <f>"9373111434"</f>
        <v>9373111434</v>
      </c>
      <c r="AB1563" t="str">
        <f>"9373111434"</f>
        <v>9373111434</v>
      </c>
      <c r="AC1563" t="str">
        <f>"9373111434"</f>
        <v>9373111434</v>
      </c>
      <c r="AD1563" t="str">
        <f>"9373111434"</f>
        <v>9373111434</v>
      </c>
      <c r="AE1563" t="str">
        <f>""</f>
        <v/>
      </c>
    </row>
    <row r="1564" spans="1:31" x14ac:dyDescent="0.45">
      <c r="A1564" t="str">
        <f>"БОРНЯКОВА АНАСТАСИЯ ЮРЬЕВНА"</f>
        <v>БОРНЯКОВА АНАСТАСИЯ ЮРЬЕВНА</v>
      </c>
      <c r="B1564" t="str">
        <f>"1981-05-17"</f>
        <v>1981-05-17</v>
      </c>
      <c r="C1564" t="str">
        <f>"65 00 752480"</f>
        <v>65 00 752480</v>
      </c>
      <c r="D1564" t="str">
        <f>"4279011699103852"</f>
        <v>4279011699103852</v>
      </c>
      <c r="E1564" t="str">
        <f t="shared" si="266"/>
        <v>2021-06-30</v>
      </c>
      <c r="F1564" t="str">
        <f t="shared" si="267"/>
        <v>+</v>
      </c>
      <c r="G1564" t="str">
        <f>"+"</f>
        <v>+</v>
      </c>
      <c r="H1564" t="str">
        <f>"40817810216991463225"</f>
        <v>40817810216991463225</v>
      </c>
      <c r="I1564" t="str">
        <f>"7003"</f>
        <v>7003</v>
      </c>
      <c r="J1564" t="str">
        <f>"0897"</f>
        <v>0897</v>
      </c>
      <c r="K1564" t="str">
        <f>"130000.00"</f>
        <v>130000.00</v>
      </c>
      <c r="L1564" t="str">
        <f>"620000 ОБЛ СВЕРДЛОВСКАЯ   Г ЕКАТЕРИНБУРГ   УЛ ХОХРЯКОВА д. 74"</f>
        <v>620000 ОБЛ СВЕРДЛОВСКАЯ   Г ЕКАТЕРИНБУРГ   УЛ ХОХРЯКОВА д. 74</v>
      </c>
      <c r="M1564" t="str">
        <f t="shared" si="261"/>
        <v>2019-08-24</v>
      </c>
      <c r="N1564" t="str">
        <f>"РУССКИЙ СДАНДАРТ"</f>
        <v>РУССКИЙ СДАНДАРТ</v>
      </c>
      <c r="O1564" t="str">
        <f>"620000"</f>
        <v>620000</v>
      </c>
      <c r="P1564" t="str">
        <f>"ОБЛ СВЕРДЛОВСКАЯ"</f>
        <v>ОБЛ СВЕРДЛОВСКАЯ</v>
      </c>
      <c r="Q1564" t="str">
        <f>""</f>
        <v/>
      </c>
      <c r="R1564" t="str">
        <f>"Г ЕКАТЕРИНБУРГ"</f>
        <v>Г ЕКАТЕРИНБУРГ</v>
      </c>
      <c r="S1564" t="str">
        <f>""</f>
        <v/>
      </c>
      <c r="T1564" t="str">
        <f>"УЛ РЕПИНА"</f>
        <v>УЛ РЕПИНА</v>
      </c>
      <c r="U1564" s="1" t="str">
        <f>"78"</f>
        <v>78</v>
      </c>
      <c r="V1564" s="1" t="str">
        <f>""</f>
        <v/>
      </c>
      <c r="W1564" s="1" t="str">
        <f>""</f>
        <v/>
      </c>
      <c r="X1564" s="1" t="str">
        <f>""</f>
        <v/>
      </c>
      <c r="Y1564" s="1" t="str">
        <f>"81"</f>
        <v>81</v>
      </c>
      <c r="Z1564" t="str">
        <f>""</f>
        <v/>
      </c>
      <c r="AA1564" t="str">
        <f>"9193746333"</f>
        <v>9193746333</v>
      </c>
      <c r="AB1564" t="str">
        <f>"9193746333"</f>
        <v>9193746333</v>
      </c>
      <c r="AC1564" t="str">
        <f>"9193746333"</f>
        <v>9193746333</v>
      </c>
      <c r="AD1564" t="str">
        <f>"9193746333"</f>
        <v>9193746333</v>
      </c>
      <c r="AE1564" t="str">
        <f>""</f>
        <v/>
      </c>
    </row>
    <row r="1565" spans="1:31" x14ac:dyDescent="0.45">
      <c r="A1565" t="str">
        <f>"ШИК АННА ДМИТРИЕВНА"</f>
        <v>ШИК АННА ДМИТРИЕВНА</v>
      </c>
      <c r="B1565" t="str">
        <f>"1995-07-25"</f>
        <v>1995-07-25</v>
      </c>
      <c r="C1565" t="str">
        <f>"65 17 408509"</f>
        <v>65 17 408509</v>
      </c>
      <c r="D1565" t="str">
        <f>"4279011617996601"</f>
        <v>4279011617996601</v>
      </c>
      <c r="E1565" t="str">
        <f t="shared" si="266"/>
        <v>2021-06-30</v>
      </c>
      <c r="F1565" t="str">
        <f>"Q"</f>
        <v>Q</v>
      </c>
      <c r="G1565" t="str">
        <f>"Q"</f>
        <v>Q</v>
      </c>
      <c r="H1565" t="str">
        <f>"40817810516991463226"</f>
        <v>40817810516991463226</v>
      </c>
      <c r="I1565" t="str">
        <f>"7003"</f>
        <v>7003</v>
      </c>
      <c r="J1565" t="str">
        <f>"0759"</f>
        <v>0759</v>
      </c>
      <c r="K1565" t="str">
        <f t="shared" ref="K1565:K1566" si="268">"0.00"</f>
        <v>0.00</v>
      </c>
      <c r="L1565" t="str">
        <f>"620000 ОБЛ СВЕРДЛОВСКАЯ   Г ЕКАТЕРИНБУРГ   УЛ ЭЛЕКТРИКОВ д. 3"</f>
        <v>620000 ОБЛ СВЕРДЛОВСКАЯ   Г ЕКАТЕРИНБУРГ   УЛ ЭЛЕКТРИКОВ д. 3</v>
      </c>
      <c r="M1565" t="str">
        <f t="shared" si="261"/>
        <v>2019-08-24</v>
      </c>
      <c r="N1565" t="str">
        <f>"ПАО СБЕРБАНК"</f>
        <v>ПАО СБЕРБАНК</v>
      </c>
      <c r="O1565" t="str">
        <f>"620000"</f>
        <v>620000</v>
      </c>
      <c r="P1565" t="str">
        <f>"ОБЛ СВЕРДЛОВСКАЯ"</f>
        <v>ОБЛ СВЕРДЛОВСКАЯ</v>
      </c>
      <c r="Q1565" t="str">
        <f>""</f>
        <v/>
      </c>
      <c r="R1565" t="str">
        <f>"Г ВЕРХНЯЯ ПЫШМА"</f>
        <v>Г ВЕРХНЯЯ ПЫШМА</v>
      </c>
      <c r="S1565" t="str">
        <f>""</f>
        <v/>
      </c>
      <c r="T1565" t="str">
        <f>"УЛ ЧИСТОВА"</f>
        <v>УЛ ЧИСТОВА</v>
      </c>
      <c r="U1565" s="1" t="str">
        <f>"6"</f>
        <v>6</v>
      </c>
      <c r="V1565" s="1" t="str">
        <f>""</f>
        <v/>
      </c>
      <c r="W1565" s="1" t="str">
        <f>""</f>
        <v/>
      </c>
      <c r="X1565" s="1" t="str">
        <f>""</f>
        <v/>
      </c>
      <c r="Y1565" s="1" t="str">
        <f>"10"</f>
        <v>10</v>
      </c>
      <c r="Z1565" t="str">
        <f>"3433361883"</f>
        <v>3433361883</v>
      </c>
      <c r="AA1565" t="str">
        <f>"3436106952"</f>
        <v>3436106952</v>
      </c>
      <c r="AB1565" t="str">
        <f>"9126106952"</f>
        <v>9126106952</v>
      </c>
      <c r="AC1565" t="str">
        <f>"3436106952"</f>
        <v>3436106952</v>
      </c>
      <c r="AD1565" t="str">
        <f>"9126106952"</f>
        <v>9126106952</v>
      </c>
      <c r="AE1565" t="str">
        <f>""</f>
        <v/>
      </c>
    </row>
    <row r="1566" spans="1:31" x14ac:dyDescent="0.45">
      <c r="A1566" t="str">
        <f>"НАЗАРОВА НЕЛЛИ ВЛАДИМИРОВНА"</f>
        <v>НАЗАРОВА НЕЛЛИ ВЛАДИМИРОВНА</v>
      </c>
      <c r="B1566" t="str">
        <f>"1980-10-02"</f>
        <v>1980-10-02</v>
      </c>
      <c r="C1566" t="str">
        <f>"71 03 974272"</f>
        <v>71 03 974272</v>
      </c>
      <c r="D1566" t="str">
        <f>"5484016704453141"</f>
        <v>5484016704453141</v>
      </c>
      <c r="E1566" t="str">
        <f t="shared" ref="E1566:E1572" si="269">"2021-05-31"</f>
        <v>2021-05-31</v>
      </c>
      <c r="F1566" t="str">
        <f>"Q"</f>
        <v>Q</v>
      </c>
      <c r="G1566" t="str">
        <f>"Q"</f>
        <v>Q</v>
      </c>
      <c r="H1566" t="str">
        <f>"40817810967720692944"</f>
        <v>40817810967720692944</v>
      </c>
      <c r="I1566" t="str">
        <f>"0029"</f>
        <v>0029</v>
      </c>
      <c r="J1566" t="str">
        <f t="shared" ref="J1566:J1572" si="270">"7770"</f>
        <v>7770</v>
      </c>
      <c r="K1566" t="str">
        <f t="shared" si="268"/>
        <v>0.00</v>
      </c>
      <c r="L1566" t="str">
        <f>"625000 ОБЛ ТЮМЕНСКАЯ   Г ТЮМЕНЬ   УЛ МЕЛЬНИКАЙТЕ д. 70"</f>
        <v>625000 ОБЛ ТЮМЕНСКАЯ   Г ТЮМЕНЬ   УЛ МЕЛЬНИКАЙТЕ д. 70</v>
      </c>
      <c r="M1566" t="str">
        <f t="shared" si="261"/>
        <v>2019-08-24</v>
      </c>
      <c r="N1566" t="str">
        <f>"ФГБОУВО ТИУ"</f>
        <v>ФГБОУВО ТИУ</v>
      </c>
      <c r="O1566" t="str">
        <f>"625022"</f>
        <v>625022</v>
      </c>
      <c r="P1566" t="str">
        <f t="shared" ref="P1566:P1573" si="271">"ОБЛ ТЮМЕНСКАЯ"</f>
        <v>ОБЛ ТЮМЕНСКАЯ</v>
      </c>
      <c r="Q1566" t="str">
        <f>""</f>
        <v/>
      </c>
      <c r="R1566" t="str">
        <f>"Г ТЮМЕНЬ"</f>
        <v>Г ТЮМЕНЬ</v>
      </c>
      <c r="S1566" t="str">
        <f>""</f>
        <v/>
      </c>
      <c r="T1566" t="str">
        <f>"ПРОЕЗД ТИХИЙ"</f>
        <v>ПРОЕЗД ТИХИЙ</v>
      </c>
      <c r="U1566" s="1" t="str">
        <f>"2"</f>
        <v>2</v>
      </c>
      <c r="V1566" s="1" t="str">
        <f>""</f>
        <v/>
      </c>
      <c r="W1566" s="1" t="str">
        <f>""</f>
        <v/>
      </c>
      <c r="X1566" s="1" t="str">
        <f>""</f>
        <v/>
      </c>
      <c r="Y1566" s="1" t="str">
        <f>"355"</f>
        <v>355</v>
      </c>
      <c r="Z1566" t="str">
        <f>"3452283660"</f>
        <v>3452283660</v>
      </c>
      <c r="AA1566" t="str">
        <f>"9324791645"</f>
        <v>9324791645</v>
      </c>
      <c r="AB1566" t="str">
        <f>"9324791645"</f>
        <v>9324791645</v>
      </c>
      <c r="AC1566" t="str">
        <f>"9324791645"</f>
        <v>9324791645</v>
      </c>
      <c r="AD1566" t="str">
        <f>"9324791645"</f>
        <v>9324791645</v>
      </c>
      <c r="AE1566" t="str">
        <f>"3452283660"</f>
        <v>3452283660</v>
      </c>
    </row>
    <row r="1567" spans="1:31" x14ac:dyDescent="0.45">
      <c r="A1567" t="str">
        <f>"ПРОЖЕРИНА АЛЕНА НИКОЛАЕВНА"</f>
        <v>ПРОЖЕРИНА АЛЕНА НИКОЛАЕВНА</v>
      </c>
      <c r="B1567" t="str">
        <f>"1982-03-18"</f>
        <v>1982-03-18</v>
      </c>
      <c r="C1567" t="str">
        <f>"65 03 576890"</f>
        <v>65 03 576890</v>
      </c>
      <c r="D1567" t="str">
        <f>"5484016705301562"</f>
        <v>5484016705301562</v>
      </c>
      <c r="E1567" t="str">
        <f t="shared" si="269"/>
        <v>2021-05-31</v>
      </c>
      <c r="F1567" t="str">
        <f>"+"</f>
        <v>+</v>
      </c>
      <c r="G1567" t="str">
        <f>"+"</f>
        <v>+</v>
      </c>
      <c r="H1567" t="str">
        <f>"40817810016992096972"</f>
        <v>40817810016992096972</v>
      </c>
      <c r="I1567" t="str">
        <f>"8647"</f>
        <v>8647</v>
      </c>
      <c r="J1567" t="str">
        <f t="shared" si="270"/>
        <v>7770</v>
      </c>
      <c r="K1567" t="str">
        <f>"105000.00"</f>
        <v>105000.00</v>
      </c>
      <c r="L1567" t="str">
        <f>"625000 ОБЛ ТЮМЕНСКАЯ   Г ТЮМЕНЬ   УЛ ШИРОТНАЯ д. 199"</f>
        <v>625000 ОБЛ ТЮМЕНСКАЯ   Г ТЮМЕНЬ   УЛ ШИРОТНАЯ д. 199</v>
      </c>
      <c r="M1567" t="str">
        <f t="shared" si="261"/>
        <v>2019-08-24</v>
      </c>
      <c r="N1567" t="str">
        <f>"ГИПЕРМАРКЕТ ОКЕЙ"</f>
        <v>ГИПЕРМАРКЕТ ОКЕЙ</v>
      </c>
      <c r="O1567" t="str">
        <f>"625000"</f>
        <v>625000</v>
      </c>
      <c r="P1567" t="str">
        <f t="shared" si="271"/>
        <v>ОБЛ ТЮМЕНСКАЯ</v>
      </c>
      <c r="Q1567" t="str">
        <f>""</f>
        <v/>
      </c>
      <c r="R1567" t="str">
        <f>"Г ТЮМЕНЬ"</f>
        <v>Г ТЮМЕНЬ</v>
      </c>
      <c r="S1567" t="str">
        <f>""</f>
        <v/>
      </c>
      <c r="T1567" t="str">
        <f>"УЛ МОНТАЖНИКОВ"</f>
        <v>УЛ МОНТАЖНИКОВ</v>
      </c>
      <c r="U1567" s="1" t="str">
        <f>"15"</f>
        <v>15</v>
      </c>
      <c r="V1567" s="1" t="str">
        <f>""</f>
        <v/>
      </c>
      <c r="W1567" s="1" t="str">
        <f>"А"</f>
        <v>А</v>
      </c>
      <c r="X1567" s="1" t="str">
        <f>""</f>
        <v/>
      </c>
      <c r="Y1567" s="1" t="str">
        <f>"12"</f>
        <v>12</v>
      </c>
      <c r="Z1567" t="str">
        <f>"3452550710"</f>
        <v>3452550710</v>
      </c>
      <c r="AA1567" t="str">
        <f>"9829032808"</f>
        <v>9829032808</v>
      </c>
      <c r="AB1567" t="str">
        <f>"9829032808"</f>
        <v>9829032808</v>
      </c>
      <c r="AC1567" t="str">
        <f>"9829032808"</f>
        <v>9829032808</v>
      </c>
      <c r="AD1567" t="str">
        <f>"9829032808"</f>
        <v>9829032808</v>
      </c>
      <c r="AE1567" t="str">
        <f>"3452550710"</f>
        <v>3452550710</v>
      </c>
    </row>
    <row r="1568" spans="1:31" x14ac:dyDescent="0.45">
      <c r="A1568" t="str">
        <f>"ДЕМЧУК НАТАЛЬЯ АЛЕКСАНДРОВНА"</f>
        <v>ДЕМЧУК НАТАЛЬЯ АЛЕКСАНДРОВНА</v>
      </c>
      <c r="B1568" t="str">
        <f>"1979-06-21"</f>
        <v>1979-06-21</v>
      </c>
      <c r="C1568" t="str">
        <f>"67 00 256084"</f>
        <v>67 00 256084</v>
      </c>
      <c r="D1568" t="str">
        <f>"5484016704164151"</f>
        <v>5484016704164151</v>
      </c>
      <c r="E1568" t="str">
        <f t="shared" si="269"/>
        <v>2021-05-31</v>
      </c>
      <c r="F1568" t="str">
        <f>"+"</f>
        <v>+</v>
      </c>
      <c r="G1568" t="str">
        <f>"+"</f>
        <v>+</v>
      </c>
      <c r="H1568" t="str">
        <f>"40817810616992097135"</f>
        <v>40817810616992097135</v>
      </c>
      <c r="I1568" t="str">
        <f>"5940"</f>
        <v>5940</v>
      </c>
      <c r="J1568" t="str">
        <f t="shared" si="270"/>
        <v>7770</v>
      </c>
      <c r="K1568" t="str">
        <f>"110000.00"</f>
        <v>110000.00</v>
      </c>
      <c r="L1568" t="str">
        <f>"628449 ОБЛ ТЮМЕНСКАЯ Р-Н СУРГУТСКИЙ Г ЛЯНТОР   МКР 7 д. 68"</f>
        <v>628449 ОБЛ ТЮМЕНСКАЯ Р-Н СУРГУТСКИЙ Г ЛЯНТОР   МКР 7 д. 68</v>
      </c>
      <c r="M1568" t="str">
        <f t="shared" si="261"/>
        <v>2019-08-24</v>
      </c>
      <c r="N1568" t="str">
        <f>"МБДОУ РОДНИЧОК"</f>
        <v>МБДОУ РОДНИЧОК</v>
      </c>
      <c r="O1568" t="str">
        <f>"628449"</f>
        <v>628449</v>
      </c>
      <c r="P1568" t="str">
        <f t="shared" si="271"/>
        <v>ОБЛ ТЮМЕНСКАЯ</v>
      </c>
      <c r="Q1568" t="str">
        <f>"Р-Н СУРГУТСКИЙ"</f>
        <v>Р-Н СУРГУТСКИЙ</v>
      </c>
      <c r="R1568" t="str">
        <f>"Г ЛЯНТОР"</f>
        <v>Г ЛЯНТОР</v>
      </c>
      <c r="S1568" t="str">
        <f>""</f>
        <v/>
      </c>
      <c r="T1568" t="str">
        <f>"МКР 3"</f>
        <v>МКР 3</v>
      </c>
      <c r="U1568" s="1" t="str">
        <f>"3"</f>
        <v>3</v>
      </c>
      <c r="V1568" s="1" t="str">
        <f>""</f>
        <v/>
      </c>
      <c r="W1568" s="1" t="str">
        <f>""</f>
        <v/>
      </c>
      <c r="X1568" s="1" t="str">
        <f>""</f>
        <v/>
      </c>
      <c r="Y1568" s="1" t="str">
        <f>"28"</f>
        <v>28</v>
      </c>
      <c r="Z1568" t="str">
        <f>"3463824915"</f>
        <v>3463824915</v>
      </c>
      <c r="AA1568" t="str">
        <f>"3463824721"</f>
        <v>3463824721</v>
      </c>
      <c r="AB1568" t="str">
        <f>"9226501941"</f>
        <v>9226501941</v>
      </c>
      <c r="AC1568" t="str">
        <f>"3463824721"</f>
        <v>3463824721</v>
      </c>
      <c r="AD1568" t="str">
        <f>"9226501941"</f>
        <v>9226501941</v>
      </c>
      <c r="AE1568" t="str">
        <f>"3463824915"</f>
        <v>3463824915</v>
      </c>
    </row>
    <row r="1569" spans="1:31" x14ac:dyDescent="0.45">
      <c r="A1569" t="str">
        <f>"СУГОНЯКО ЕЛЕНА НИКОЛАЕВНА"</f>
        <v>СУГОНЯКО ЕЛЕНА НИКОЛАЕВНА</v>
      </c>
      <c r="B1569" t="str">
        <f>"1974-12-24"</f>
        <v>1974-12-24</v>
      </c>
      <c r="C1569" t="str">
        <f>"71 04 100172"</f>
        <v>71 04 100172</v>
      </c>
      <c r="D1569" t="str">
        <f>"5484016708567110"</f>
        <v>5484016708567110</v>
      </c>
      <c r="E1569" t="str">
        <f t="shared" si="269"/>
        <v>2021-05-31</v>
      </c>
      <c r="F1569" t="str">
        <f>"Q"</f>
        <v>Q</v>
      </c>
      <c r="G1569" t="str">
        <f>"Q"</f>
        <v>Q</v>
      </c>
      <c r="H1569" t="str">
        <f>"40817810616992299959"</f>
        <v>40817810616992299959</v>
      </c>
      <c r="I1569" t="str">
        <f>"8647"</f>
        <v>8647</v>
      </c>
      <c r="J1569" t="str">
        <f t="shared" si="270"/>
        <v>7770</v>
      </c>
      <c r="K1569" t="str">
        <f>"0.00"</f>
        <v>0.00</v>
      </c>
      <c r="L1569" t="str">
        <f>"625000 ОБЛ ТЮМЕНСКАЯ   Г ТЮМЕНЬ   УЛ КОТОВСКОГО д. 55"</f>
        <v>625000 ОБЛ ТЮМЕНСКАЯ   Г ТЮМЕНЬ   УЛ КОТОВСКОГО д. 55</v>
      </c>
      <c r="M1569" t="str">
        <f t="shared" si="261"/>
        <v>2019-08-24</v>
      </c>
      <c r="N1569" t="str">
        <f>"ОКБ 1"</f>
        <v>ОКБ 1</v>
      </c>
      <c r="O1569" t="str">
        <f>"625046"</f>
        <v>625046</v>
      </c>
      <c r="P1569" t="str">
        <f t="shared" si="271"/>
        <v>ОБЛ ТЮМЕНСКАЯ</v>
      </c>
      <c r="Q1569" t="str">
        <f>""</f>
        <v/>
      </c>
      <c r="R1569" t="str">
        <f>"Г ТЮМЕНЬ"</f>
        <v>Г ТЮМЕНЬ</v>
      </c>
      <c r="S1569" t="str">
        <f>""</f>
        <v/>
      </c>
      <c r="T1569" t="str">
        <f>"УЛ МОТОРОСТРОИТЕЛЕЙ"</f>
        <v>УЛ МОТОРОСТРОИТЕЛЕЙ</v>
      </c>
      <c r="U1569" s="1" t="str">
        <f>"4А"</f>
        <v>4А</v>
      </c>
      <c r="V1569" s="1" t="str">
        <f>""</f>
        <v/>
      </c>
      <c r="W1569" s="1" t="str">
        <f>""</f>
        <v/>
      </c>
      <c r="X1569" s="1" t="str">
        <f>""</f>
        <v/>
      </c>
      <c r="Y1569" s="1" t="str">
        <f>"131"</f>
        <v>131</v>
      </c>
      <c r="Z1569" t="str">
        <f>"3452560010"</f>
        <v>3452560010</v>
      </c>
      <c r="AA1569" t="str">
        <f>"3452373218"</f>
        <v>3452373218</v>
      </c>
      <c r="AB1569" t="str">
        <f>"9028182960"</f>
        <v>9028182960</v>
      </c>
      <c r="AC1569" t="str">
        <f>"9028182960"</f>
        <v>9028182960</v>
      </c>
      <c r="AD1569" t="str">
        <f>"9028182960"</f>
        <v>9028182960</v>
      </c>
      <c r="AE1569" t="str">
        <f>"3452560010"</f>
        <v>3452560010</v>
      </c>
    </row>
    <row r="1570" spans="1:31" x14ac:dyDescent="0.45">
      <c r="A1570" t="str">
        <f>"ЗАБИРКО ЕЛЕНА ВАСИЛЬЕВНА"</f>
        <v>ЗАБИРКО ЕЛЕНА ВАСИЛЬЕВНА</v>
      </c>
      <c r="B1570" t="str">
        <f>"1966-04-26"</f>
        <v>1966-04-26</v>
      </c>
      <c r="C1570" t="str">
        <f>"67 10 105831"</f>
        <v>67 10 105831</v>
      </c>
      <c r="D1570" t="str">
        <f>"5484016709109789"</f>
        <v>5484016709109789</v>
      </c>
      <c r="E1570" t="str">
        <f t="shared" si="269"/>
        <v>2021-05-31</v>
      </c>
      <c r="F1570" t="str">
        <f>"Y"</f>
        <v>Y</v>
      </c>
      <c r="G1570" t="str">
        <f>"Q"</f>
        <v>Q</v>
      </c>
      <c r="H1570" t="str">
        <f>"40817810416992300006"</f>
        <v>40817810416992300006</v>
      </c>
      <c r="I1570" t="str">
        <f>"5940"</f>
        <v>5940</v>
      </c>
      <c r="J1570" t="str">
        <f t="shared" si="270"/>
        <v>7770</v>
      </c>
      <c r="K1570" t="str">
        <f>"0.00"</f>
        <v>0.00</v>
      </c>
      <c r="L1570" t="str">
        <f>"628400 ОБЛ ТЮМЕНСКАЯ   Г ЛЯНТОР   МКР 7 д. 67"</f>
        <v>628400 ОБЛ ТЮМЕНСКАЯ   Г ЛЯНТОР   МКР 7 д. 67</v>
      </c>
      <c r="M1570" t="str">
        <f t="shared" si="261"/>
        <v>2019-08-24</v>
      </c>
      <c r="N1570" t="str">
        <f>"ДС РОДНИЧОК"</f>
        <v>ДС РОДНИЧОК</v>
      </c>
      <c r="O1570" t="str">
        <f>"628400"</f>
        <v>628400</v>
      </c>
      <c r="P1570" t="str">
        <f t="shared" si="271"/>
        <v>ОБЛ ТЮМЕНСКАЯ</v>
      </c>
      <c r="Q1570" t="str">
        <f>"Р-Н СУРГУТСКИЙ"</f>
        <v>Р-Н СУРГУТСКИЙ</v>
      </c>
      <c r="R1570" t="str">
        <f>"Г ЛЯНТОР"</f>
        <v>Г ЛЯНТОР</v>
      </c>
      <c r="S1570" t="str">
        <f>""</f>
        <v/>
      </c>
      <c r="T1570" t="str">
        <f>"МКР 6А"</f>
        <v>МКР 6А</v>
      </c>
      <c r="U1570" s="1" t="str">
        <f>"101"</f>
        <v>101</v>
      </c>
      <c r="V1570" s="1" t="str">
        <f>""</f>
        <v/>
      </c>
      <c r="W1570" s="1" t="str">
        <f>""</f>
        <v/>
      </c>
      <c r="X1570" s="1" t="str">
        <f>""</f>
        <v/>
      </c>
      <c r="Y1570" s="1" t="str">
        <f>"160"</f>
        <v>160</v>
      </c>
      <c r="Z1570" t="str">
        <f>"3463824721"</f>
        <v>3463824721</v>
      </c>
      <c r="AA1570" t="str">
        <f>"3463826730"</f>
        <v>3463826730</v>
      </c>
      <c r="AB1570" t="str">
        <f>"9224375492"</f>
        <v>9224375492</v>
      </c>
      <c r="AC1570" t="str">
        <f>"9224375492"</f>
        <v>9224375492</v>
      </c>
      <c r="AD1570" t="str">
        <f>"9224375492"</f>
        <v>9224375492</v>
      </c>
      <c r="AE1570" t="str">
        <f>"3466314108"</f>
        <v>3466314108</v>
      </c>
    </row>
    <row r="1571" spans="1:31" x14ac:dyDescent="0.45">
      <c r="A1571" t="str">
        <f>"ФИЛИМОНОВА РАИСА ЯКОВЛЕВНА"</f>
        <v>ФИЛИМОНОВА РАИСА ЯКОВЛЕВНА</v>
      </c>
      <c r="B1571" t="str">
        <f>"1959-09-29"</f>
        <v>1959-09-29</v>
      </c>
      <c r="C1571" t="str">
        <f>"71 04 259758"</f>
        <v>71 04 259758</v>
      </c>
      <c r="D1571" t="str">
        <f>"5484016705582252"</f>
        <v>5484016705582252</v>
      </c>
      <c r="E1571" t="str">
        <f t="shared" si="269"/>
        <v>2021-05-31</v>
      </c>
      <c r="F1571" t="str">
        <f t="shared" ref="F1571:G1585" si="272">"+"</f>
        <v>+</v>
      </c>
      <c r="G1571" t="str">
        <f t="shared" si="272"/>
        <v>+</v>
      </c>
      <c r="H1571" t="str">
        <f>"40817810816992300017"</f>
        <v>40817810816992300017</v>
      </c>
      <c r="I1571" t="str">
        <f>"8647"</f>
        <v>8647</v>
      </c>
      <c r="J1571" t="str">
        <f t="shared" si="270"/>
        <v>7770</v>
      </c>
      <c r="K1571" t="str">
        <f>"15000.00"</f>
        <v>15000.00</v>
      </c>
      <c r="L1571" t="str">
        <f>"625000 ОБЛ ТЮМЕНСКАЯ   Г ТЮМЕНЬ   УЛ КОТОВСКОГО д. 55"</f>
        <v>625000 ОБЛ ТЮМЕНСКАЯ   Г ТЮМЕНЬ   УЛ КОТОВСКОГО д. 55</v>
      </c>
      <c r="M1571" t="str">
        <f t="shared" si="261"/>
        <v>2019-08-24</v>
      </c>
      <c r="N1571" t="str">
        <f>"ОКБ № 1"</f>
        <v>ОКБ № 1</v>
      </c>
      <c r="O1571" t="str">
        <f>"625000"</f>
        <v>625000</v>
      </c>
      <c r="P1571" t="str">
        <f t="shared" si="271"/>
        <v>ОБЛ ТЮМЕНСКАЯ</v>
      </c>
      <c r="Q1571" t="str">
        <f>""</f>
        <v/>
      </c>
      <c r="R1571" t="str">
        <f>"Г ТЮМЕНЬ"</f>
        <v>Г ТЮМЕНЬ</v>
      </c>
      <c r="S1571" t="str">
        <f>""</f>
        <v/>
      </c>
      <c r="T1571" t="str">
        <f>"УЛ ДЕМЬЯНА БЕДНОГО"</f>
        <v>УЛ ДЕМЬЯНА БЕДНОГО</v>
      </c>
      <c r="U1571" s="1" t="str">
        <f>"109"</f>
        <v>109</v>
      </c>
      <c r="V1571" s="1" t="str">
        <f>""</f>
        <v/>
      </c>
      <c r="W1571" s="1" t="str">
        <f>""</f>
        <v/>
      </c>
      <c r="X1571" s="1" t="str">
        <f>""</f>
        <v/>
      </c>
      <c r="Y1571" s="1" t="str">
        <f>"10"</f>
        <v>10</v>
      </c>
      <c r="Z1571" t="str">
        <f>"+7 (3452) 560010"</f>
        <v>+7 (3452) 560010</v>
      </c>
      <c r="AA1571" t="str">
        <f>"+7 (3452) 357123"</f>
        <v>+7 (3452) 357123</v>
      </c>
      <c r="AB1571" t="str">
        <f>"+7 (912) 9232897"</f>
        <v>+7 (912) 9232897</v>
      </c>
      <c r="AC1571" t="str">
        <f>"9129232897"</f>
        <v>9129232897</v>
      </c>
      <c r="AD1571" t="str">
        <f>"9129232897"</f>
        <v>9129232897</v>
      </c>
      <c r="AE1571" t="str">
        <f>"3452560010"</f>
        <v>3452560010</v>
      </c>
    </row>
    <row r="1572" spans="1:31" x14ac:dyDescent="0.45">
      <c r="A1572" t="str">
        <f>"КУЗЬМЕНКО ИРИНА ВАСИЛЬЕВНА"</f>
        <v>КУЗЬМЕНКО ИРИНА ВАСИЛЬЕВНА</v>
      </c>
      <c r="B1572" t="str">
        <f>"1971-12-23"</f>
        <v>1971-12-23</v>
      </c>
      <c r="C1572" t="str">
        <f>"67 16 606418"</f>
        <v>67 16 606418</v>
      </c>
      <c r="D1572" t="str">
        <f>"5484016705846178"</f>
        <v>5484016705846178</v>
      </c>
      <c r="E1572" t="str">
        <f t="shared" si="269"/>
        <v>2021-05-31</v>
      </c>
      <c r="F1572" t="str">
        <f t="shared" si="272"/>
        <v>+</v>
      </c>
      <c r="G1572" t="str">
        <f t="shared" si="272"/>
        <v>+</v>
      </c>
      <c r="H1572" t="str">
        <f>"40817810016992300105"</f>
        <v>40817810016992300105</v>
      </c>
      <c r="I1572" t="str">
        <f>"5940"</f>
        <v>5940</v>
      </c>
      <c r="J1572" t="str">
        <f t="shared" si="270"/>
        <v>7770</v>
      </c>
      <c r="K1572" t="str">
        <f>"22000.00"</f>
        <v>22000.00</v>
      </c>
      <c r="L1572" t="str">
        <f>"628400 ОБЛ ТЮМЕНСКАЯ   Г СУРГУТ   УЛ МЕЛИК-КАРАМОВА д. 72"</f>
        <v>628400 ОБЛ ТЮМЕНСКАЯ   Г СУРГУТ   УЛ МЕЛИК-КАРАМОВА д. 72</v>
      </c>
      <c r="M1572" t="str">
        <f t="shared" si="261"/>
        <v>2019-08-24</v>
      </c>
      <c r="N1572" t="str">
        <f>"МБУ ВАРИАНТ"</f>
        <v>МБУ ВАРИАНТ</v>
      </c>
      <c r="O1572" t="str">
        <f>"628400"</f>
        <v>628400</v>
      </c>
      <c r="P1572" t="str">
        <f t="shared" si="271"/>
        <v>ОБЛ ТЮМЕНСКАЯ</v>
      </c>
      <c r="Q1572" t="str">
        <f>"АО ХМАО"</f>
        <v>АО ХМАО</v>
      </c>
      <c r="R1572" t="str">
        <f>"Г СУРГУТ"</f>
        <v>Г СУРГУТ</v>
      </c>
      <c r="S1572" t="str">
        <f>""</f>
        <v/>
      </c>
      <c r="T1572" t="str">
        <f>"НАБ ИВАНА КАЙДАЛОВА"</f>
        <v>НАБ ИВАНА КАЙДАЛОВА</v>
      </c>
      <c r="U1572" s="1" t="str">
        <f>"28"</f>
        <v>28</v>
      </c>
      <c r="V1572" s="1" t="str">
        <f>""</f>
        <v/>
      </c>
      <c r="W1572" s="1" t="str">
        <f>""</f>
        <v/>
      </c>
      <c r="X1572" s="1" t="str">
        <f>""</f>
        <v/>
      </c>
      <c r="Y1572" s="1" t="str">
        <f>"360"</f>
        <v>360</v>
      </c>
      <c r="Z1572" t="str">
        <f>"3462936918"</f>
        <v>3462936918</v>
      </c>
      <c r="AA1572" t="str">
        <f>"3462267117"</f>
        <v>3462267117</v>
      </c>
      <c r="AB1572" t="str">
        <f>"9222541106"</f>
        <v>9222541106</v>
      </c>
      <c r="AC1572" t="str">
        <f>"3462267117"</f>
        <v>3462267117</v>
      </c>
      <c r="AD1572" t="str">
        <f>"9222541106"</f>
        <v>9222541106</v>
      </c>
      <c r="AE1572" t="str">
        <f>"3462936918"</f>
        <v>3462936918</v>
      </c>
    </row>
    <row r="1573" spans="1:31" x14ac:dyDescent="0.45">
      <c r="A1573" t="str">
        <f>"ПЛОТНИКОВ МИХАИЛ АЛЕКСАНДРОВИЧ"</f>
        <v>ПЛОТНИКОВ МИХАИЛ АЛЕКСАНДРОВИЧ</v>
      </c>
      <c r="B1573" t="str">
        <f>"1962-06-09"</f>
        <v>1962-06-09</v>
      </c>
      <c r="C1573" t="str">
        <f>"67 06 704149"</f>
        <v>67 06 704149</v>
      </c>
      <c r="D1573" t="str">
        <f>"5313100235814505"</f>
        <v>5313100235814505</v>
      </c>
      <c r="E1573" t="str">
        <f>"2019-11-30"</f>
        <v>2019-11-30</v>
      </c>
      <c r="F1573" t="str">
        <f t="shared" si="272"/>
        <v>+</v>
      </c>
      <c r="G1573" t="str">
        <f t="shared" si="272"/>
        <v>+</v>
      </c>
      <c r="H1573" t="str">
        <f>"40817810216992450651"</f>
        <v>40817810216992450651</v>
      </c>
      <c r="I1573" t="str">
        <f>"5940"</f>
        <v>5940</v>
      </c>
      <c r="J1573" t="str">
        <f>"0053"</f>
        <v>0053</v>
      </c>
      <c r="K1573" t="str">
        <f>"65000.00"</f>
        <v>65000.00</v>
      </c>
      <c r="L1573" t="str">
        <f>"628400 ОБЛ ТЮМЕНСКАЯ   Г СУРГУТ   УЛ ПРОФСОЮЗОВ д. 12/1 кв. 129"</f>
        <v>628400 ОБЛ ТЮМЕНСКАЯ   Г СУРГУТ   УЛ ПРОФСОЮЗОВ д. 12/1 кв. 129</v>
      </c>
      <c r="M1573" t="str">
        <f t="shared" si="261"/>
        <v>2019-08-24</v>
      </c>
      <c r="N1573" t="str">
        <f>"ПЕНСИОНЕР"</f>
        <v>ПЕНСИОНЕР</v>
      </c>
      <c r="O1573" t="str">
        <f>"628400"</f>
        <v>628400</v>
      </c>
      <c r="P1573" t="str">
        <f t="shared" si="271"/>
        <v>ОБЛ ТЮМЕНСКАЯ</v>
      </c>
      <c r="Q1573" t="str">
        <f>""</f>
        <v/>
      </c>
      <c r="R1573" t="str">
        <f>"Г СУРГУТ"</f>
        <v>Г СУРГУТ</v>
      </c>
      <c r="S1573" t="str">
        <f>""</f>
        <v/>
      </c>
      <c r="T1573" t="str">
        <f>"УЛ ПРОФСОЮЗОВ"</f>
        <v>УЛ ПРОФСОЮЗОВ</v>
      </c>
      <c r="U1573" s="1" t="str">
        <f>"12/1"</f>
        <v>12/1</v>
      </c>
      <c r="V1573" s="1" t="str">
        <f>""</f>
        <v/>
      </c>
      <c r="W1573" s="1" t="str">
        <f>""</f>
        <v/>
      </c>
      <c r="X1573" s="1" t="str">
        <f>""</f>
        <v/>
      </c>
      <c r="Y1573" s="1" t="str">
        <f>"129"</f>
        <v>129</v>
      </c>
      <c r="Z1573" t="str">
        <f>""</f>
        <v/>
      </c>
      <c r="AA1573" t="str">
        <f>"9324123290"</f>
        <v>9324123290</v>
      </c>
      <c r="AB1573" t="str">
        <f>"9124125436"</f>
        <v>9124125436</v>
      </c>
      <c r="AC1573" t="str">
        <f>"9324123290"</f>
        <v>9324123290</v>
      </c>
      <c r="AD1573" t="str">
        <f>"9124125436"</f>
        <v>9124125436</v>
      </c>
      <c r="AE1573" t="str">
        <f>""</f>
        <v/>
      </c>
    </row>
    <row r="1574" spans="1:31" x14ac:dyDescent="0.45">
      <c r="A1574" t="str">
        <f>"БОРИСИК СВЕТЛАНА СЕРГЕЕВНА"</f>
        <v>БОРИСИК СВЕТЛАНА СЕРГЕЕВНА</v>
      </c>
      <c r="B1574" t="str">
        <f>"1972-03-04"</f>
        <v>1972-03-04</v>
      </c>
      <c r="C1574" t="str">
        <f>"65 16 332998"</f>
        <v>65 16 332998</v>
      </c>
      <c r="D1574" t="str">
        <f>"4854630400587153"</f>
        <v>4854630400587153</v>
      </c>
      <c r="E1574" t="str">
        <f>"2020-04-30"</f>
        <v>2020-04-30</v>
      </c>
      <c r="F1574" t="str">
        <f t="shared" si="272"/>
        <v>+</v>
      </c>
      <c r="G1574" t="str">
        <f t="shared" si="272"/>
        <v>+</v>
      </c>
      <c r="H1574" t="str">
        <f>"40817810816991391292"</f>
        <v>40817810816991391292</v>
      </c>
      <c r="I1574" t="str">
        <f>"7003"</f>
        <v>7003</v>
      </c>
      <c r="J1574" t="str">
        <f>"0819"</f>
        <v>0819</v>
      </c>
      <c r="K1574" t="str">
        <f>"13000.00"</f>
        <v>13000.00</v>
      </c>
      <c r="L1574" t="str">
        <f>"620000 ОБЛ СВЕРДЛОВСКАЯ   Г ИВДЕЛЬ   УЛ ПЕРШИНСКАЯ д. 24"</f>
        <v>620000 ОБЛ СВЕРДЛОВСКАЯ   Г ИВДЕЛЬ   УЛ ПЕРШИНСКАЯ д. 24</v>
      </c>
      <c r="M1574" t="str">
        <f t="shared" si="261"/>
        <v>2019-08-24</v>
      </c>
      <c r="N1574" t="str">
        <f>"ДОМОХОЗЯЙКА"</f>
        <v>ДОМОХОЗЯЙКА</v>
      </c>
      <c r="O1574" t="str">
        <f>"620000"</f>
        <v>620000</v>
      </c>
      <c r="P1574" t="str">
        <f>"ОБЛ СВЕРДЛОВСКАЯ"</f>
        <v>ОБЛ СВЕРДЛОВСКАЯ</v>
      </c>
      <c r="Q1574" t="str">
        <f>""</f>
        <v/>
      </c>
      <c r="R1574" t="str">
        <f>"Г ИВДЕЛЬ"</f>
        <v>Г ИВДЕЛЬ</v>
      </c>
      <c r="S1574" t="str">
        <f>""</f>
        <v/>
      </c>
      <c r="T1574" t="str">
        <f>"УЛ ПЕРШИНСКАЯ"</f>
        <v>УЛ ПЕРШИНСКАЯ</v>
      </c>
      <c r="U1574" s="1" t="str">
        <f>"24"</f>
        <v>24</v>
      </c>
      <c r="V1574" s="1" t="str">
        <f>""</f>
        <v/>
      </c>
      <c r="W1574" s="1" t="str">
        <f>""</f>
        <v/>
      </c>
      <c r="X1574" s="1" t="str">
        <f>""</f>
        <v/>
      </c>
      <c r="Y1574" s="1" t="str">
        <f>""</f>
        <v/>
      </c>
      <c r="Z1574" t="str">
        <f>""</f>
        <v/>
      </c>
      <c r="AA1574" t="str">
        <f>"9506332538"</f>
        <v>9506332538</v>
      </c>
      <c r="AB1574" t="str">
        <f>"9506332538"</f>
        <v>9506332538</v>
      </c>
      <c r="AC1574" t="str">
        <f>"9506332538"</f>
        <v>9506332538</v>
      </c>
      <c r="AD1574" t="str">
        <f>"9506332538"</f>
        <v>9506332538</v>
      </c>
      <c r="AE1574" t="str">
        <f>""</f>
        <v/>
      </c>
    </row>
    <row r="1575" spans="1:31" x14ac:dyDescent="0.45">
      <c r="A1575" t="str">
        <f>"ЛОКТИОНОВА ЛЮДМИЛА БОРИСОВНА"</f>
        <v>ЛОКТИОНОВА ЛЮДМИЛА БОРИСОВНА</v>
      </c>
      <c r="B1575" t="str">
        <f>"1954-07-21"</f>
        <v>1954-07-21</v>
      </c>
      <c r="C1575" t="str">
        <f>"65 01 812340"</f>
        <v>65 01 812340</v>
      </c>
      <c r="D1575" t="str">
        <f>"4854630292144105"</f>
        <v>4854630292144105</v>
      </c>
      <c r="E1575" t="str">
        <f>"2020-11-30"</f>
        <v>2020-11-30</v>
      </c>
      <c r="F1575" t="str">
        <f t="shared" si="272"/>
        <v>+</v>
      </c>
      <c r="G1575" t="str">
        <f t="shared" si="272"/>
        <v>+</v>
      </c>
      <c r="H1575" t="str">
        <f>"40817810916991391309"</f>
        <v>40817810916991391309</v>
      </c>
      <c r="I1575" t="str">
        <f>"7003"</f>
        <v>7003</v>
      </c>
      <c r="J1575" t="str">
        <f>"0383"</f>
        <v>0383</v>
      </c>
      <c r="K1575" t="str">
        <f>"50000.00"</f>
        <v>50000.00</v>
      </c>
      <c r="L1575" t="str">
        <f>"620000 ОБЛ СВЕРДЛОВСКАЯ   Г ЕКАТЕРИНБУРГ   УЛ АМУНДСЕНА д. 69 кв. 72"</f>
        <v>620000 ОБЛ СВЕРДЛОВСКАЯ   Г ЕКАТЕРИНБУРГ   УЛ АМУНДСЕНА д. 69 кв. 72</v>
      </c>
      <c r="M1575" t="str">
        <f t="shared" si="261"/>
        <v>2019-08-24</v>
      </c>
      <c r="N1575" t="str">
        <f>"ПЕНСИОНЕР"</f>
        <v>ПЕНСИОНЕР</v>
      </c>
      <c r="O1575" t="str">
        <f>"620000"</f>
        <v>620000</v>
      </c>
      <c r="P1575" t="str">
        <f>"ОБЛ СВЕРДЛОВСКАЯ"</f>
        <v>ОБЛ СВЕРДЛОВСКАЯ</v>
      </c>
      <c r="Q1575" t="str">
        <f>""</f>
        <v/>
      </c>
      <c r="R1575" t="str">
        <f>"Г ЕКАТЕРИНБУРГ"</f>
        <v>Г ЕКАТЕРИНБУРГ</v>
      </c>
      <c r="S1575" t="str">
        <f>""</f>
        <v/>
      </c>
      <c r="T1575" t="str">
        <f>"УЛ АМУНДСЕНА"</f>
        <v>УЛ АМУНДСЕНА</v>
      </c>
      <c r="U1575" s="1" t="str">
        <f>"69"</f>
        <v>69</v>
      </c>
      <c r="V1575" s="1" t="str">
        <f>""</f>
        <v/>
      </c>
      <c r="W1575" s="1" t="str">
        <f>""</f>
        <v/>
      </c>
      <c r="X1575" s="1" t="str">
        <f>""</f>
        <v/>
      </c>
      <c r="Y1575" s="1" t="str">
        <f>"72"</f>
        <v>72</v>
      </c>
      <c r="Z1575" t="str">
        <f>""</f>
        <v/>
      </c>
      <c r="AA1575" t="str">
        <f>"9533853382"</f>
        <v>9533853382</v>
      </c>
      <c r="AB1575" t="str">
        <f>"9533853382"</f>
        <v>9533853382</v>
      </c>
      <c r="AC1575" t="str">
        <f>"9533853382"</f>
        <v>9533853382</v>
      </c>
      <c r="AD1575" t="str">
        <f>"9533853382"</f>
        <v>9533853382</v>
      </c>
      <c r="AE1575" t="str">
        <f>""</f>
        <v/>
      </c>
    </row>
    <row r="1576" spans="1:31" x14ac:dyDescent="0.45">
      <c r="A1576" t="str">
        <f>"ХАСАНОВ ИБРАГИМ РАШИДОВИЧ"</f>
        <v>ХАСАНОВ ИБРАГИМ РАШИДОВИЧ</v>
      </c>
      <c r="B1576" t="str">
        <f>"1970-11-22"</f>
        <v>1970-11-22</v>
      </c>
      <c r="C1576" t="str">
        <f>"80 15 290010"</f>
        <v>80 15 290010</v>
      </c>
      <c r="D1576" t="str">
        <f>"4854630335464320"</f>
        <v>4854630335464320</v>
      </c>
      <c r="E1576" t="str">
        <f>"2020-04-30"</f>
        <v>2020-04-30</v>
      </c>
      <c r="F1576" t="str">
        <f t="shared" si="272"/>
        <v>+</v>
      </c>
      <c r="G1576" t="str">
        <f t="shared" si="272"/>
        <v>+</v>
      </c>
      <c r="H1576" t="str">
        <f>"40817810316991391310"</f>
        <v>40817810316991391310</v>
      </c>
      <c r="I1576" t="str">
        <f>"8598"</f>
        <v>8598</v>
      </c>
      <c r="J1576" t="str">
        <f>"0006"</f>
        <v>0006</v>
      </c>
      <c r="K1576" t="str">
        <f>"200000.00"</f>
        <v>200000.00</v>
      </c>
      <c r="L1576" t="str">
        <f>"450000 РЕСП БАШКОРТОСТАН   Г СТЕРЛИТАМАК   УЛ ПАВЛОВА д. 10"</f>
        <v>450000 РЕСП БАШКОРТОСТАН   Г СТЕРЛИТАМАК   УЛ ПАВЛОВА д. 10</v>
      </c>
      <c r="M1576" t="str">
        <f t="shared" si="261"/>
        <v>2019-08-24</v>
      </c>
      <c r="N1576" t="str">
        <f>"ООО АТП"</f>
        <v>ООО АТП</v>
      </c>
      <c r="O1576" t="str">
        <f>"450000"</f>
        <v>450000</v>
      </c>
      <c r="P1576" t="str">
        <f>"РЕСП БАШКОРТОСТАН"</f>
        <v>РЕСП БАШКОРТОСТАН</v>
      </c>
      <c r="Q1576" t="str">
        <f>""</f>
        <v/>
      </c>
      <c r="R1576" t="str">
        <f>"Г СТЕРЛИТАМАК"</f>
        <v>Г СТЕРЛИТАМАК</v>
      </c>
      <c r="S1576" t="str">
        <f>""</f>
        <v/>
      </c>
      <c r="T1576" t="str">
        <f>"УЛ АРТЕМА"</f>
        <v>УЛ АРТЕМА</v>
      </c>
      <c r="U1576" s="1" t="str">
        <f>"151Б"</f>
        <v>151Б</v>
      </c>
      <c r="V1576" s="1" t="str">
        <f>""</f>
        <v/>
      </c>
      <c r="W1576" s="1" t="str">
        <f>""</f>
        <v/>
      </c>
      <c r="X1576" s="1" t="str">
        <f>""</f>
        <v/>
      </c>
      <c r="Y1576" s="1" t="str">
        <f>"20"</f>
        <v>20</v>
      </c>
      <c r="Z1576" t="str">
        <f>"3473216198"</f>
        <v>3473216198</v>
      </c>
      <c r="AA1576" t="str">
        <f>"3473414327"</f>
        <v>3473414327</v>
      </c>
      <c r="AB1576" t="str">
        <f>"9876002398"</f>
        <v>9876002398</v>
      </c>
      <c r="AC1576" t="str">
        <f>"3473414327"</f>
        <v>3473414327</v>
      </c>
      <c r="AD1576" t="str">
        <f>"9876002398"</f>
        <v>9876002398</v>
      </c>
      <c r="AE1576" t="str">
        <f>"3473216198"</f>
        <v>3473216198</v>
      </c>
    </row>
    <row r="1577" spans="1:31" x14ac:dyDescent="0.45">
      <c r="A1577" t="str">
        <f>"УЗИНГЕР ИРИНА ВЛАДИМИРОВНА"</f>
        <v>УЗИНГЕР ИРИНА ВЛАДИМИРОВНА</v>
      </c>
      <c r="B1577" t="str">
        <f>"1975-06-25"</f>
        <v>1975-06-25</v>
      </c>
      <c r="C1577" t="str">
        <f>"71 99 135074"</f>
        <v>71 99 135074</v>
      </c>
      <c r="D1577" t="str">
        <f>"4854630072933057"</f>
        <v>4854630072933057</v>
      </c>
      <c r="E1577" t="str">
        <f>"2020-11-30"</f>
        <v>2020-11-30</v>
      </c>
      <c r="F1577" t="str">
        <f t="shared" si="272"/>
        <v>+</v>
      </c>
      <c r="G1577" t="str">
        <f t="shared" si="272"/>
        <v>+</v>
      </c>
      <c r="H1577" t="str">
        <f>"40817810516992450788"</f>
        <v>40817810516992450788</v>
      </c>
      <c r="I1577" t="str">
        <f>"8647"</f>
        <v>8647</v>
      </c>
      <c r="J1577" t="str">
        <f>"0088"</f>
        <v>0088</v>
      </c>
      <c r="K1577" t="str">
        <f>"120000.00"</f>
        <v>120000.00</v>
      </c>
      <c r="L1577" t="str">
        <f>"625000 ОБЛ ТЮМЕНСКАЯ   Г ТЮМЕНЬ   УЛ МЕЛЬНИКАЙТЕ д. 129"</f>
        <v>625000 ОБЛ ТЮМЕНСКАЯ   Г ТЮМЕНЬ   УЛ МЕЛЬНИКАЙТЕ д. 129</v>
      </c>
      <c r="M1577" t="str">
        <f t="shared" si="261"/>
        <v>2019-08-24</v>
      </c>
      <c r="N1577" t="str">
        <f>"ЦВЕТОЧНАЯ МАСТЕРСКАЯ"</f>
        <v>ЦВЕТОЧНАЯ МАСТЕРСКАЯ</v>
      </c>
      <c r="O1577" t="str">
        <f>"625000"</f>
        <v>625000</v>
      </c>
      <c r="P1577" t="str">
        <f>"ОБЛ ТЮМЕНСКАЯ"</f>
        <v>ОБЛ ТЮМЕНСКАЯ</v>
      </c>
      <c r="Q1577" t="str">
        <f>""</f>
        <v/>
      </c>
      <c r="R1577" t="str">
        <f>"Г ТЮМЕНЬ"</f>
        <v>Г ТЮМЕНЬ</v>
      </c>
      <c r="S1577" t="str">
        <f>""</f>
        <v/>
      </c>
      <c r="T1577" t="str">
        <f>"УЛ ИЗБЫШЕВА"</f>
        <v>УЛ ИЗБЫШЕВА</v>
      </c>
      <c r="U1577" s="1" t="str">
        <f>"6"</f>
        <v>6</v>
      </c>
      <c r="V1577" s="1" t="str">
        <f>""</f>
        <v/>
      </c>
      <c r="W1577" s="1" t="str">
        <f>""</f>
        <v/>
      </c>
      <c r="X1577" s="1" t="str">
        <f>""</f>
        <v/>
      </c>
      <c r="Y1577" s="1" t="str">
        <f>"200"</f>
        <v>200</v>
      </c>
      <c r="Z1577" t="str">
        <f>""</f>
        <v/>
      </c>
      <c r="AA1577" t="str">
        <f>"9044949332"</f>
        <v>9044949332</v>
      </c>
      <c r="AB1577" t="str">
        <f>"9129250655"</f>
        <v>9129250655</v>
      </c>
      <c r="AC1577" t="str">
        <f>"9044949332"</f>
        <v>9044949332</v>
      </c>
      <c r="AD1577" t="str">
        <f>"9129250655"</f>
        <v>9129250655</v>
      </c>
      <c r="AE1577" t="str">
        <f>""</f>
        <v/>
      </c>
    </row>
    <row r="1578" spans="1:31" x14ac:dyDescent="0.45">
      <c r="A1578" t="str">
        <f>"КОРНЕЕВА ОЛЬГА ВИКТОРОВНА"</f>
        <v>КОРНЕЕВА ОЛЬГА ВИКТОРОВНА</v>
      </c>
      <c r="B1578" t="str">
        <f>"1980-01-07"</f>
        <v>1980-01-07</v>
      </c>
      <c r="C1578" t="str">
        <f>"75 15 755108"</f>
        <v>75 15 755108</v>
      </c>
      <c r="D1578" t="str">
        <f>"4279011699540749"</f>
        <v>4279011699540749</v>
      </c>
      <c r="E1578" t="str">
        <f t="shared" ref="E1578:E1591" si="273">"2021-05-31"</f>
        <v>2021-05-31</v>
      </c>
      <c r="F1578" t="str">
        <f t="shared" si="272"/>
        <v>+</v>
      </c>
      <c r="G1578" t="str">
        <f>"7"</f>
        <v>7</v>
      </c>
      <c r="H1578" t="str">
        <f>"40817810616991391353"</f>
        <v>40817810616991391353</v>
      </c>
      <c r="I1578" t="str">
        <f>"8597"</f>
        <v>8597</v>
      </c>
      <c r="J1578" t="str">
        <f>"0206"</f>
        <v>0206</v>
      </c>
      <c r="K1578" t="str">
        <f>"99946.20"</f>
        <v>99946.20</v>
      </c>
      <c r="L1578" t="str">
        <f>"454000 ОБЛ ЧЕЛЯБИНСКАЯ   Г ЧЕЛЯБИНСК   УЛ БАРБЮСА д. 120"</f>
        <v>454000 ОБЛ ЧЕЛЯБИНСКАЯ   Г ЧЕЛЯБИНСК   УЛ БАРБЮСА д. 120</v>
      </c>
      <c r="M1578" t="str">
        <f t="shared" si="261"/>
        <v>2019-08-24</v>
      </c>
      <c r="N1578" t="str">
        <f>"ТРАНСНЕФТЬ-УРАЛ"</f>
        <v>ТРАНСНЕФТЬ-УРАЛ</v>
      </c>
      <c r="O1578" t="str">
        <f>"454000"</f>
        <v>454000</v>
      </c>
      <c r="P1578" t="str">
        <f>"ОБЛ ЧЕЛЯБИНСКАЯ"</f>
        <v>ОБЛ ЧЕЛЯБИНСКАЯ</v>
      </c>
      <c r="Q1578" t="str">
        <f>""</f>
        <v/>
      </c>
      <c r="R1578" t="str">
        <f>"Г ЧЕЛЯБИНСК"</f>
        <v>Г ЧЕЛЯБИНСК</v>
      </c>
      <c r="S1578" t="str">
        <f>""</f>
        <v/>
      </c>
      <c r="T1578" t="str">
        <f>"УЛ БАРБЮСА"</f>
        <v>УЛ БАРБЮСА</v>
      </c>
      <c r="U1578" s="1" t="str">
        <f>"84"</f>
        <v>84</v>
      </c>
      <c r="V1578" s="1" t="str">
        <f>""</f>
        <v/>
      </c>
      <c r="W1578" s="1" t="str">
        <f>""</f>
        <v/>
      </c>
      <c r="X1578" s="1" t="str">
        <f>""</f>
        <v/>
      </c>
      <c r="Y1578" s="1" t="str">
        <f>"41"</f>
        <v>41</v>
      </c>
      <c r="Z1578" t="str">
        <f>"3512487240"</f>
        <v>3512487240</v>
      </c>
      <c r="AA1578" t="str">
        <f>"9517803030"</f>
        <v>9517803030</v>
      </c>
      <c r="AB1578" t="str">
        <f>"9292353952"</f>
        <v>9292353952</v>
      </c>
      <c r="AC1578" t="str">
        <f>"9517803030"</f>
        <v>9517803030</v>
      </c>
      <c r="AD1578" t="str">
        <f>"9292353952"</f>
        <v>9292353952</v>
      </c>
      <c r="AE1578" t="str">
        <f>""</f>
        <v/>
      </c>
    </row>
    <row r="1579" spans="1:31" x14ac:dyDescent="0.45">
      <c r="A1579" t="str">
        <f>"ВАСИЛЬЕВ МИХАИЛ АНАТОЛЬЕВИЧ"</f>
        <v>ВАСИЛЬЕВ МИХАИЛ АНАТОЛЬЕВИЧ</v>
      </c>
      <c r="B1579" t="str">
        <f>"1978-11-03"</f>
        <v>1978-11-03</v>
      </c>
      <c r="C1579" t="str">
        <f>"65 02 618051"</f>
        <v>65 02 618051</v>
      </c>
      <c r="D1579" t="str">
        <f>"4279011655821018"</f>
        <v>4279011655821018</v>
      </c>
      <c r="E1579" t="str">
        <f t="shared" si="273"/>
        <v>2021-05-31</v>
      </c>
      <c r="F1579" t="str">
        <f t="shared" si="272"/>
        <v>+</v>
      </c>
      <c r="G1579" t="str">
        <f>"+"</f>
        <v>+</v>
      </c>
      <c r="H1579" t="str">
        <f>"40817810816991391399"</f>
        <v>40817810816991391399</v>
      </c>
      <c r="I1579" t="str">
        <f>"7003"</f>
        <v>7003</v>
      </c>
      <c r="J1579" t="str">
        <f>"0691"</f>
        <v>0691</v>
      </c>
      <c r="K1579" t="str">
        <f>"96000.00"</f>
        <v>96000.00</v>
      </c>
      <c r="L1579" t="str">
        <f>"620000 ОБЛ СВЕРДЛОВСКАЯ   Г ПЕРВОУРАЛЬСК   УЛ САККО И ВАНЦЕТТИ д. 28"</f>
        <v>620000 ОБЛ СВЕРДЛОВСКАЯ   Г ПЕРВОУРАЛЬСК   УЛ САККО И ВАНЦЕТТИ д. 28</v>
      </c>
      <c r="M1579" t="str">
        <f t="shared" si="261"/>
        <v>2019-08-24</v>
      </c>
      <c r="N1579" t="str">
        <f>"ОАО УРАЛТРУБПРОМ"</f>
        <v>ОАО УРАЛТРУБПРОМ</v>
      </c>
      <c r="O1579" t="str">
        <f>"620000"</f>
        <v>620000</v>
      </c>
      <c r="P1579" t="str">
        <f>"ОБЛ СВЕРДЛОВСКАЯ"</f>
        <v>ОБЛ СВЕРДЛОВСКАЯ</v>
      </c>
      <c r="Q1579" t="str">
        <f>""</f>
        <v/>
      </c>
      <c r="R1579" t="str">
        <f>"Г ПЕРВОУРАЛЬСК"</f>
        <v>Г ПЕРВОУРАЛЬСК</v>
      </c>
      <c r="S1579" t="str">
        <f>""</f>
        <v/>
      </c>
      <c r="T1579" t="str">
        <f>"ПР-КТ КОСМОНАВТОВ"</f>
        <v>ПР-КТ КОСМОНАВТОВ</v>
      </c>
      <c r="U1579" s="1" t="str">
        <f>"11"</f>
        <v>11</v>
      </c>
      <c r="V1579" s="1" t="str">
        <f>""</f>
        <v/>
      </c>
      <c r="W1579" s="1" t="str">
        <f>""</f>
        <v/>
      </c>
      <c r="X1579" s="1" t="str">
        <f>""</f>
        <v/>
      </c>
      <c r="Y1579" s="1" t="str">
        <f>"4"</f>
        <v>4</v>
      </c>
      <c r="Z1579" t="str">
        <f>""</f>
        <v/>
      </c>
      <c r="AA1579" t="str">
        <f>"0000000000"</f>
        <v>0000000000</v>
      </c>
      <c r="AB1579" t="str">
        <f>"9025028869"</f>
        <v>9025028869</v>
      </c>
      <c r="AC1579" t="str">
        <f>"0000000000"</f>
        <v>0000000000</v>
      </c>
      <c r="AD1579" t="str">
        <f>"9025028869"</f>
        <v>9025028869</v>
      </c>
      <c r="AE1579" t="str">
        <f>""</f>
        <v/>
      </c>
    </row>
    <row r="1580" spans="1:31" x14ac:dyDescent="0.45">
      <c r="A1580" t="str">
        <f>"ЗАХАРОВА ИРИНА НИКОЛАЕВНА"</f>
        <v>ЗАХАРОВА ИРИНА НИКОЛАЕВНА</v>
      </c>
      <c r="B1580" t="str">
        <f>"1985-06-11"</f>
        <v>1985-06-11</v>
      </c>
      <c r="C1580" t="str">
        <f>"37 05 061836"</f>
        <v>37 05 061836</v>
      </c>
      <c r="D1580" t="str">
        <f>"4279011643043410"</f>
        <v>4279011643043410</v>
      </c>
      <c r="E1580" t="str">
        <f t="shared" si="273"/>
        <v>2021-05-31</v>
      </c>
      <c r="F1580" t="str">
        <f t="shared" si="272"/>
        <v>+</v>
      </c>
      <c r="G1580" t="str">
        <f>"+"</f>
        <v>+</v>
      </c>
      <c r="H1580" t="str">
        <f>"40817810116991391400"</f>
        <v>40817810116991391400</v>
      </c>
      <c r="I1580" t="str">
        <f>"7003"</f>
        <v>7003</v>
      </c>
      <c r="J1580" t="str">
        <f>"0378"</f>
        <v>0378</v>
      </c>
      <c r="K1580" t="str">
        <f>"35000.00"</f>
        <v>35000.00</v>
      </c>
      <c r="L1580" t="str">
        <f>"620000 ОБЛ ЛЕНИНГРАДСКАЯ   Г САНКТ-ПЕТЕРБУРГ   УЛ СЕДОВА д. 11"</f>
        <v>620000 ОБЛ ЛЕНИНГРАДСКАЯ   Г САНКТ-ПЕТЕРБУРГ   УЛ СЕДОВА д. 11</v>
      </c>
      <c r="M1580" t="str">
        <f t="shared" si="261"/>
        <v>2019-08-24</v>
      </c>
      <c r="N1580" t="str">
        <f>"ООО ВОЛЬТАРУС"</f>
        <v>ООО ВОЛЬТАРУС</v>
      </c>
      <c r="O1580" t="str">
        <f>"641000"</f>
        <v>641000</v>
      </c>
      <c r="P1580" t="str">
        <f>"ОБЛ КУРГАНСКАЯ"</f>
        <v>ОБЛ КУРГАНСКАЯ</v>
      </c>
      <c r="Q1580" t="str">
        <f>"Р-Н ШАДРИНСКИЙ"</f>
        <v>Р-Н ШАДРИНСКИЙ</v>
      </c>
      <c r="R1580" t="str">
        <f>""</f>
        <v/>
      </c>
      <c r="S1580" t="str">
        <f>"С КЛЮЧИ"</f>
        <v>С КЛЮЧИ</v>
      </c>
      <c r="T1580" t="str">
        <f>"УЛ ПАРКОВАЯ"</f>
        <v>УЛ ПАРКОВАЯ</v>
      </c>
      <c r="U1580" s="1" t="str">
        <f>"3"</f>
        <v>3</v>
      </c>
      <c r="V1580" s="1" t="str">
        <f>""</f>
        <v/>
      </c>
      <c r="W1580" s="1" t="str">
        <f>""</f>
        <v/>
      </c>
      <c r="X1580" s="1" t="str">
        <f>""</f>
        <v/>
      </c>
      <c r="Y1580" s="1" t="str">
        <f>"1"</f>
        <v>1</v>
      </c>
      <c r="Z1580" t="str">
        <f>""</f>
        <v/>
      </c>
      <c r="AA1580" t="str">
        <f>"9512713548"</f>
        <v>9512713548</v>
      </c>
      <c r="AB1580" t="str">
        <f>"9022626000"</f>
        <v>9022626000</v>
      </c>
      <c r="AC1580" t="str">
        <f>"9512713548"</f>
        <v>9512713548</v>
      </c>
      <c r="AD1580" t="str">
        <f>"9022626000"</f>
        <v>9022626000</v>
      </c>
      <c r="AE1580" t="str">
        <f>""</f>
        <v/>
      </c>
    </row>
    <row r="1581" spans="1:31" x14ac:dyDescent="0.45">
      <c r="A1581" t="str">
        <f>"КИРПИЧНИКОВ МИХАИЛ ЮРЬЕВИЧ"</f>
        <v>КИРПИЧНИКОВ МИХАИЛ ЮРЬЕВИЧ</v>
      </c>
      <c r="B1581" t="str">
        <f>"1969-05-27"</f>
        <v>1969-05-27</v>
      </c>
      <c r="C1581" t="str">
        <f>"75 14 480191"</f>
        <v>75 14 480191</v>
      </c>
      <c r="D1581" t="str">
        <f>"4279011630414129"</f>
        <v>4279011630414129</v>
      </c>
      <c r="E1581" t="str">
        <f t="shared" si="273"/>
        <v>2021-05-31</v>
      </c>
      <c r="F1581" t="str">
        <f t="shared" si="272"/>
        <v>+</v>
      </c>
      <c r="G1581" t="str">
        <f>"+"</f>
        <v>+</v>
      </c>
      <c r="H1581" t="str">
        <f>"40817810716991391402"</f>
        <v>40817810716991391402</v>
      </c>
      <c r="I1581" t="str">
        <f>"8597"</f>
        <v>8597</v>
      </c>
      <c r="J1581" t="str">
        <f>"0364"</f>
        <v>0364</v>
      </c>
      <c r="K1581" t="str">
        <f>"69000.00"</f>
        <v>69000.00</v>
      </c>
      <c r="L1581" t="str">
        <f>"455000 ОБЛ ЧЕЛЯБИНСКАЯ   Г МАГНИТОГОРСК   УЛ ЛАЗНИКА д. 30"</f>
        <v>455000 ОБЛ ЧЕЛЯБИНСКАЯ   Г МАГНИТОГОРСК   УЛ ЛАЗНИКА д. 30</v>
      </c>
      <c r="M1581" t="str">
        <f t="shared" si="261"/>
        <v>2019-08-24</v>
      </c>
      <c r="N1581" t="str">
        <f>"ООО СИТНО"</f>
        <v>ООО СИТНО</v>
      </c>
      <c r="O1581" t="str">
        <f>"455000"</f>
        <v>455000</v>
      </c>
      <c r="P1581" t="str">
        <f>"ОБЛ ЧЕЛЯБИНСКАЯ"</f>
        <v>ОБЛ ЧЕЛЯБИНСКАЯ</v>
      </c>
      <c r="Q1581" t="str">
        <f>""</f>
        <v/>
      </c>
      <c r="R1581" t="str">
        <f>"Г МАГНИТОГОРСК"</f>
        <v>Г МАГНИТОГОРСК</v>
      </c>
      <c r="S1581" t="str">
        <f>""</f>
        <v/>
      </c>
      <c r="T1581" t="str">
        <f>"УЛ ДОМЕНЩИКОВ"</f>
        <v>УЛ ДОМЕНЩИКОВ</v>
      </c>
      <c r="U1581" s="1" t="str">
        <f>"19"</f>
        <v>19</v>
      </c>
      <c r="V1581" s="1" t="str">
        <f>""</f>
        <v/>
      </c>
      <c r="W1581" s="1" t="str">
        <f>""</f>
        <v/>
      </c>
      <c r="X1581" s="1" t="str">
        <f>""</f>
        <v/>
      </c>
      <c r="Y1581" s="1" t="str">
        <f>"93"</f>
        <v>93</v>
      </c>
      <c r="Z1581" t="str">
        <f>"3519499454"</f>
        <v>3519499454</v>
      </c>
      <c r="AA1581" t="str">
        <f>"9227369226"</f>
        <v>9227369226</v>
      </c>
      <c r="AB1581" t="str">
        <f>"9227369226"</f>
        <v>9227369226</v>
      </c>
      <c r="AC1581" t="str">
        <f>"9227369226"</f>
        <v>9227369226</v>
      </c>
      <c r="AD1581" t="str">
        <f>"9227369226"</f>
        <v>9227369226</v>
      </c>
      <c r="AE1581" t="str">
        <f>"3519499454"</f>
        <v>3519499454</v>
      </c>
    </row>
    <row r="1582" spans="1:31" x14ac:dyDescent="0.45">
      <c r="A1582" t="str">
        <f>"КАГРАМАНОВА АЛЕКСАНДРА АНДРЕЕВНА"</f>
        <v>КАГРАМАНОВА АЛЕКСАНДРА АНДРЕЕВНА</v>
      </c>
      <c r="B1582" t="str">
        <f>"1992-03-03"</f>
        <v>1992-03-03</v>
      </c>
      <c r="C1582" t="str">
        <f>"65 14 859646"</f>
        <v>65 14 859646</v>
      </c>
      <c r="D1582" t="str">
        <f>"4279011635692513"</f>
        <v>4279011635692513</v>
      </c>
      <c r="E1582" t="str">
        <f t="shared" si="273"/>
        <v>2021-05-31</v>
      </c>
      <c r="F1582" t="str">
        <f t="shared" si="272"/>
        <v>+</v>
      </c>
      <c r="G1582" t="str">
        <f>"+"</f>
        <v>+</v>
      </c>
      <c r="H1582" t="str">
        <f>"40817810016991391403"</f>
        <v>40817810016991391403</v>
      </c>
      <c r="I1582" t="str">
        <f>"7003"</f>
        <v>7003</v>
      </c>
      <c r="J1582" t="str">
        <f>"0875"</f>
        <v>0875</v>
      </c>
      <c r="K1582" t="str">
        <f>"140000.00"</f>
        <v>140000.00</v>
      </c>
      <c r="L1582" t="str">
        <f>"620000 ОБЛ СВЕРДЛОВСКАЯ   Г ЕКАТЕРИНБУРГ   УЛ ТИТОВА д. 27 офис 3 кв. 210"</f>
        <v>620000 ОБЛ СВЕРДЛОВСКАЯ   Г ЕКАТЕРИНБУРГ   УЛ ТИТОВА д. 27 офис 3 кв. 210</v>
      </c>
      <c r="M1582" t="str">
        <f t="shared" si="261"/>
        <v>2019-08-24</v>
      </c>
      <c r="N1582" t="str">
        <f>"ООО СТРОЙ ГАЛС"</f>
        <v>ООО СТРОЙ ГАЛС</v>
      </c>
      <c r="O1582" t="str">
        <f>"620000"</f>
        <v>620000</v>
      </c>
      <c r="P1582" t="str">
        <f>"ОБЛ СВЕРДЛОВСКАЯ"</f>
        <v>ОБЛ СВЕРДЛОВСКАЯ</v>
      </c>
      <c r="Q1582" t="str">
        <f>""</f>
        <v/>
      </c>
      <c r="R1582" t="str">
        <f>"Г ЕКАТЕРИНБУРГ"</f>
        <v>Г ЕКАТЕРИНБУРГ</v>
      </c>
      <c r="S1582" t="str">
        <f>""</f>
        <v/>
      </c>
      <c r="T1582" t="str">
        <f>"УЛ ОКТЯБРЬСКАЯ"</f>
        <v>УЛ ОКТЯБРЬСКАЯ</v>
      </c>
      <c r="U1582" s="1" t="str">
        <f>"45"</f>
        <v>45</v>
      </c>
      <c r="V1582" s="1" t="str">
        <f>""</f>
        <v/>
      </c>
      <c r="W1582" s="1" t="str">
        <f>""</f>
        <v/>
      </c>
      <c r="X1582" s="1" t="str">
        <f>""</f>
        <v/>
      </c>
      <c r="Y1582" s="1" t="str">
        <f>"57"</f>
        <v>57</v>
      </c>
      <c r="Z1582" t="str">
        <f>"34380 27879"</f>
        <v>34380 27879</v>
      </c>
      <c r="AA1582" t="str">
        <f>"9326077007"</f>
        <v>9326077007</v>
      </c>
      <c r="AB1582" t="str">
        <f>"9326077007"</f>
        <v>9326077007</v>
      </c>
      <c r="AC1582" t="str">
        <f>"9326077007"</f>
        <v>9326077007</v>
      </c>
      <c r="AD1582" t="str">
        <f>"9326077007"</f>
        <v>9326077007</v>
      </c>
      <c r="AE1582" t="str">
        <f>""</f>
        <v/>
      </c>
    </row>
    <row r="1583" spans="1:31" x14ac:dyDescent="0.45">
      <c r="A1583" t="str">
        <f>"ГИЛЕВА АЛЛА АЛЕКСАНДРОВНА"</f>
        <v>ГИЛЕВА АЛЛА АЛЕКСАНДРОВНА</v>
      </c>
      <c r="B1583" t="str">
        <f>"1978-12-21"</f>
        <v>1978-12-21</v>
      </c>
      <c r="C1583" t="str">
        <f>"80 03 760782"</f>
        <v>80 03 760782</v>
      </c>
      <c r="D1583" t="str">
        <f>"4279011602479340"</f>
        <v>4279011602479340</v>
      </c>
      <c r="E1583" t="str">
        <f t="shared" si="273"/>
        <v>2021-05-31</v>
      </c>
      <c r="F1583" t="str">
        <f t="shared" si="272"/>
        <v>+</v>
      </c>
      <c r="G1583" t="str">
        <f>"+"</f>
        <v>+</v>
      </c>
      <c r="H1583" t="str">
        <f>"40817810116991391507"</f>
        <v>40817810116991391507</v>
      </c>
      <c r="I1583" t="str">
        <f>"8598"</f>
        <v>8598</v>
      </c>
      <c r="J1583" t="str">
        <f>"0193"</f>
        <v>0193</v>
      </c>
      <c r="K1583" t="str">
        <f>"270000.00"</f>
        <v>270000.00</v>
      </c>
      <c r="L1583" t="str">
        <f>"450000 РЕСП БАШКОРТОСТАН   Г УФА   УЛ 8 МАРТА д. 12 корп. 2"</f>
        <v>450000 РЕСП БАШКОРТОСТАН   Г УФА   УЛ 8 МАРТА д. 12 корп. 2</v>
      </c>
      <c r="M1583" t="str">
        <f t="shared" si="261"/>
        <v>2019-08-24</v>
      </c>
      <c r="N1583" t="str">
        <f>"ООО СОФТПОРТАЛ-ПРОЕКТ"</f>
        <v>ООО СОФТПОРТАЛ-ПРОЕКТ</v>
      </c>
      <c r="O1583" t="str">
        <f>"450000"</f>
        <v>450000</v>
      </c>
      <c r="P1583" t="str">
        <f>"РЕСП БАШКОРТОСТАН"</f>
        <v>РЕСП БАШКОРТОСТАН</v>
      </c>
      <c r="Q1583" t="str">
        <f>""</f>
        <v/>
      </c>
      <c r="R1583" t="str">
        <f>"Г УФА"</f>
        <v>Г УФА</v>
      </c>
      <c r="S1583" t="str">
        <f>""</f>
        <v/>
      </c>
      <c r="T1583" t="str">
        <f>"УЛ ПР ОКТЯБРЯ"</f>
        <v>УЛ ПР ОКТЯБРЯ</v>
      </c>
      <c r="U1583" s="1" t="str">
        <f>"52"</f>
        <v>52</v>
      </c>
      <c r="V1583" s="1" t="str">
        <f>""</f>
        <v/>
      </c>
      <c r="W1583" s="1" t="str">
        <f>""</f>
        <v/>
      </c>
      <c r="X1583" s="1" t="str">
        <f>""</f>
        <v/>
      </c>
      <c r="Y1583" s="1" t="str">
        <f>"119"</f>
        <v>119</v>
      </c>
      <c r="Z1583" t="str">
        <f>""</f>
        <v/>
      </c>
      <c r="AA1583" t="str">
        <f>"9174112897"</f>
        <v>9174112897</v>
      </c>
      <c r="AB1583" t="str">
        <f>"9174112897"</f>
        <v>9174112897</v>
      </c>
      <c r="AC1583" t="str">
        <f>"9174112897"</f>
        <v>9174112897</v>
      </c>
      <c r="AD1583" t="str">
        <f>"9174112897"</f>
        <v>9174112897</v>
      </c>
      <c r="AE1583" t="str">
        <f>""</f>
        <v/>
      </c>
    </row>
    <row r="1584" spans="1:31" x14ac:dyDescent="0.45">
      <c r="A1584" t="str">
        <f>"ЕГОРОВА ЛАРИСА АЛЕКСАНДРОВНА"</f>
        <v>ЕГОРОВА ЛАРИСА АЛЕКСАНДРОВНА</v>
      </c>
      <c r="B1584" t="str">
        <f>"1975-12-03"</f>
        <v>1975-12-03</v>
      </c>
      <c r="C1584" t="str">
        <f>"67 09 943632"</f>
        <v>67 09 943632</v>
      </c>
      <c r="D1584" t="str">
        <f>"4279011646090541"</f>
        <v>4279011646090541</v>
      </c>
      <c r="E1584" t="str">
        <f t="shared" si="273"/>
        <v>2021-05-31</v>
      </c>
      <c r="F1584" t="str">
        <f t="shared" si="272"/>
        <v>+</v>
      </c>
      <c r="G1584" t="str">
        <f>"W"</f>
        <v>W</v>
      </c>
      <c r="H1584" t="str">
        <f>"40817810016991391500"</f>
        <v>40817810016991391500</v>
      </c>
      <c r="I1584" t="str">
        <f>"7003"</f>
        <v>7003</v>
      </c>
      <c r="J1584" t="str">
        <f>"0551"</f>
        <v>0551</v>
      </c>
      <c r="K1584" t="str">
        <f>"21000.00"</f>
        <v>21000.00</v>
      </c>
      <c r="L1584" t="str">
        <f>"620000 ОБЛ СВЕРДЛОВСКАЯ Р-Н НОВОЛЯЛИНСКИЙ   П ЛОБВА УЛ НОВАЯ д. 2"</f>
        <v>620000 ОБЛ СВЕРДЛОВСКАЯ Р-Н НОВОЛЯЛИНСКИЙ   П ЛОБВА УЛ НОВАЯ д. 2</v>
      </c>
      <c r="M1584" t="str">
        <f t="shared" si="261"/>
        <v>2019-08-24</v>
      </c>
      <c r="N1584" t="str">
        <f>"МОНЕТКА"</f>
        <v>МОНЕТКА</v>
      </c>
      <c r="O1584" t="str">
        <f>"620000"</f>
        <v>620000</v>
      </c>
      <c r="P1584" t="str">
        <f>"ОБЛ СВЕРДЛОВСКАЯ"</f>
        <v>ОБЛ СВЕРДЛОВСКАЯ</v>
      </c>
      <c r="Q1584" t="str">
        <f>"П НОВОЛЯЛИНСКИЙ"</f>
        <v>П НОВОЛЯЛИНСКИЙ</v>
      </c>
      <c r="R1584" t="str">
        <f>""</f>
        <v/>
      </c>
      <c r="S1584" t="str">
        <f>"П ЛОБВА"</f>
        <v>П ЛОБВА</v>
      </c>
      <c r="T1584" t="str">
        <f>"УЛ КУЗНЕЦОВА"</f>
        <v>УЛ КУЗНЕЦОВА</v>
      </c>
      <c r="U1584" s="1" t="str">
        <f>"16"</f>
        <v>16</v>
      </c>
      <c r="V1584" s="1" t="str">
        <f>""</f>
        <v/>
      </c>
      <c r="W1584" s="1" t="str">
        <f>""</f>
        <v/>
      </c>
      <c r="X1584" s="1" t="str">
        <f>""</f>
        <v/>
      </c>
      <c r="Y1584" s="1" t="str">
        <f>"19"</f>
        <v>19</v>
      </c>
      <c r="Z1584" t="str">
        <f>""</f>
        <v/>
      </c>
      <c r="AA1584" t="str">
        <f>"9227868907"</f>
        <v>9227868907</v>
      </c>
      <c r="AB1584" t="str">
        <f>"9043869903"</f>
        <v>9043869903</v>
      </c>
      <c r="AC1584" t="str">
        <f>"9043869903"</f>
        <v>9043869903</v>
      </c>
      <c r="AD1584" t="str">
        <f>"9043869903"</f>
        <v>9043869903</v>
      </c>
      <c r="AE1584" t="str">
        <f>""</f>
        <v/>
      </c>
    </row>
    <row r="1585" spans="1:31" x14ac:dyDescent="0.45">
      <c r="A1585" t="str">
        <f>"НИКИФОРОВ АНТОН ВАЛЕРЬЕВИЧ"</f>
        <v>НИКИФОРОВ АНТОН ВАЛЕРЬЕВИЧ</v>
      </c>
      <c r="B1585" t="str">
        <f>"1988-06-12"</f>
        <v>1988-06-12</v>
      </c>
      <c r="C1585" t="str">
        <f>"65 07 305296"</f>
        <v>65 07 305296</v>
      </c>
      <c r="D1585" t="str">
        <f>"4279011689701749"</f>
        <v>4279011689701749</v>
      </c>
      <c r="E1585" t="str">
        <f t="shared" si="273"/>
        <v>2021-05-31</v>
      </c>
      <c r="F1585" t="str">
        <f t="shared" si="272"/>
        <v>+</v>
      </c>
      <c r="G1585" t="str">
        <f>"+"</f>
        <v>+</v>
      </c>
      <c r="H1585" t="str">
        <f>"40817810816991391506"</f>
        <v>40817810816991391506</v>
      </c>
      <c r="I1585" t="str">
        <f>"7003"</f>
        <v>7003</v>
      </c>
      <c r="J1585" t="str">
        <f>"0783"</f>
        <v>0783</v>
      </c>
      <c r="K1585" t="str">
        <f>"200000.00"</f>
        <v>200000.00</v>
      </c>
      <c r="L1585" t="str">
        <f>"620000 ОБЛ СВЕРДЛОВСКАЯ Р-Н ТАБОРИНСКИЙ   С ТАБОРЫ УЛ СОВЕТСКАЯ д. 23"</f>
        <v>620000 ОБЛ СВЕРДЛОВСКАЯ Р-Н ТАБОРИНСКИЙ   С ТАБОРЫ УЛ СОВЕТСКАЯ д. 23</v>
      </c>
      <c r="M1585" t="str">
        <f t="shared" si="261"/>
        <v>2019-08-24</v>
      </c>
      <c r="N1585" t="str">
        <f>"МФЦ"</f>
        <v>МФЦ</v>
      </c>
      <c r="O1585" t="str">
        <f>"620000"</f>
        <v>620000</v>
      </c>
      <c r="P1585" t="str">
        <f>"ОБЛ СВЕРДЛОВСКАЯ"</f>
        <v>ОБЛ СВЕРДЛОВСКАЯ</v>
      </c>
      <c r="Q1585" t="str">
        <f>"Р-Н ТАБОРИНСКИЙ"</f>
        <v>Р-Н ТАБОРИНСКИЙ</v>
      </c>
      <c r="R1585" t="str">
        <f>""</f>
        <v/>
      </c>
      <c r="S1585" t="str">
        <f>"С ТАБОРЫ"</f>
        <v>С ТАБОРЫ</v>
      </c>
      <c r="T1585" t="str">
        <f>"УЛ ОКТЯБРЬСКАЯ"</f>
        <v>УЛ ОКТЯБРЬСКАЯ</v>
      </c>
      <c r="U1585" s="1" t="str">
        <f>"44"</f>
        <v>44</v>
      </c>
      <c r="V1585" s="1" t="str">
        <f>"А"</f>
        <v>А</v>
      </c>
      <c r="W1585" s="1" t="str">
        <f>""</f>
        <v/>
      </c>
      <c r="X1585" s="1" t="str">
        <f>""</f>
        <v/>
      </c>
      <c r="Y1585" s="1" t="str">
        <f>""</f>
        <v/>
      </c>
      <c r="Z1585" t="str">
        <f>""</f>
        <v/>
      </c>
      <c r="AA1585" t="str">
        <f>"9503639798"</f>
        <v>9503639798</v>
      </c>
      <c r="AB1585" t="str">
        <f>"9028760631"</f>
        <v>9028760631</v>
      </c>
      <c r="AC1585" t="str">
        <f>"9503639798"</f>
        <v>9503639798</v>
      </c>
      <c r="AD1585" t="str">
        <f>"9028760631"</f>
        <v>9028760631</v>
      </c>
      <c r="AE1585" t="str">
        <f>""</f>
        <v/>
      </c>
    </row>
    <row r="1586" spans="1:31" x14ac:dyDescent="0.45">
      <c r="A1586" t="str">
        <f>"КУРЧЕНКОВА КРИСТИНА СЕРГЕЕВНА"</f>
        <v>КУРЧЕНКОВА КРИСТИНА СЕРГЕЕВНА</v>
      </c>
      <c r="B1586" t="str">
        <f>"1996-05-20"</f>
        <v>1996-05-20</v>
      </c>
      <c r="C1586" t="str">
        <f>"75 18 185489"</f>
        <v>75 18 185489</v>
      </c>
      <c r="D1586" t="str">
        <f>"4279011657303692"</f>
        <v>4279011657303692</v>
      </c>
      <c r="E1586" t="str">
        <f t="shared" si="273"/>
        <v>2021-05-31</v>
      </c>
      <c r="F1586" t="str">
        <f>"J"</f>
        <v>J</v>
      </c>
      <c r="G1586" t="str">
        <f>"W"</f>
        <v>W</v>
      </c>
      <c r="H1586" t="str">
        <f>"40817810416991391511"</f>
        <v>40817810416991391511</v>
      </c>
      <c r="I1586" t="str">
        <f>"8597"</f>
        <v>8597</v>
      </c>
      <c r="J1586" t="str">
        <f>"0241"</f>
        <v>0241</v>
      </c>
      <c r="K1586" t="str">
        <f>"50000.00"</f>
        <v>50000.00</v>
      </c>
      <c r="L1586" t="str">
        <f>"454000 ОБЛ ЧЕЛЯБИНСКАЯ   Г ЧЕЛЯБИНСК   ПР-КТ ЛЕНИНА д. 22"</f>
        <v>454000 ОБЛ ЧЕЛЯБИНСКАЯ   Г ЧЕЛЯБИНСК   ПР-КТ ЛЕНИНА д. 22</v>
      </c>
      <c r="M1586" t="str">
        <f t="shared" si="261"/>
        <v>2019-08-24</v>
      </c>
      <c r="N1586" t="str">
        <f>"ООО БАШНЕФТЬ"</f>
        <v>ООО БАШНЕФТЬ</v>
      </c>
      <c r="O1586" t="str">
        <f>"454000"</f>
        <v>454000</v>
      </c>
      <c r="P1586" t="str">
        <f>"ОБЛ ЧЕЛЯБИНСКАЯ"</f>
        <v>ОБЛ ЧЕЛЯБИНСКАЯ</v>
      </c>
      <c r="Q1586" t="str">
        <f>""</f>
        <v/>
      </c>
      <c r="R1586" t="str">
        <f>"Г ЧЕЛЯБИНСК"</f>
        <v>Г ЧЕЛЯБИНСК</v>
      </c>
      <c r="S1586" t="str">
        <f>""</f>
        <v/>
      </c>
      <c r="T1586" t="str">
        <f>"УЛ КОМАРОВА"</f>
        <v>УЛ КОМАРОВА</v>
      </c>
      <c r="U1586" s="1" t="str">
        <f>"112А"</f>
        <v>112А</v>
      </c>
      <c r="V1586" s="1" t="str">
        <f>""</f>
        <v/>
      </c>
      <c r="W1586" s="1" t="str">
        <f>""</f>
        <v/>
      </c>
      <c r="X1586" s="1" t="str">
        <f>""</f>
        <v/>
      </c>
      <c r="Y1586" s="1" t="str">
        <f>"29"</f>
        <v>29</v>
      </c>
      <c r="Z1586" t="str">
        <f>""</f>
        <v/>
      </c>
      <c r="AA1586" t="str">
        <f>"9000823159"</f>
        <v>9000823159</v>
      </c>
      <c r="AB1586" t="str">
        <f>"9193125416"</f>
        <v>9193125416</v>
      </c>
      <c r="AC1586" t="str">
        <f>"9000823159"</f>
        <v>9000823159</v>
      </c>
      <c r="AD1586" t="str">
        <f>"9525001693"</f>
        <v>9525001693</v>
      </c>
      <c r="AE1586" t="str">
        <f>""</f>
        <v/>
      </c>
    </row>
    <row r="1587" spans="1:31" x14ac:dyDescent="0.45">
      <c r="A1587" t="str">
        <f>"КОЛОСКОВ ДМИТРИЙ СЕРГЕЕВИЧ"</f>
        <v>КОЛОСКОВ ДМИТРИЙ СЕРГЕЕВИЧ</v>
      </c>
      <c r="B1587" t="str">
        <f>"1982-12-02"</f>
        <v>1982-12-02</v>
      </c>
      <c r="C1587" t="str">
        <f>"75 04 533788"</f>
        <v>75 04 533788</v>
      </c>
      <c r="D1587" t="str">
        <f>"4279011635952131"</f>
        <v>4279011635952131</v>
      </c>
      <c r="E1587" t="str">
        <f t="shared" si="273"/>
        <v>2021-05-31</v>
      </c>
      <c r="F1587" t="str">
        <f>"+"</f>
        <v>+</v>
      </c>
      <c r="G1587" t="str">
        <f>"+"</f>
        <v>+</v>
      </c>
      <c r="H1587" t="str">
        <f>"40817810816991391519"</f>
        <v>40817810816991391519</v>
      </c>
      <c r="I1587" t="str">
        <f>"8597"</f>
        <v>8597</v>
      </c>
      <c r="J1587" t="str">
        <f>"0280"</f>
        <v>0280</v>
      </c>
      <c r="K1587" t="str">
        <f>"140000.00"</f>
        <v>140000.00</v>
      </c>
      <c r="L1587" t="str">
        <f>"454000 ОБЛ ЧЕЛЯБИНСКАЯ   Г ЧЕЛЯБИНСК   УЛ МАШИНОСТРОИТЕЛЕЙ д. 21"</f>
        <v>454000 ОБЛ ЧЕЛЯБИНСКАЯ   Г ЧЕЛЯБИНСК   УЛ МАШИНОСТРОИТЕЛЕЙ д. 21</v>
      </c>
      <c r="M1587" t="str">
        <f t="shared" si="261"/>
        <v>2019-08-24</v>
      </c>
      <c r="N1587" t="str">
        <f>"ПАО ЧТПЗ"</f>
        <v>ПАО ЧТПЗ</v>
      </c>
      <c r="O1587" t="str">
        <f>"454000"</f>
        <v>454000</v>
      </c>
      <c r="P1587" t="str">
        <f>"ОБЛ ЧЕЛЯБИНСКАЯ"</f>
        <v>ОБЛ ЧЕЛЯБИНСКАЯ</v>
      </c>
      <c r="Q1587" t="str">
        <f>""</f>
        <v/>
      </c>
      <c r="R1587" t="str">
        <f>"Г ЧЕЛЯБИНСК"</f>
        <v>Г ЧЕЛЯБИНСК</v>
      </c>
      <c r="S1587" t="str">
        <f>""</f>
        <v/>
      </c>
      <c r="T1587" t="str">
        <f>"УЛ АГАЛАКОВА"</f>
        <v>УЛ АГАЛАКОВА</v>
      </c>
      <c r="U1587" s="1" t="str">
        <f>"66А"</f>
        <v>66А</v>
      </c>
      <c r="V1587" s="1" t="str">
        <f>""</f>
        <v/>
      </c>
      <c r="W1587" s="1" t="str">
        <f>""</f>
        <v/>
      </c>
      <c r="X1587" s="1" t="str">
        <f>""</f>
        <v/>
      </c>
      <c r="Y1587" s="1" t="str">
        <f>"253"</f>
        <v>253</v>
      </c>
      <c r="Z1587" t="str">
        <f>"3512557145"</f>
        <v>3512557145</v>
      </c>
      <c r="AA1587" t="str">
        <f>"9191296568"</f>
        <v>9191296568</v>
      </c>
      <c r="AB1587" t="str">
        <f>"9191296568"</f>
        <v>9191296568</v>
      </c>
      <c r="AC1587" t="str">
        <f>"3512557145"</f>
        <v>3512557145</v>
      </c>
      <c r="AD1587" t="str">
        <f>"9191296568"</f>
        <v>9191296568</v>
      </c>
      <c r="AE1587" t="str">
        <f>"3512557145"</f>
        <v>3512557145</v>
      </c>
    </row>
    <row r="1588" spans="1:31" x14ac:dyDescent="0.45">
      <c r="A1588" t="str">
        <f>"НАКАЛЮЖНЫЙ ВЛАДИМИР ОЛЕГОВИЧ"</f>
        <v>НАКАЛЮЖНЫЙ ВЛАДИМИР ОЛЕГОВИЧ</v>
      </c>
      <c r="B1588" t="str">
        <f>"1988-11-14"</f>
        <v>1988-11-14</v>
      </c>
      <c r="C1588" t="str">
        <f>"75 09 613024"</f>
        <v>75 09 613024</v>
      </c>
      <c r="D1588" t="str">
        <f>"4279011654156440"</f>
        <v>4279011654156440</v>
      </c>
      <c r="E1588" t="str">
        <f t="shared" si="273"/>
        <v>2021-05-31</v>
      </c>
      <c r="F1588" t="str">
        <f>"Y"</f>
        <v>Y</v>
      </c>
      <c r="G1588" t="str">
        <f>"+"</f>
        <v>+</v>
      </c>
      <c r="H1588" t="str">
        <f>"40817810616991391515"</f>
        <v>40817810616991391515</v>
      </c>
      <c r="I1588" t="str">
        <f>"8597"</f>
        <v>8597</v>
      </c>
      <c r="J1588" t="str">
        <f>"0280"</f>
        <v>0280</v>
      </c>
      <c r="K1588" t="str">
        <f>"20000.00"</f>
        <v>20000.00</v>
      </c>
      <c r="L1588" t="str">
        <f>"454000 ОБЛ ЧЕЛЯБИНСКАЯ   Г ЧЕЛЯБИНСК   УЛ МАШИНОСТРОИТЕЛЕЙ д. 21 офис 1"</f>
        <v>454000 ОБЛ ЧЕЛЯБИНСКАЯ   Г ЧЕЛЯБИНСК   УЛ МАШИНОСТРОИТЕЛЕЙ д. 21 офис 1</v>
      </c>
      <c r="M1588" t="str">
        <f t="shared" si="261"/>
        <v>2019-08-24</v>
      </c>
      <c r="N1588" t="str">
        <f>"ПАО ЧТПЗ"</f>
        <v>ПАО ЧТПЗ</v>
      </c>
      <c r="O1588" t="str">
        <f>"454000"</f>
        <v>454000</v>
      </c>
      <c r="P1588" t="str">
        <f>"ОБЛ ЧЕЛЯБИНСКАЯ"</f>
        <v>ОБЛ ЧЕЛЯБИНСКАЯ</v>
      </c>
      <c r="Q1588" t="str">
        <f>""</f>
        <v/>
      </c>
      <c r="R1588" t="str">
        <f>"Г ЧЕЛЯБИНСК"</f>
        <v>Г ЧЕЛЯБИНСК</v>
      </c>
      <c r="S1588" t="str">
        <f>""</f>
        <v/>
      </c>
      <c r="T1588" t="str">
        <f>"УЛ МНОГОСТАНОЧНИКОВ"</f>
        <v>УЛ МНОГОСТАНОЧНИКОВ</v>
      </c>
      <c r="U1588" s="1" t="str">
        <f>"4"</f>
        <v>4</v>
      </c>
      <c r="V1588" s="1" t="str">
        <f>""</f>
        <v/>
      </c>
      <c r="W1588" s="1" t="str">
        <f>""</f>
        <v/>
      </c>
      <c r="X1588" s="1" t="str">
        <f>""</f>
        <v/>
      </c>
      <c r="Y1588" s="1" t="str">
        <f>"5"</f>
        <v>5</v>
      </c>
      <c r="Z1588" t="str">
        <f>"9525105651"</f>
        <v>9525105651</v>
      </c>
      <c r="AA1588" t="str">
        <f>"9525153352"</f>
        <v>9525153352</v>
      </c>
      <c r="AB1588" t="str">
        <f>"9525105651"</f>
        <v>9525105651</v>
      </c>
      <c r="AC1588" t="str">
        <f>"9525153352"</f>
        <v>9525153352</v>
      </c>
      <c r="AD1588" t="str">
        <f>"9525105651"</f>
        <v>9525105651</v>
      </c>
      <c r="AE1588" t="str">
        <f>""</f>
        <v/>
      </c>
    </row>
    <row r="1589" spans="1:31" x14ac:dyDescent="0.45">
      <c r="A1589" t="str">
        <f>"ЖУЙКОВА НАТАЛЬЯ НИКОЛАЕВНА"</f>
        <v>ЖУЙКОВА НАТАЛЬЯ НИКОЛАЕВНА</v>
      </c>
      <c r="B1589" t="str">
        <f>"1981-10-30"</f>
        <v>1981-10-30</v>
      </c>
      <c r="C1589" t="str">
        <f>"65 03 704156"</f>
        <v>65 03 704156</v>
      </c>
      <c r="D1589" t="str">
        <f>"4279011628601240"</f>
        <v>4279011628601240</v>
      </c>
      <c r="E1589" t="str">
        <f t="shared" si="273"/>
        <v>2021-05-31</v>
      </c>
      <c r="F1589" t="str">
        <f>"+"</f>
        <v>+</v>
      </c>
      <c r="G1589" t="str">
        <f>"+"</f>
        <v>+</v>
      </c>
      <c r="H1589" t="str">
        <f>"40817810116991391510"</f>
        <v>40817810116991391510</v>
      </c>
      <c r="I1589" t="str">
        <f>"7003"</f>
        <v>7003</v>
      </c>
      <c r="J1589" t="str">
        <f>"0892"</f>
        <v>0892</v>
      </c>
      <c r="K1589" t="str">
        <f>"200000.00"</f>
        <v>200000.00</v>
      </c>
      <c r="L1589" t="str">
        <f>"620000 ОБЛ СВЕРДЛОВСКАЯ   Г ЕКАТЕРИНБУРГ   УЛ ИНДУСТРИИ д. 104"</f>
        <v>620000 ОБЛ СВЕРДЛОВСКАЯ   Г ЕКАТЕРИНБУРГ   УЛ ИНДУСТРИИ д. 104</v>
      </c>
      <c r="M1589" t="str">
        <f t="shared" si="261"/>
        <v>2019-08-24</v>
      </c>
      <c r="N1589" t="str">
        <f>"ООО САТЕЛЛИТ"</f>
        <v>ООО САТЕЛЛИТ</v>
      </c>
      <c r="O1589" t="str">
        <f>"620000"</f>
        <v>620000</v>
      </c>
      <c r="P1589" t="str">
        <f>"ОБЛ СВЕРДЛОВСКАЯ"</f>
        <v>ОБЛ СВЕРДЛОВСКАЯ</v>
      </c>
      <c r="Q1589" t="str">
        <f>""</f>
        <v/>
      </c>
      <c r="R1589" t="str">
        <f>"Г КУШВА"</f>
        <v>Г КУШВА</v>
      </c>
      <c r="S1589" t="str">
        <f>""</f>
        <v/>
      </c>
      <c r="T1589" t="str">
        <f>"УЛ ГОРНЯКОВ"</f>
        <v>УЛ ГОРНЯКОВ</v>
      </c>
      <c r="U1589" s="1" t="str">
        <f>"2А"</f>
        <v>2А</v>
      </c>
      <c r="V1589" s="1" t="str">
        <f>""</f>
        <v/>
      </c>
      <c r="W1589" s="1" t="str">
        <f>""</f>
        <v/>
      </c>
      <c r="X1589" s="1" t="str">
        <f>""</f>
        <v/>
      </c>
      <c r="Y1589" s="1" t="str">
        <f>"7"</f>
        <v>7</v>
      </c>
      <c r="Z1589" t="str">
        <f>""</f>
        <v/>
      </c>
      <c r="AA1589" t="str">
        <f>"9097015721"</f>
        <v>9097015721</v>
      </c>
      <c r="AB1589" t="str">
        <f>"9097015721"</f>
        <v>9097015721</v>
      </c>
      <c r="AC1589" t="str">
        <f>"9097015721"</f>
        <v>9097015721</v>
      </c>
      <c r="AD1589" t="str">
        <f>"9097015721"</f>
        <v>9097015721</v>
      </c>
      <c r="AE1589" t="str">
        <f>""</f>
        <v/>
      </c>
    </row>
    <row r="1590" spans="1:31" x14ac:dyDescent="0.45">
      <c r="A1590" t="str">
        <f>"ТУХВАТУЛЛИН РИНАТ РИМОВИЧ"</f>
        <v>ТУХВАТУЛЛИН РИНАТ РИМОВИЧ</v>
      </c>
      <c r="B1590" t="str">
        <f>"1994-04-20"</f>
        <v>1994-04-20</v>
      </c>
      <c r="C1590" t="str">
        <f>"80 15 088735"</f>
        <v>80 15 088735</v>
      </c>
      <c r="D1590" t="str">
        <f>"4279011684990040"</f>
        <v>4279011684990040</v>
      </c>
      <c r="E1590" t="str">
        <f t="shared" si="273"/>
        <v>2021-05-31</v>
      </c>
      <c r="F1590" t="str">
        <f>"+"</f>
        <v>+</v>
      </c>
      <c r="G1590" t="str">
        <f>"+"</f>
        <v>+</v>
      </c>
      <c r="H1590" t="str">
        <f>"40817810116991391523"</f>
        <v>40817810116991391523</v>
      </c>
      <c r="I1590" t="str">
        <f>"8598"</f>
        <v>8598</v>
      </c>
      <c r="J1590" t="str">
        <f>"0736"</f>
        <v>0736</v>
      </c>
      <c r="K1590" t="str">
        <f>"25000.00"</f>
        <v>25000.00</v>
      </c>
      <c r="L1590" t="str">
        <f>"000000       УЛ ПРЕОБРАЖЕНСКАЯ НАБЕРЕЖНАЯ д. 8"</f>
        <v>000000       УЛ ПРЕОБРАЖЕНСКАЯ НАБЕРЕЖНАЯ д. 8</v>
      </c>
      <c r="M1590" t="str">
        <f t="shared" si="261"/>
        <v>2019-08-24</v>
      </c>
      <c r="N1590" t="s">
        <v>93</v>
      </c>
      <c r="O1590" t="str">
        <f>"450000"</f>
        <v>450000</v>
      </c>
      <c r="P1590" t="str">
        <f>"РЕСП БАШКОРТОСТАН"</f>
        <v>РЕСП БАШКОРТОСТАН</v>
      </c>
      <c r="Q1590" t="str">
        <f>""</f>
        <v/>
      </c>
      <c r="R1590" t="str">
        <f>"Г БАЙМАК"</f>
        <v>Г БАЙМАК</v>
      </c>
      <c r="S1590" t="str">
        <f>""</f>
        <v/>
      </c>
      <c r="T1590" t="str">
        <f>"УЛ М.ГУБАЙДУЛЛИНА"</f>
        <v>УЛ М.ГУБАЙДУЛЛИНА</v>
      </c>
      <c r="U1590" s="1" t="str">
        <f>"5"</f>
        <v>5</v>
      </c>
      <c r="V1590" s="1" t="str">
        <f>""</f>
        <v/>
      </c>
      <c r="W1590" s="1" t="str">
        <f>""</f>
        <v/>
      </c>
      <c r="X1590" s="1" t="str">
        <f>""</f>
        <v/>
      </c>
      <c r="Y1590" s="1" t="str">
        <f>"1"</f>
        <v>1</v>
      </c>
      <c r="Z1590" t="str">
        <f>""</f>
        <v/>
      </c>
      <c r="AA1590" t="str">
        <f>"937315225"</f>
        <v>937315225</v>
      </c>
      <c r="AB1590" t="str">
        <f>"9373152225"</f>
        <v>9373152225</v>
      </c>
      <c r="AC1590" t="str">
        <f>"9273099175"</f>
        <v>9273099175</v>
      </c>
      <c r="AD1590" t="str">
        <f>"9373152225"</f>
        <v>9373152225</v>
      </c>
      <c r="AE1590" t="str">
        <f>""</f>
        <v/>
      </c>
    </row>
    <row r="1591" spans="1:31" x14ac:dyDescent="0.45">
      <c r="A1591" t="str">
        <f>"ЗАПОРОЖЕЦ ЕКАТЕРИНА СЕРГЕЕВНА"</f>
        <v>ЗАПОРОЖЕЦ ЕКАТЕРИНА СЕРГЕЕВНА</v>
      </c>
      <c r="B1591" t="str">
        <f>"1988-12-02"</f>
        <v>1988-12-02</v>
      </c>
      <c r="C1591" t="str">
        <f>"75 15 771267"</f>
        <v>75 15 771267</v>
      </c>
      <c r="D1591" t="str">
        <f>"4279011656795641"</f>
        <v>4279011656795641</v>
      </c>
      <c r="E1591" t="str">
        <f t="shared" si="273"/>
        <v>2021-05-31</v>
      </c>
      <c r="F1591" t="str">
        <f>"K"</f>
        <v>K</v>
      </c>
      <c r="G1591" t="str">
        <f>"Q"</f>
        <v>Q</v>
      </c>
      <c r="H1591" t="str">
        <f>"40817810216991391504"</f>
        <v>40817810216991391504</v>
      </c>
      <c r="I1591" t="str">
        <f>"8597"</f>
        <v>8597</v>
      </c>
      <c r="J1591" t="str">
        <f>"0367"</f>
        <v>0367</v>
      </c>
      <c r="K1591" t="str">
        <f>"0.00"</f>
        <v>0.00</v>
      </c>
      <c r="L1591" t="str">
        <f>"454000 ОБЛ ЧЕЛЯБИНСКАЯ Р-Н ВЕРХНЕУРАЛЬСКИЙ Г ВЕРХНЕУРАЛЬСК   УЛ ЛЕНИНА д. 87Б"</f>
        <v>454000 ОБЛ ЧЕЛЯБИНСКАЯ Р-Н ВЕРХНЕУРАЛЬСКИЙ Г ВЕРХНЕУРАЛЬСК   УЛ ЛЕНИНА д. 87Б</v>
      </c>
      <c r="M1591" t="str">
        <f t="shared" si="261"/>
        <v>2019-08-24</v>
      </c>
      <c r="N1591" t="s">
        <v>94</v>
      </c>
      <c r="O1591" t="str">
        <f>"454000"</f>
        <v>454000</v>
      </c>
      <c r="P1591" t="str">
        <f>"ОБЛ ЧЕЛЯБИНСКАЯ"</f>
        <v>ОБЛ ЧЕЛЯБИНСКАЯ</v>
      </c>
      <c r="Q1591" t="str">
        <f>"Р-Н ВЕРХНЕУРАЛЬСКИЙ"</f>
        <v>Р-Н ВЕРХНЕУРАЛЬСКИЙ</v>
      </c>
      <c r="R1591" t="str">
        <f>"Г ВЕРХНЕУРАЛЬСК"</f>
        <v>Г ВЕРХНЕУРАЛЬСК</v>
      </c>
      <c r="S1591" t="str">
        <f>""</f>
        <v/>
      </c>
      <c r="T1591" t="str">
        <f>"УЛ МИРА"</f>
        <v>УЛ МИРА</v>
      </c>
      <c r="U1591" s="1" t="str">
        <f>"163"</f>
        <v>163</v>
      </c>
      <c r="V1591" s="1" t="str">
        <f>""</f>
        <v/>
      </c>
      <c r="W1591" s="1" t="str">
        <f>""</f>
        <v/>
      </c>
      <c r="X1591" s="1" t="str">
        <f>""</f>
        <v/>
      </c>
      <c r="Y1591" s="1" t="str">
        <f>"13"</f>
        <v>13</v>
      </c>
      <c r="Z1591" t="str">
        <f>""</f>
        <v/>
      </c>
      <c r="AA1591" t="str">
        <f>"9124732987"</f>
        <v>9124732987</v>
      </c>
      <c r="AB1591" t="str">
        <f>"9124732987"</f>
        <v>9124732987</v>
      </c>
      <c r="AC1591" t="str">
        <f>"9124732987"</f>
        <v>9124732987</v>
      </c>
      <c r="AD1591" t="str">
        <f>"9124732987"</f>
        <v>9124732987</v>
      </c>
      <c r="AE1591" t="str">
        <f>""</f>
        <v/>
      </c>
    </row>
    <row r="1592" spans="1:31" x14ac:dyDescent="0.45">
      <c r="A1592" t="str">
        <f>"ГАТИАТУЛЛИНА ВЕНЕРА РАДИКОВНА"</f>
        <v>ГАТИАТУЛЛИНА ВЕНЕРА РАДИКОВНА</v>
      </c>
      <c r="B1592" t="str">
        <f>"1972-01-05"</f>
        <v>1972-01-05</v>
      </c>
      <c r="C1592" t="str">
        <f>"65 17 414396"</f>
        <v>65 17 414396</v>
      </c>
      <c r="D1592" t="str">
        <f>"4854630214405865"</f>
        <v>4854630214405865</v>
      </c>
      <c r="E1592" t="str">
        <f>"2021-04-30"</f>
        <v>2021-04-30</v>
      </c>
      <c r="F1592" t="str">
        <f t="shared" ref="F1592:G1597" si="274">"+"</f>
        <v>+</v>
      </c>
      <c r="G1592" t="str">
        <f t="shared" si="274"/>
        <v>+</v>
      </c>
      <c r="H1592" t="str">
        <f>"40817810016991427966"</f>
        <v>40817810016991427966</v>
      </c>
      <c r="I1592" t="str">
        <f>"7003"</f>
        <v>7003</v>
      </c>
      <c r="J1592" t="str">
        <f>"0306"</f>
        <v>0306</v>
      </c>
      <c r="K1592" t="str">
        <f>"14000.00"</f>
        <v>14000.00</v>
      </c>
      <c r="L1592" t="str">
        <f>"620000 ОБЛ СВЕРДЛОВСКАЯ   Г ЕКАТЕРИНБУРГ   УЛ НАРОДНОГО ФРОНТА д. 21"</f>
        <v>620000 ОБЛ СВЕРДЛОВСКАЯ   Г ЕКАТЕРИНБУРГ   УЛ НАРОДНОГО ФРОНТА д. 21</v>
      </c>
      <c r="M1592" t="str">
        <f t="shared" si="261"/>
        <v>2019-08-24</v>
      </c>
      <c r="N1592" t="str">
        <f>"МАУ ДГБ 15"</f>
        <v>МАУ ДГБ 15</v>
      </c>
      <c r="O1592" t="str">
        <f>"620000"</f>
        <v>620000</v>
      </c>
      <c r="P1592" t="str">
        <f>"ОБЛ СВЕРДЛОВСКАЯ"</f>
        <v>ОБЛ СВЕРДЛОВСКАЯ</v>
      </c>
      <c r="Q1592" t="str">
        <f>""</f>
        <v/>
      </c>
      <c r="R1592" t="str">
        <f>"Г ЕКАТЕРИНБУРГ"</f>
        <v>Г ЕКАТЕРИНБУРГ</v>
      </c>
      <c r="S1592" t="str">
        <f>""</f>
        <v/>
      </c>
      <c r="T1592" t="str">
        <f>"УЛ ИНДУСТРИИ"</f>
        <v>УЛ ИНДУСТРИИ</v>
      </c>
      <c r="U1592" s="1" t="str">
        <f>"28"</f>
        <v>28</v>
      </c>
      <c r="V1592" s="1" t="str">
        <f>""</f>
        <v/>
      </c>
      <c r="W1592" s="1" t="str">
        <f>""</f>
        <v/>
      </c>
      <c r="X1592" s="1" t="str">
        <f>""</f>
        <v/>
      </c>
      <c r="Y1592" s="1" t="str">
        <f>"17"</f>
        <v>17</v>
      </c>
      <c r="Z1592" t="str">
        <f>"9041693783"</f>
        <v>9041693783</v>
      </c>
      <c r="AA1592" t="str">
        <f>"9041693783"</f>
        <v>9041693783</v>
      </c>
      <c r="AB1592" t="str">
        <f>"9041693783"</f>
        <v>9041693783</v>
      </c>
      <c r="AC1592" t="str">
        <f>"9041693783"</f>
        <v>9041693783</v>
      </c>
      <c r="AD1592" t="str">
        <f>"9041693783"</f>
        <v>9041693783</v>
      </c>
      <c r="AE1592" t="str">
        <f>"9041693783"</f>
        <v>9041693783</v>
      </c>
    </row>
    <row r="1593" spans="1:31" x14ac:dyDescent="0.45">
      <c r="A1593" t="str">
        <f>"ХАМИДУЛЛИНА ЛИЛИЯ РАХИМЗЯНОВНА"</f>
        <v>ХАМИДУЛЛИНА ЛИЛИЯ РАХИМЗЯНОВНА</v>
      </c>
      <c r="B1593" t="str">
        <f>"1975-09-19"</f>
        <v>1975-09-19</v>
      </c>
      <c r="C1593" t="str">
        <f>"67 00 332562"</f>
        <v>67 00 332562</v>
      </c>
      <c r="D1593" t="str">
        <f>"5484016703083402"</f>
        <v>5484016703083402</v>
      </c>
      <c r="E1593" t="str">
        <f t="shared" ref="E1593:E1600" si="275">"2021-05-31"</f>
        <v>2021-05-31</v>
      </c>
      <c r="F1593" t="str">
        <f t="shared" si="274"/>
        <v>+</v>
      </c>
      <c r="G1593" t="str">
        <f t="shared" si="274"/>
        <v>+</v>
      </c>
      <c r="H1593" t="str">
        <f>"40817810816992300130"</f>
        <v>40817810816992300130</v>
      </c>
      <c r="I1593" t="str">
        <f>"8647"</f>
        <v>8647</v>
      </c>
      <c r="J1593" t="str">
        <f>"7770"</f>
        <v>7770</v>
      </c>
      <c r="K1593" t="str">
        <f>"20000.00"</f>
        <v>20000.00</v>
      </c>
      <c r="L1593" t="str">
        <f>"625000 ОБЛ ТЮМЕНСКАЯ     Г ТЮМЕНЬ УЛ ЮРИЯ СЕМОВСКИХ д. 10"</f>
        <v>625000 ОБЛ ТЮМЕНСКАЯ     Г ТЮМЕНЬ УЛ ЮРИЯ СЕМОВСКИХ д. 10</v>
      </c>
      <c r="M1593" t="str">
        <f t="shared" si="261"/>
        <v>2019-08-24</v>
      </c>
      <c r="N1593" t="str">
        <f>"ОКБ 1"</f>
        <v>ОКБ 1</v>
      </c>
      <c r="O1593" t="str">
        <f>"625046"</f>
        <v>625046</v>
      </c>
      <c r="P1593" t="str">
        <f>"ОБЛ ТЮМЕНСКАЯ"</f>
        <v>ОБЛ ТЮМЕНСКАЯ</v>
      </c>
      <c r="Q1593" t="str">
        <f>""</f>
        <v/>
      </c>
      <c r="R1593" t="str">
        <f>"Г ТЮМЕНЬ"</f>
        <v>Г ТЮМЕНЬ</v>
      </c>
      <c r="S1593" t="str">
        <f>""</f>
        <v/>
      </c>
      <c r="T1593" t="str">
        <f>"УЛ НАРОДНАЯ"</f>
        <v>УЛ НАРОДНАЯ</v>
      </c>
      <c r="U1593" s="1" t="str">
        <f>"4"</f>
        <v>4</v>
      </c>
      <c r="V1593" s="1" t="str">
        <f>""</f>
        <v/>
      </c>
      <c r="W1593" s="1" t="str">
        <f>""</f>
        <v/>
      </c>
      <c r="X1593" s="1" t="str">
        <f>""</f>
        <v/>
      </c>
      <c r="Y1593" s="1" t="str">
        <f>"117"</f>
        <v>117</v>
      </c>
      <c r="Z1593" t="str">
        <f>"3452481016"</f>
        <v>3452481016</v>
      </c>
      <c r="AA1593" t="str">
        <f>"9048880423"</f>
        <v>9048880423</v>
      </c>
      <c r="AB1593" t="str">
        <f>"+7 (904) 8880423"</f>
        <v>+7 (904) 8880423</v>
      </c>
      <c r="AC1593" t="str">
        <f>"9048880423"</f>
        <v>9048880423</v>
      </c>
      <c r="AD1593" t="str">
        <f>"9048880423"</f>
        <v>9048880423</v>
      </c>
      <c r="AE1593" t="str">
        <f>"3452481016"</f>
        <v>3452481016</v>
      </c>
    </row>
    <row r="1594" spans="1:31" x14ac:dyDescent="0.45">
      <c r="A1594" t="str">
        <f>"КАБАНОВ НИКИТА АЛЕКСЕЕВИЧ"</f>
        <v>КАБАНОВ НИКИТА АЛЕКСЕЕВИЧ</v>
      </c>
      <c r="B1594" t="str">
        <f>"1994-11-04"</f>
        <v>1994-11-04</v>
      </c>
      <c r="C1594" t="str">
        <f>"71 14 110997"</f>
        <v>71 14 110997</v>
      </c>
      <c r="D1594" t="str">
        <f>"5484016705152924"</f>
        <v>5484016705152924</v>
      </c>
      <c r="E1594" t="str">
        <f t="shared" si="275"/>
        <v>2021-05-31</v>
      </c>
      <c r="F1594" t="str">
        <f t="shared" si="274"/>
        <v>+</v>
      </c>
      <c r="G1594" t="str">
        <f t="shared" si="274"/>
        <v>+</v>
      </c>
      <c r="H1594" t="str">
        <f>"40817810416992300187"</f>
        <v>40817810416992300187</v>
      </c>
      <c r="I1594" t="str">
        <f>"8647"</f>
        <v>8647</v>
      </c>
      <c r="J1594" t="str">
        <f>"7772"</f>
        <v>7772</v>
      </c>
      <c r="K1594" t="str">
        <f>"50000.00"</f>
        <v>50000.00</v>
      </c>
      <c r="L1594" t="str">
        <f>"626150 ОБЛ ТЮМЕНСКАЯ   Г ТОБОЛЬСК   МКР 4 стр. 36"</f>
        <v>626150 ОБЛ ТЮМЕНСКАЯ   Г ТОБОЛЬСК   МКР 4 стр. 36</v>
      </c>
      <c r="M1594" t="str">
        <f t="shared" si="261"/>
        <v>2019-08-24</v>
      </c>
      <c r="N1594" t="str">
        <f>"ООО ГЛЕОН"</f>
        <v>ООО ГЛЕОН</v>
      </c>
      <c r="O1594" t="str">
        <f>"626150"</f>
        <v>626150</v>
      </c>
      <c r="P1594" t="str">
        <f>"ОБЛ ТЮМЕНСКАЯ"</f>
        <v>ОБЛ ТЮМЕНСКАЯ</v>
      </c>
      <c r="Q1594" t="str">
        <f>""</f>
        <v/>
      </c>
      <c r="R1594" t="str">
        <f>"Г ТОБОЛЬСК"</f>
        <v>Г ТОБОЛЬСК</v>
      </c>
      <c r="S1594" t="str">
        <f>""</f>
        <v/>
      </c>
      <c r="T1594" t="str">
        <f>"МКР 6"</f>
        <v>МКР 6</v>
      </c>
      <c r="U1594" s="1" t="str">
        <f>"47"</f>
        <v>47</v>
      </c>
      <c r="V1594" s="1" t="str">
        <f>""</f>
        <v/>
      </c>
      <c r="W1594" s="1" t="str">
        <f>""</f>
        <v/>
      </c>
      <c r="X1594" s="1" t="str">
        <f>""</f>
        <v/>
      </c>
      <c r="Y1594" s="1" t="str">
        <f>"48"</f>
        <v>48</v>
      </c>
      <c r="Z1594" t="str">
        <f>"3456278780"</f>
        <v>3456278780</v>
      </c>
      <c r="AA1594" t="str">
        <f>"9129931392"</f>
        <v>9129931392</v>
      </c>
      <c r="AB1594" t="str">
        <f>"9129931387"</f>
        <v>9129931387</v>
      </c>
      <c r="AC1594" t="str">
        <f>"9129931392"</f>
        <v>9129931392</v>
      </c>
      <c r="AD1594" t="str">
        <f>"9129931387"</f>
        <v>9129931387</v>
      </c>
      <c r="AE1594" t="str">
        <f>"3456278780"</f>
        <v>3456278780</v>
      </c>
    </row>
    <row r="1595" spans="1:31" x14ac:dyDescent="0.45">
      <c r="A1595" t="str">
        <f>"ЧЕБУРИН РОМАН ИВАНОВИЧ"</f>
        <v>ЧЕБУРИН РОМАН ИВАНОВИЧ</v>
      </c>
      <c r="B1595" t="str">
        <f>"1988-07-16"</f>
        <v>1988-07-16</v>
      </c>
      <c r="C1595" t="str">
        <f>"15 08 714691"</f>
        <v>15 08 714691</v>
      </c>
      <c r="D1595" t="str">
        <f>"5484016707279113"</f>
        <v>5484016707279113</v>
      </c>
      <c r="E1595" t="str">
        <f t="shared" si="275"/>
        <v>2021-05-31</v>
      </c>
      <c r="F1595" t="str">
        <f t="shared" si="274"/>
        <v>+</v>
      </c>
      <c r="G1595" t="str">
        <f t="shared" si="274"/>
        <v>+</v>
      </c>
      <c r="H1595" t="str">
        <f>"40817810516992300252"</f>
        <v>40817810516992300252</v>
      </c>
      <c r="I1595" t="str">
        <f>"8647"</f>
        <v>8647</v>
      </c>
      <c r="J1595" t="str">
        <f>"0328"</f>
        <v>0328</v>
      </c>
      <c r="K1595" t="str">
        <f>"300000.00"</f>
        <v>300000.00</v>
      </c>
      <c r="L1595" t="str">
        <f>"626150 ОБЛ ТЮМЕНСКАЯ   Г ТОБОЛЬСК   УЛ ПРОМКОМЗОНА стр. 1"</f>
        <v>626150 ОБЛ ТЮМЕНСКАЯ   Г ТОБОЛЬСК   УЛ ПРОМКОМЗОНА стр. 1</v>
      </c>
      <c r="M1595" t="str">
        <f t="shared" si="261"/>
        <v>2019-08-24</v>
      </c>
      <c r="N1595" t="str">
        <f>"ООО СИБУР ТОБОЛЬСК"</f>
        <v>ООО СИБУР ТОБОЛЬСК</v>
      </c>
      <c r="O1595" t="str">
        <f>"000000"</f>
        <v>000000</v>
      </c>
      <c r="P1595" t="str">
        <f>"ОБЛ БРЯНСКАЯ"</f>
        <v>ОБЛ БРЯНСКАЯ</v>
      </c>
      <c r="Q1595" t="str">
        <f>""</f>
        <v/>
      </c>
      <c r="R1595" t="str">
        <f>"Г БРЯНСК"</f>
        <v>Г БРЯНСК</v>
      </c>
      <c r="S1595" t="str">
        <f>""</f>
        <v/>
      </c>
      <c r="T1595" t="str">
        <f>"УЛ ЛИТЕЙНАЯ"</f>
        <v>УЛ ЛИТЕЙНАЯ</v>
      </c>
      <c r="U1595" s="1" t="str">
        <f>"65"</f>
        <v>65</v>
      </c>
      <c r="V1595" s="1" t="str">
        <f>""</f>
        <v/>
      </c>
      <c r="W1595" s="1" t="str">
        <f>""</f>
        <v/>
      </c>
      <c r="X1595" s="1" t="str">
        <f>""</f>
        <v/>
      </c>
      <c r="Y1595" s="1" t="str">
        <f>"113"</f>
        <v>113</v>
      </c>
      <c r="Z1595" t="str">
        <f>"3456266133"</f>
        <v>3456266133</v>
      </c>
      <c r="AA1595" t="str">
        <f>"9324835571"</f>
        <v>9324835571</v>
      </c>
      <c r="AB1595" t="str">
        <f>"9615567046"</f>
        <v>9615567046</v>
      </c>
      <c r="AC1595" t="str">
        <f>"9324835571"</f>
        <v>9324835571</v>
      </c>
      <c r="AD1595" t="str">
        <f>"9615567046"</f>
        <v>9615567046</v>
      </c>
      <c r="AE1595" t="str">
        <f>"3456266133"</f>
        <v>3456266133</v>
      </c>
    </row>
    <row r="1596" spans="1:31" x14ac:dyDescent="0.45">
      <c r="A1596" t="str">
        <f>"ГРИШКОВ ДМИТРИЙ АНДРЕЕВИЧ"</f>
        <v>ГРИШКОВ ДМИТРИЙ АНДРЕЕВИЧ</v>
      </c>
      <c r="B1596" t="str">
        <f>"1984-06-20"</f>
        <v>1984-06-20</v>
      </c>
      <c r="C1596" t="str">
        <f>"80 05 795864"</f>
        <v>80 05 795864</v>
      </c>
      <c r="D1596" t="str">
        <f>"5484016706913605"</f>
        <v>5484016706913605</v>
      </c>
      <c r="E1596" t="str">
        <f t="shared" si="275"/>
        <v>2021-05-31</v>
      </c>
      <c r="F1596" t="str">
        <f t="shared" si="274"/>
        <v>+</v>
      </c>
      <c r="G1596" t="str">
        <f t="shared" si="274"/>
        <v>+</v>
      </c>
      <c r="H1596" t="str">
        <f>"40817810016992097324"</f>
        <v>40817810016992097324</v>
      </c>
      <c r="I1596" t="str">
        <f>"8647"</f>
        <v>8647</v>
      </c>
      <c r="J1596" t="str">
        <f>"0288"</f>
        <v>0288</v>
      </c>
      <c r="K1596" t="str">
        <f>"100000.00"</f>
        <v>100000.00</v>
      </c>
      <c r="L1596" t="str">
        <f>"626150 ОБЛ ТЮМЕНСКАЯ   Г ТОБОЛЬСК   ТЕР ПРОМКОМЗОНА д. 1"</f>
        <v>626150 ОБЛ ТЮМЕНСКАЯ   Г ТОБОЛЬСК   ТЕР ПРОМКОМЗОНА д. 1</v>
      </c>
      <c r="M1596" t="str">
        <f t="shared" si="261"/>
        <v>2019-08-24</v>
      </c>
      <c r="N1596" t="str">
        <f>"ООО ЗАПСИБНЕФТЕХИМ"</f>
        <v>ООО ЗАПСИБНЕФТЕХИМ</v>
      </c>
      <c r="O1596" t="str">
        <f>"626150"</f>
        <v>626150</v>
      </c>
      <c r="P1596" t="str">
        <f>"ОБЛ ТЮМЕНСКАЯ"</f>
        <v>ОБЛ ТЮМЕНСКАЯ</v>
      </c>
      <c r="Q1596" t="str">
        <f>""</f>
        <v/>
      </c>
      <c r="R1596" t="str">
        <f>"Г ТОБОЛЬСК"</f>
        <v>Г ТОБОЛЬСК</v>
      </c>
      <c r="S1596" t="str">
        <f>""</f>
        <v/>
      </c>
      <c r="T1596" t="str">
        <f>"МКР 10"</f>
        <v>МКР 10</v>
      </c>
      <c r="U1596" s="1" t="str">
        <f>"47А"</f>
        <v>47А</v>
      </c>
      <c r="V1596" s="1" t="str">
        <f>""</f>
        <v/>
      </c>
      <c r="W1596" s="1" t="str">
        <f>""</f>
        <v/>
      </c>
      <c r="X1596" s="1" t="str">
        <f>""</f>
        <v/>
      </c>
      <c r="Y1596" s="1" t="str">
        <f>"24"</f>
        <v>24</v>
      </c>
      <c r="Z1596" t="str">
        <f>""</f>
        <v/>
      </c>
      <c r="AA1596" t="str">
        <f>"9199262112"</f>
        <v>9199262112</v>
      </c>
      <c r="AB1596" t="str">
        <f>"9199501086"</f>
        <v>9199501086</v>
      </c>
      <c r="AC1596" t="str">
        <f>"9199262112"</f>
        <v>9199262112</v>
      </c>
      <c r="AD1596" t="str">
        <f>"9199501086"</f>
        <v>9199501086</v>
      </c>
      <c r="AE1596" t="str">
        <f>""</f>
        <v/>
      </c>
    </row>
    <row r="1597" spans="1:31" x14ac:dyDescent="0.45">
      <c r="A1597" t="str">
        <f>"КОЛБИНА СВЕТЛАНА ФЕДОРОВНА"</f>
        <v>КОЛБИНА СВЕТЛАНА ФЕДОРОВНА</v>
      </c>
      <c r="B1597" t="str">
        <f>"1963-06-14"</f>
        <v>1963-06-14</v>
      </c>
      <c r="C1597" t="str">
        <f>"71 09 725631"</f>
        <v>71 09 725631</v>
      </c>
      <c r="D1597" t="str">
        <f>"5484016704005271"</f>
        <v>5484016704005271</v>
      </c>
      <c r="E1597" t="str">
        <f t="shared" si="275"/>
        <v>2021-05-31</v>
      </c>
      <c r="F1597" t="str">
        <f t="shared" si="274"/>
        <v>+</v>
      </c>
      <c r="G1597" t="str">
        <f t="shared" si="274"/>
        <v>+</v>
      </c>
      <c r="H1597" t="str">
        <f>"40817810816992300224"</f>
        <v>40817810816992300224</v>
      </c>
      <c r="I1597" t="str">
        <f>"8647"</f>
        <v>8647</v>
      </c>
      <c r="J1597" t="str">
        <f>"7770"</f>
        <v>7770</v>
      </c>
      <c r="K1597" t="str">
        <f>"18000.00"</f>
        <v>18000.00</v>
      </c>
      <c r="L1597" t="str">
        <f>"625048 ОБЛ ТЮМЕНСКАЯ   Г ТЮМЕНЬ   УЛ ФАБРИЧНАЯ д. 9"</f>
        <v>625048 ОБЛ ТЮМЕНСКАЯ   Г ТЮМЕНЬ   УЛ ФАБРИЧНАЯ д. 9</v>
      </c>
      <c r="M1597" t="str">
        <f t="shared" si="261"/>
        <v>2019-08-24</v>
      </c>
      <c r="N1597" t="str">
        <f>"МАГАЗИН МЕТРОПОЛИС"</f>
        <v>МАГАЗИН МЕТРОПОЛИС</v>
      </c>
      <c r="O1597" t="str">
        <f>"625000"</f>
        <v>625000</v>
      </c>
      <c r="P1597" t="str">
        <f>"ОБЛ ТЮМЕНСКАЯ"</f>
        <v>ОБЛ ТЮМЕНСКАЯ</v>
      </c>
      <c r="Q1597" t="str">
        <f>""</f>
        <v/>
      </c>
      <c r="R1597" t="str">
        <f>"Г ТЮМЕНЬ"</f>
        <v>Г ТЮМЕНЬ</v>
      </c>
      <c r="S1597" t="str">
        <f>""</f>
        <v/>
      </c>
      <c r="T1597" t="str">
        <f>"УЛ КИЕВСКАЯ"</f>
        <v>УЛ КИЕВСКАЯ</v>
      </c>
      <c r="U1597" s="1" t="str">
        <f>"60"</f>
        <v>60</v>
      </c>
      <c r="V1597" s="1" t="str">
        <f>""</f>
        <v/>
      </c>
      <c r="W1597" s="1" t="str">
        <f>""</f>
        <v/>
      </c>
      <c r="X1597" s="1" t="str">
        <f>""</f>
        <v/>
      </c>
      <c r="Y1597" s="1" t="str">
        <f>"10"</f>
        <v>10</v>
      </c>
      <c r="Z1597" t="str">
        <f>"3452482828"</f>
        <v>3452482828</v>
      </c>
      <c r="AA1597" t="str">
        <f>"3452201049"</f>
        <v>3452201049</v>
      </c>
      <c r="AB1597" t="str">
        <f>"9199368115"</f>
        <v>9199368115</v>
      </c>
      <c r="AC1597" t="str">
        <f>"3452201049"</f>
        <v>3452201049</v>
      </c>
      <c r="AD1597" t="str">
        <f>"9199368115"</f>
        <v>9199368115</v>
      </c>
      <c r="AE1597" t="str">
        <f>"3452482828"</f>
        <v>3452482828</v>
      </c>
    </row>
    <row r="1598" spans="1:31" x14ac:dyDescent="0.45">
      <c r="A1598" t="str">
        <f>"ТОМЧИК ИННА СЕРГЕЕВНА"</f>
        <v>ТОМЧИК ИННА СЕРГЕЕВНА</v>
      </c>
      <c r="B1598" t="str">
        <f>"1987-07-20"</f>
        <v>1987-07-20</v>
      </c>
      <c r="C1598" t="str">
        <f>"67 07 751934"</f>
        <v>67 07 751934</v>
      </c>
      <c r="D1598" t="str">
        <f>"5484016706719978"</f>
        <v>5484016706719978</v>
      </c>
      <c r="E1598" t="str">
        <f t="shared" si="275"/>
        <v>2021-05-31</v>
      </c>
      <c r="F1598" t="str">
        <f>"K"</f>
        <v>K</v>
      </c>
      <c r="G1598" t="str">
        <f>"+"</f>
        <v>+</v>
      </c>
      <c r="H1598" t="str">
        <f>"40817810816992400658"</f>
        <v>40817810816992400658</v>
      </c>
      <c r="I1598" t="str">
        <f>"5940"</f>
        <v>5940</v>
      </c>
      <c r="J1598" t="str">
        <f>"7770"</f>
        <v>7770</v>
      </c>
      <c r="K1598" t="str">
        <f>"55000.00"</f>
        <v>55000.00</v>
      </c>
      <c r="L1598" t="str">
        <f>"628449 ОБЛ ТЮМЕНСКАЯ Р-Н СУРГУТСКИЙ Г ЛЯНТОР   МКР 7 д. 68"</f>
        <v>628449 ОБЛ ТЮМЕНСКАЯ Р-Н СУРГУТСКИЙ Г ЛЯНТОР   МКР 7 д. 68</v>
      </c>
      <c r="M1598" t="str">
        <f t="shared" si="261"/>
        <v>2019-08-24</v>
      </c>
      <c r="N1598" t="str">
        <f>"МБДОУ Д/С РОДНИЧОК"</f>
        <v>МБДОУ Д/С РОДНИЧОК</v>
      </c>
      <c r="O1598" t="str">
        <f>"628449"</f>
        <v>628449</v>
      </c>
      <c r="P1598" t="str">
        <f>"ОБЛ ТЮМЕНСКАЯ"</f>
        <v>ОБЛ ТЮМЕНСКАЯ</v>
      </c>
      <c r="Q1598" t="str">
        <f>"Р-Н ХМАО СУРГУТСКИЙ"</f>
        <v>Р-Н ХМАО СУРГУТСКИЙ</v>
      </c>
      <c r="R1598" t="str">
        <f>"Г ЛЯНТОР"</f>
        <v>Г ЛЯНТОР</v>
      </c>
      <c r="S1598" t="str">
        <f>""</f>
        <v/>
      </c>
      <c r="T1598" t="str">
        <f>"МКР 3"</f>
        <v>МКР 3</v>
      </c>
      <c r="U1598" s="1" t="str">
        <f>"3"</f>
        <v>3</v>
      </c>
      <c r="V1598" s="1" t="str">
        <f>""</f>
        <v/>
      </c>
      <c r="W1598" s="1" t="str">
        <f>""</f>
        <v/>
      </c>
      <c r="X1598" s="1" t="str">
        <f>""</f>
        <v/>
      </c>
      <c r="Y1598" s="1" t="str">
        <f>"27"</f>
        <v>27</v>
      </c>
      <c r="Z1598" t="str">
        <f>"3463824721"</f>
        <v>3463824721</v>
      </c>
      <c r="AA1598" t="str">
        <f>"9224487673"</f>
        <v>9224487673</v>
      </c>
      <c r="AB1598" t="str">
        <f>"9224487673"</f>
        <v>9224487673</v>
      </c>
      <c r="AC1598" t="str">
        <f>"9224487673"</f>
        <v>9224487673</v>
      </c>
      <c r="AD1598" t="str">
        <f>"9224487673"</f>
        <v>9224487673</v>
      </c>
      <c r="AE1598" t="str">
        <f>"3463824721"</f>
        <v>3463824721</v>
      </c>
    </row>
    <row r="1599" spans="1:31" x14ac:dyDescent="0.45">
      <c r="A1599" t="str">
        <f>"КУКЛИН АНАТОЛИЙ АЛЕКСАНДРОВИЧ"</f>
        <v>КУКЛИН АНАТОЛИЙ АЛЕКСАНДРОВИЧ</v>
      </c>
      <c r="B1599" t="str">
        <f>"1970-04-10"</f>
        <v>1970-04-10</v>
      </c>
      <c r="C1599" t="str">
        <f>"71 14 136625"</f>
        <v>71 14 136625</v>
      </c>
      <c r="D1599" t="str">
        <f>"5484016703990408"</f>
        <v>5484016703990408</v>
      </c>
      <c r="E1599" t="str">
        <f t="shared" si="275"/>
        <v>2021-05-31</v>
      </c>
      <c r="F1599" t="str">
        <f>"K"</f>
        <v>K</v>
      </c>
      <c r="G1599" t="str">
        <f>"+"</f>
        <v>+</v>
      </c>
      <c r="H1599" t="str">
        <f>"40817810716992400732"</f>
        <v>40817810716992400732</v>
      </c>
      <c r="I1599" t="str">
        <f>"8647"</f>
        <v>8647</v>
      </c>
      <c r="J1599" t="str">
        <f>"0315"</f>
        <v>0315</v>
      </c>
      <c r="K1599" t="str">
        <f>"105000.00"</f>
        <v>105000.00</v>
      </c>
      <c r="L1599" t="str">
        <f>"626170 ОБЛ ТЮМЕНСКАЯ Р-Н УВАТСКИЙ   С УВАТ УЛ ДОРОЖНАЯ д. 19"</f>
        <v>626170 ОБЛ ТЮМЕНСКАЯ Р-Н УВАТСКИЙ   С УВАТ УЛ ДОРОЖНАЯ д. 19</v>
      </c>
      <c r="M1599" t="str">
        <f t="shared" si="261"/>
        <v>2019-08-24</v>
      </c>
      <c r="N1599" t="str">
        <f>"ЦФОР"</f>
        <v>ЦФОР</v>
      </c>
      <c r="O1599" t="str">
        <f>"626170"</f>
        <v>626170</v>
      </c>
      <c r="P1599" t="str">
        <f>"ОБЛ ТЮМЕНСКАЯ"</f>
        <v>ОБЛ ТЮМЕНСКАЯ</v>
      </c>
      <c r="Q1599" t="str">
        <f>"Р-Н УВАТСКИЙ"</f>
        <v>Р-Н УВАТСКИЙ</v>
      </c>
      <c r="R1599" t="str">
        <f>""</f>
        <v/>
      </c>
      <c r="S1599" t="str">
        <f>"С УВАТ"</f>
        <v>С УВАТ</v>
      </c>
      <c r="T1599" t="str">
        <f>"УЛ САДОВАЯ"</f>
        <v>УЛ САДОВАЯ</v>
      </c>
      <c r="U1599" s="1" t="str">
        <f>"5"</f>
        <v>5</v>
      </c>
      <c r="V1599" s="1" t="str">
        <f>""</f>
        <v/>
      </c>
      <c r="W1599" s="1" t="str">
        <f>""</f>
        <v/>
      </c>
      <c r="X1599" s="1" t="str">
        <f>""</f>
        <v/>
      </c>
      <c r="Y1599" s="1" t="str">
        <f>""</f>
        <v/>
      </c>
      <c r="Z1599" t="str">
        <f>"9199403857"</f>
        <v>9199403857</v>
      </c>
      <c r="AA1599" t="str">
        <f>"9829630483"</f>
        <v>9829630483</v>
      </c>
      <c r="AB1599" t="str">
        <f>"9199403857"</f>
        <v>9199403857</v>
      </c>
      <c r="AC1599" t="str">
        <f>"9829630483"</f>
        <v>9829630483</v>
      </c>
      <c r="AD1599" t="str">
        <f>"9199403857"</f>
        <v>9199403857</v>
      </c>
      <c r="AE1599" t="str">
        <f>"9199403857"</f>
        <v>9199403857</v>
      </c>
    </row>
    <row r="1600" spans="1:31" x14ac:dyDescent="0.45">
      <c r="A1600" t="str">
        <f>"СМИРНОВА ЕКАТЕРИНА ИГОРЕВНА"</f>
        <v>СМИРНОВА ЕКАТЕРИНА ИГОРЕВНА</v>
      </c>
      <c r="B1600" t="str">
        <f>"1994-03-20"</f>
        <v>1994-03-20</v>
      </c>
      <c r="C1600" t="str">
        <f>"67 14 371564"</f>
        <v>67 14 371564</v>
      </c>
      <c r="D1600" t="str">
        <f>"5484016709733349"</f>
        <v>5484016709733349</v>
      </c>
      <c r="E1600" t="str">
        <f t="shared" si="275"/>
        <v>2021-05-31</v>
      </c>
      <c r="F1600" t="str">
        <f>"+"</f>
        <v>+</v>
      </c>
      <c r="G1600" t="str">
        <f>"+"</f>
        <v>+</v>
      </c>
      <c r="H1600" t="str">
        <f>"40817810516992400877"</f>
        <v>40817810516992400877</v>
      </c>
      <c r="I1600" t="str">
        <f>"5940"</f>
        <v>5940</v>
      </c>
      <c r="J1600" t="str">
        <f>"7770"</f>
        <v>7770</v>
      </c>
      <c r="K1600" t="str">
        <f>"50000.00"</f>
        <v>50000.00</v>
      </c>
      <c r="L1600" t="str">
        <f>"628400 ОБЛ ТЮМЕНСКАЯ   Г СУРГУТ   ПРОЕЗД СОВЕТОВ д. 4"</f>
        <v>628400 ОБЛ ТЮМЕНСКАЯ   Г СУРГУТ   ПРОЕЗД СОВЕТОВ д. 4</v>
      </c>
      <c r="M1600" t="str">
        <f t="shared" si="261"/>
        <v>2019-08-24</v>
      </c>
      <c r="N1600" t="str">
        <f>"МКУ ЦООД"</f>
        <v>МКУ ЦООД</v>
      </c>
      <c r="O1600" t="str">
        <f>"628400"</f>
        <v>628400</v>
      </c>
      <c r="P1600" t="str">
        <f>"ОБЛ ТЮМЕНСКАЯ"</f>
        <v>ОБЛ ТЮМЕНСКАЯ</v>
      </c>
      <c r="Q1600" t="str">
        <f>"АО ХМАО"</f>
        <v>АО ХМАО</v>
      </c>
      <c r="R1600" t="str">
        <f>"Г СУРГУТ"</f>
        <v>Г СУРГУТ</v>
      </c>
      <c r="S1600" t="str">
        <f>""</f>
        <v/>
      </c>
      <c r="T1600" t="str">
        <f>"УЛ ГРИБОЕДОВА"</f>
        <v>УЛ ГРИБОЕДОВА</v>
      </c>
      <c r="U1600" s="1" t="str">
        <f>"3"</f>
        <v>3</v>
      </c>
      <c r="V1600" s="1" t="str">
        <f>""</f>
        <v/>
      </c>
      <c r="W1600" s="1" t="str">
        <f>""</f>
        <v/>
      </c>
      <c r="X1600" s="1" t="str">
        <f>""</f>
        <v/>
      </c>
      <c r="Y1600" s="1" t="str">
        <f>"27"</f>
        <v>27</v>
      </c>
      <c r="Z1600" t="str">
        <f>"3462230931"</f>
        <v>3462230931</v>
      </c>
      <c r="AA1600" t="str">
        <f>"9824112978"</f>
        <v>9824112978</v>
      </c>
      <c r="AB1600" t="str">
        <f>"9822046121"</f>
        <v>9822046121</v>
      </c>
      <c r="AC1600" t="str">
        <f>"9822046121"</f>
        <v>9822046121</v>
      </c>
      <c r="AD1600" t="str">
        <f>"9822046121"</f>
        <v>9822046121</v>
      </c>
      <c r="AE1600" t="str">
        <f>"3462230931"</f>
        <v>3462230931</v>
      </c>
    </row>
    <row r="1601" spans="1:31" x14ac:dyDescent="0.45">
      <c r="A1601" t="str">
        <f>"МАКОВСКАЯ ТАТЬЯНА ВЛАДИМИРОВНА"</f>
        <v>МАКОВСКАЯ ТАТЬЯНА ВЛАДИМИРОВНА</v>
      </c>
      <c r="B1601" t="str">
        <f>"1959-04-14"</f>
        <v>1959-04-14</v>
      </c>
      <c r="C1601" t="str">
        <f>"37 05 010202"</f>
        <v>37 05 010202</v>
      </c>
      <c r="D1601" t="str">
        <f>"4854630390372194"</f>
        <v>4854630390372194</v>
      </c>
      <c r="E1601" t="str">
        <f>"2020-09-30"</f>
        <v>2020-09-30</v>
      </c>
      <c r="F1601" t="str">
        <f>"+"</f>
        <v>+</v>
      </c>
      <c r="G1601" t="str">
        <f>"+"</f>
        <v>+</v>
      </c>
      <c r="H1601" t="str">
        <f>"40817810116991391293"</f>
        <v>40817810116991391293</v>
      </c>
      <c r="I1601" t="str">
        <f>"8599"</f>
        <v>8599</v>
      </c>
      <c r="J1601" t="str">
        <f>"0049"</f>
        <v>0049</v>
      </c>
      <c r="K1601" t="str">
        <f>"50000.00"</f>
        <v>50000.00</v>
      </c>
      <c r="L1601" t="str">
        <f>"641000 ОБЛ КУРГАНСКАЯ Р-Н КЕТОВСКИЙ   С НОВАЯ СИДОРОВКА УЛ -"</f>
        <v>641000 ОБЛ КУРГАНСКАЯ Р-Н КЕТОВСКИЙ   С НОВАЯ СИДОРОВКА УЛ -</v>
      </c>
      <c r="M1601" t="str">
        <f t="shared" si="261"/>
        <v>2019-08-24</v>
      </c>
      <c r="N1601" t="str">
        <f>"ЗАО АГРОФИРМА БОРОВСКАЯ"</f>
        <v>ЗАО АГРОФИРМА БОРОВСКАЯ</v>
      </c>
      <c r="O1601" t="str">
        <f>"641000"</f>
        <v>641000</v>
      </c>
      <c r="P1601" t="str">
        <f>"ОБЛ КУРГАНСКАЯ"</f>
        <v>ОБЛ КУРГАНСКАЯ</v>
      </c>
      <c r="Q1601" t="str">
        <f>"Р-Н КЕТОВСКИЙ"</f>
        <v>Р-Н КЕТОВСКИЙ</v>
      </c>
      <c r="R1601" t="str">
        <f>""</f>
        <v/>
      </c>
      <c r="S1601" t="str">
        <f>"С НОВАЯ СИДОРОВКА"</f>
        <v>С НОВАЯ СИДОРОВКА</v>
      </c>
      <c r="T1601" t="str">
        <f>"УЛ ЗАВОДСКАЯ"</f>
        <v>УЛ ЗАВОДСКАЯ</v>
      </c>
      <c r="U1601" s="1" t="str">
        <f>"2"</f>
        <v>2</v>
      </c>
      <c r="V1601" s="1" t="str">
        <f>""</f>
        <v/>
      </c>
      <c r="W1601" s="1" t="str">
        <f>""</f>
        <v/>
      </c>
      <c r="X1601" s="1" t="str">
        <f>""</f>
        <v/>
      </c>
      <c r="Y1601" s="1" t="str">
        <f>"7"</f>
        <v>7</v>
      </c>
      <c r="Z1601" t="str">
        <f>"3523153294"</f>
        <v>3523153294</v>
      </c>
      <c r="AA1601" t="str">
        <f>"9630076868"</f>
        <v>9630076868</v>
      </c>
      <c r="AB1601" t="str">
        <f>"9195897710"</f>
        <v>9195897710</v>
      </c>
      <c r="AC1601" t="str">
        <f>"9630076868"</f>
        <v>9630076868</v>
      </c>
      <c r="AD1601" t="str">
        <f>"9195897710"</f>
        <v>9195897710</v>
      </c>
      <c r="AE1601" t="str">
        <f>""</f>
        <v/>
      </c>
    </row>
    <row r="1602" spans="1:31" x14ac:dyDescent="0.45">
      <c r="A1602" t="str">
        <f>"СКЛАДЧИКОВ ЮРИЙ АЛЕКСАНДРОВИЧ"</f>
        <v>СКЛАДЧИКОВ ЮРИЙ АЛЕКСАНДРОВИЧ</v>
      </c>
      <c r="B1602" t="str">
        <f>"1967-04-14"</f>
        <v>1967-04-14</v>
      </c>
      <c r="C1602" t="str">
        <f>"80 11 519072"</f>
        <v>80 11 519072</v>
      </c>
      <c r="D1602" t="str">
        <f>"5313100248452269"</f>
        <v>5313100248452269</v>
      </c>
      <c r="E1602" t="str">
        <f>"2020-11-30"</f>
        <v>2020-11-30</v>
      </c>
      <c r="F1602" t="str">
        <f>"+"</f>
        <v>+</v>
      </c>
      <c r="G1602" t="str">
        <f>"7"</f>
        <v>7</v>
      </c>
      <c r="H1602" t="str">
        <f>"40817810416991391294"</f>
        <v>40817810416991391294</v>
      </c>
      <c r="I1602" t="str">
        <f>"8598"</f>
        <v>8598</v>
      </c>
      <c r="J1602" t="str">
        <f>"0463"</f>
        <v>0463</v>
      </c>
      <c r="K1602" t="str">
        <f>"13219.64"</f>
        <v>13219.64</v>
      </c>
      <c r="L1602" t="str">
        <f>"450000 РЕСП БАШКОРТОСТАН Р-Н БЕЛЕБЕЕВСКИЙ Г БЕЛЕБЕЙ   УЛ РАБОЧАЯ д. 12"</f>
        <v>450000 РЕСП БАШКОРТОСТАН Р-Н БЕЛЕБЕЕВСКИЙ Г БЕЛЕБЕЙ   УЛ РАБОЧАЯ д. 12</v>
      </c>
      <c r="M1602" t="str">
        <f t="shared" ref="M1602:M1665" si="276">"2019-08-24"</f>
        <v>2019-08-24</v>
      </c>
      <c r="N1602" t="str">
        <f>"БСРСУ ПР"</f>
        <v>БСРСУ ПР</v>
      </c>
      <c r="O1602" t="str">
        <f>"450000"</f>
        <v>450000</v>
      </c>
      <c r="P1602" t="str">
        <f>"РЕСП БАШКОРТОСТАН"</f>
        <v>РЕСП БАШКОРТОСТАН</v>
      </c>
      <c r="Q1602" t="str">
        <f>"Р-Н БЕЛЕБЕЕВСКИЙ"</f>
        <v>Р-Н БЕЛЕБЕЕВСКИЙ</v>
      </c>
      <c r="R1602" t="str">
        <f>"Г БЕЛЕБЕЙ"</f>
        <v>Г БЕЛЕБЕЙ</v>
      </c>
      <c r="S1602" t="str">
        <f>""</f>
        <v/>
      </c>
      <c r="T1602" t="str">
        <f>"УЛ МАТРОСОВА"</f>
        <v>УЛ МАТРОСОВА</v>
      </c>
      <c r="U1602" s="1" t="str">
        <f>"51"</f>
        <v>51</v>
      </c>
      <c r="V1602" s="1" t="str">
        <f>""</f>
        <v/>
      </c>
      <c r="W1602" s="1" t="str">
        <f>""</f>
        <v/>
      </c>
      <c r="X1602" s="1" t="str">
        <f>""</f>
        <v/>
      </c>
      <c r="Y1602" s="1" t="str">
        <f>""</f>
        <v/>
      </c>
      <c r="Z1602" t="str">
        <f>""</f>
        <v/>
      </c>
      <c r="AA1602" t="str">
        <f>"9174315008"</f>
        <v>9174315008</v>
      </c>
      <c r="AB1602" t="str">
        <f>"9174315008"</f>
        <v>9174315008</v>
      </c>
      <c r="AC1602" t="str">
        <f>"9174315008"</f>
        <v>9174315008</v>
      </c>
      <c r="AD1602" t="str">
        <f>"9174315008"</f>
        <v>9174315008</v>
      </c>
      <c r="AE1602" t="str">
        <f>""</f>
        <v/>
      </c>
    </row>
    <row r="1603" spans="1:31" x14ac:dyDescent="0.45">
      <c r="A1603" t="str">
        <f>"ЛЕБЕДЕВА МАРИНА ВАЛЕРЬЕВНА"</f>
        <v>ЛЕБЕДЕВА МАРИНА ВАЛЕРЬЕВНА</v>
      </c>
      <c r="B1603" t="str">
        <f>"1970-10-15"</f>
        <v>1970-10-15</v>
      </c>
      <c r="C1603" t="str">
        <f>"75 15 706532"</f>
        <v>75 15 706532</v>
      </c>
      <c r="D1603" t="str">
        <f>"4854630299525850"</f>
        <v>4854630299525850</v>
      </c>
      <c r="E1603" t="str">
        <f>"2020-11-30"</f>
        <v>2020-11-30</v>
      </c>
      <c r="F1603" t="str">
        <f>"Q"</f>
        <v>Q</v>
      </c>
      <c r="G1603" t="str">
        <f>"Q"</f>
        <v>Q</v>
      </c>
      <c r="H1603" t="str">
        <f>"40817810716991391295"</f>
        <v>40817810716991391295</v>
      </c>
      <c r="I1603" t="str">
        <f>"8597"</f>
        <v>8597</v>
      </c>
      <c r="J1603" t="str">
        <f>"0274"</f>
        <v>0274</v>
      </c>
      <c r="K1603" t="str">
        <f>"0.00"</f>
        <v>0.00</v>
      </c>
      <c r="L1603" t="str">
        <f>"454000 ОБЛ ЧЕЛЯБИНСКАЯ   Г ЧЕЛЯБИНСК   ПР-КТ СВЕРДЛОВСКИЙ д. 26А"</f>
        <v>454000 ОБЛ ЧЕЛЯБИНСКАЯ   Г ЧЕЛЯБИНСК   ПР-КТ СВЕРДЛОВСКИЙ д. 26А</v>
      </c>
      <c r="M1603" t="str">
        <f t="shared" si="276"/>
        <v>2019-08-24</v>
      </c>
      <c r="N1603" t="str">
        <f>"ООО УМК"</f>
        <v>ООО УМК</v>
      </c>
      <c r="O1603" t="str">
        <f>"454000"</f>
        <v>454000</v>
      </c>
      <c r="P1603" t="str">
        <f>"ОБЛ ЧЕЛЯБИНСКАЯ"</f>
        <v>ОБЛ ЧЕЛЯБИНСКАЯ</v>
      </c>
      <c r="Q1603" t="str">
        <f>""</f>
        <v/>
      </c>
      <c r="R1603" t="str">
        <f>"Г ЧЕЛЯБИНСК"</f>
        <v>Г ЧЕЛЯБИНСК</v>
      </c>
      <c r="S1603" t="str">
        <f>""</f>
        <v/>
      </c>
      <c r="T1603" t="str">
        <f>"УЛ ДЕГТЯРЕВА"</f>
        <v>УЛ ДЕГТЯРЕВА</v>
      </c>
      <c r="U1603" s="1" t="str">
        <f>"46"</f>
        <v>46</v>
      </c>
      <c r="V1603" s="1" t="str">
        <f>""</f>
        <v/>
      </c>
      <c r="W1603" s="1" t="str">
        <f>""</f>
        <v/>
      </c>
      <c r="X1603" s="1" t="str">
        <f>""</f>
        <v/>
      </c>
      <c r="Y1603" s="1" t="str">
        <f>"10"</f>
        <v>10</v>
      </c>
      <c r="Z1603" t="str">
        <f>"3512 910400"</f>
        <v>3512 910400</v>
      </c>
      <c r="AA1603" t="str">
        <f>"9227025410"</f>
        <v>9227025410</v>
      </c>
      <c r="AB1603" t="str">
        <f>"9227025410"</f>
        <v>9227025410</v>
      </c>
      <c r="AC1603" t="str">
        <f>"9227025410"</f>
        <v>9227025410</v>
      </c>
      <c r="AD1603" t="str">
        <f>"9227025410"</f>
        <v>9227025410</v>
      </c>
      <c r="AE1603" t="str">
        <f>""</f>
        <v/>
      </c>
    </row>
    <row r="1604" spans="1:31" x14ac:dyDescent="0.45">
      <c r="A1604" t="str">
        <f>"КАРАМОВА ГУЗЕЛЬ МАСНАВИЕВНА"</f>
        <v>КАРАМОВА ГУЗЕЛЬ МАСНАВИЕВНА</v>
      </c>
      <c r="B1604" t="str">
        <f>"1971-06-22"</f>
        <v>1971-06-22</v>
      </c>
      <c r="C1604" t="str">
        <f>"80 16 415065"</f>
        <v>80 16 415065</v>
      </c>
      <c r="D1604" t="str">
        <f>"5313100872057814"</f>
        <v>5313100872057814</v>
      </c>
      <c r="E1604" t="str">
        <f>"2020-10-31"</f>
        <v>2020-10-31</v>
      </c>
      <c r="F1604" t="str">
        <f>"+"</f>
        <v>+</v>
      </c>
      <c r="G1604" t="str">
        <f>"+"</f>
        <v>+</v>
      </c>
      <c r="H1604" t="str">
        <f>"40817810616991391311"</f>
        <v>40817810616991391311</v>
      </c>
      <c r="I1604" t="str">
        <f>"8598"</f>
        <v>8598</v>
      </c>
      <c r="J1604" t="str">
        <f>"0384"</f>
        <v>0384</v>
      </c>
      <c r="K1604" t="str">
        <f>"100000.00"</f>
        <v>100000.00</v>
      </c>
      <c r="L1604" t="str">
        <f>"453100 РЕСП БАШКОРТОСТАН   Г СТЕРЛИТАМАК   ПР-КТ ЛЕНИНА д. 38"</f>
        <v>453100 РЕСП БАШКОРТОСТАН   Г СТЕРЛИТАМАК   ПР-КТ ЛЕНИНА д. 38</v>
      </c>
      <c r="M1604" t="str">
        <f t="shared" si="276"/>
        <v>2019-08-24</v>
      </c>
      <c r="N1604" t="str">
        <f>"ООО ОБЩЕПИТ 3"</f>
        <v>ООО ОБЩЕПИТ 3</v>
      </c>
      <c r="O1604" t="str">
        <f>"453100"</f>
        <v>453100</v>
      </c>
      <c r="P1604" t="str">
        <f>"РЕСП БАШКОРТОСТАН"</f>
        <v>РЕСП БАШКОРТОСТАН</v>
      </c>
      <c r="Q1604" t="str">
        <f>""</f>
        <v/>
      </c>
      <c r="R1604" t="str">
        <f>"Г СТЕРЛИТАМАК"</f>
        <v>Г СТЕРЛИТАМАК</v>
      </c>
      <c r="S1604" t="str">
        <f>""</f>
        <v/>
      </c>
      <c r="T1604" t="str">
        <f>"УЛ БЛЮХЕРА"</f>
        <v>УЛ БЛЮХЕРА</v>
      </c>
      <c r="U1604" s="1" t="str">
        <f>"3"</f>
        <v>3</v>
      </c>
      <c r="V1604" s="1" t="str">
        <f>""</f>
        <v/>
      </c>
      <c r="W1604" s="1" t="str">
        <f>""</f>
        <v/>
      </c>
      <c r="X1604" s="1" t="str">
        <f>""</f>
        <v/>
      </c>
      <c r="Y1604" s="1" t="str">
        <f>"59"</f>
        <v>59</v>
      </c>
      <c r="Z1604" t="str">
        <f>""</f>
        <v/>
      </c>
      <c r="AA1604" t="str">
        <f>"9872410078"</f>
        <v>9872410078</v>
      </c>
      <c r="AB1604" t="str">
        <f>"9872410078"</f>
        <v>9872410078</v>
      </c>
      <c r="AC1604" t="str">
        <f>"9872410078"</f>
        <v>9872410078</v>
      </c>
      <c r="AD1604" t="str">
        <f>"9872410078"</f>
        <v>9872410078</v>
      </c>
      <c r="AE1604" t="str">
        <f>""</f>
        <v/>
      </c>
    </row>
    <row r="1605" spans="1:31" x14ac:dyDescent="0.45">
      <c r="A1605" t="str">
        <f>"АБРАМОВСКИХ ДЕНИС ВАЛЕРЬЕВИЧ"</f>
        <v>АБРАМОВСКИХ ДЕНИС ВАЛЕРЬЕВИЧ</v>
      </c>
      <c r="B1605" t="str">
        <f>"1977-07-23"</f>
        <v>1977-07-23</v>
      </c>
      <c r="C1605" t="str">
        <f>"65 17 401885"</f>
        <v>65 17 401885</v>
      </c>
      <c r="D1605" t="str">
        <f>"4276011654134465"</f>
        <v>4276011654134465</v>
      </c>
      <c r="E1605" t="str">
        <f>"2021-11-30"</f>
        <v>2021-11-30</v>
      </c>
      <c r="F1605" t="str">
        <f>"Y"</f>
        <v>Y</v>
      </c>
      <c r="G1605" t="str">
        <f t="shared" ref="G1605:G1610" si="277">"+"</f>
        <v>+</v>
      </c>
      <c r="H1605" t="str">
        <f>"40817810916991391312"</f>
        <v>40817810916991391312</v>
      </c>
      <c r="I1605" t="str">
        <f>"7003"</f>
        <v>7003</v>
      </c>
      <c r="J1605" t="str">
        <f>"0778"</f>
        <v>0778</v>
      </c>
      <c r="K1605" t="str">
        <f>"11000.00"</f>
        <v>11000.00</v>
      </c>
      <c r="L1605" t="str">
        <f>"620000 ОБЛ СВЕРДЛОВСКАЯ Р-Н ТУРИНСКИЙ   С ЛИПОВСКОЕ   д. 0"</f>
        <v>620000 ОБЛ СВЕРДЛОВСКАЯ Р-Н ТУРИНСКИЙ   С ЛИПОВСКОЕ   д. 0</v>
      </c>
      <c r="M1605" t="str">
        <f t="shared" si="276"/>
        <v>2019-08-24</v>
      </c>
      <c r="N1605" t="str">
        <f>"ООО ДЕРЕВЯГА"</f>
        <v>ООО ДЕРЕВЯГА</v>
      </c>
      <c r="O1605" t="str">
        <f>"620000"</f>
        <v>620000</v>
      </c>
      <c r="P1605" t="str">
        <f>"ОБЛ СВЕРДЛОВСКАЯ"</f>
        <v>ОБЛ СВЕРДЛОВСКАЯ</v>
      </c>
      <c r="Q1605" t="str">
        <f>"Р-Н ТАЛИЦКИЙ"</f>
        <v>Р-Н ТАЛИЦКИЙ</v>
      </c>
      <c r="R1605" t="str">
        <f>""</f>
        <v/>
      </c>
      <c r="S1605" t="str">
        <f>"Д ТРЕХОЗЕРНАЯ"</f>
        <v>Д ТРЕХОЗЕРНАЯ</v>
      </c>
      <c r="T1605" t="str">
        <f>"УЛ МИРА"</f>
        <v>УЛ МИРА</v>
      </c>
      <c r="U1605" s="1" t="str">
        <f>"8"</f>
        <v>8</v>
      </c>
      <c r="V1605" s="1" t="str">
        <f>""</f>
        <v/>
      </c>
      <c r="W1605" s="1" t="str">
        <f>""</f>
        <v/>
      </c>
      <c r="X1605" s="1" t="str">
        <f>""</f>
        <v/>
      </c>
      <c r="Y1605" s="1" t="str">
        <f>"7"</f>
        <v>7</v>
      </c>
      <c r="Z1605" t="str">
        <f>"9221403725"</f>
        <v>9221403725</v>
      </c>
      <c r="AA1605" t="str">
        <f>"9221403725"</f>
        <v>9221403725</v>
      </c>
      <c r="AB1605" t="str">
        <f>"9221403725"</f>
        <v>9221403725</v>
      </c>
      <c r="AC1605" t="str">
        <f>"9221403725"</f>
        <v>9221403725</v>
      </c>
      <c r="AD1605" t="str">
        <f>"9221403725"</f>
        <v>9221403725</v>
      </c>
      <c r="AE1605" t="str">
        <f>"9221403725"</f>
        <v>9221403725</v>
      </c>
    </row>
    <row r="1606" spans="1:31" x14ac:dyDescent="0.45">
      <c r="A1606" t="str">
        <f>"МАЛАХОВА НАТАЛЬЯ АЛЕКСАНДРОВНА"</f>
        <v>МАЛАХОВА НАТАЛЬЯ АЛЕКСАНДРОВНА</v>
      </c>
      <c r="B1606" t="str">
        <f>"1977-01-17"</f>
        <v>1977-01-17</v>
      </c>
      <c r="C1606" t="str">
        <f>"80 01 064487"</f>
        <v>80 01 064487</v>
      </c>
      <c r="D1606" t="str">
        <f>"5469011614545416"</f>
        <v>5469011614545416</v>
      </c>
      <c r="E1606" t="str">
        <f>"2022-07-31"</f>
        <v>2022-07-31</v>
      </c>
      <c r="F1606" t="str">
        <f>"+"</f>
        <v>+</v>
      </c>
      <c r="G1606" t="str">
        <f t="shared" si="277"/>
        <v>+</v>
      </c>
      <c r="H1606" t="str">
        <f>"40817810216991391313"</f>
        <v>40817810216991391313</v>
      </c>
      <c r="I1606" t="str">
        <f>"8598"</f>
        <v>8598</v>
      </c>
      <c r="J1606" t="str">
        <f>"0700"</f>
        <v>0700</v>
      </c>
      <c r="K1606" t="str">
        <f>"135000.00"</f>
        <v>135000.00</v>
      </c>
      <c r="L1606" t="str">
        <f>"450000 РЕСП БАШКОРТОСТАН   Г САЛАВАТ   УЛ К. МАРКСА д. 10"</f>
        <v>450000 РЕСП БАШКОРТОСТАН   Г САЛАВАТ   УЛ К. МАРКСА д. 10</v>
      </c>
      <c r="M1606" t="str">
        <f t="shared" si="276"/>
        <v>2019-08-24</v>
      </c>
      <c r="N1606" t="str">
        <f>"УПФР Г САЛАВАТ"</f>
        <v>УПФР Г САЛАВАТ</v>
      </c>
      <c r="O1606" t="str">
        <f>"450000"</f>
        <v>450000</v>
      </c>
      <c r="P1606" t="str">
        <f>"РЕСП БАШКОРТОСТАН"</f>
        <v>РЕСП БАШКОРТОСТАН</v>
      </c>
      <c r="Q1606" t="str">
        <f>""</f>
        <v/>
      </c>
      <c r="R1606" t="str">
        <f>"Г САЛАВАТ"</f>
        <v>Г САЛАВАТ</v>
      </c>
      <c r="S1606" t="str">
        <f>""</f>
        <v/>
      </c>
      <c r="T1606" t="str">
        <f>"УЛ ГУБКИНА"</f>
        <v>УЛ ГУБКИНА</v>
      </c>
      <c r="U1606" s="1" t="str">
        <f>"28"</f>
        <v>28</v>
      </c>
      <c r="V1606" s="1" t="str">
        <f>""</f>
        <v/>
      </c>
      <c r="W1606" s="1" t="str">
        <f>""</f>
        <v/>
      </c>
      <c r="X1606" s="1" t="str">
        <f>""</f>
        <v/>
      </c>
      <c r="Y1606" s="1" t="str">
        <f>"177"</f>
        <v>177</v>
      </c>
      <c r="Z1606" t="str">
        <f>""</f>
        <v/>
      </c>
      <c r="AA1606" t="str">
        <f>"3476349668"</f>
        <v>3476349668</v>
      </c>
      <c r="AB1606" t="str">
        <f>"9875868333"</f>
        <v>9875868333</v>
      </c>
      <c r="AC1606" t="str">
        <f>"9871444064"</f>
        <v>9871444064</v>
      </c>
      <c r="AD1606" t="str">
        <f>"9875868333"</f>
        <v>9875868333</v>
      </c>
      <c r="AE1606" t="str">
        <f>""</f>
        <v/>
      </c>
    </row>
    <row r="1607" spans="1:31" x14ac:dyDescent="0.45">
      <c r="A1607" t="str">
        <f>"САФАРОВ МИРБОЗ САРБОЗОВИЧ"</f>
        <v>САФАРОВ МИРБОЗ САРБОЗОВИЧ</v>
      </c>
      <c r="B1607" t="str">
        <f>"1964-11-07"</f>
        <v>1964-11-07</v>
      </c>
      <c r="C1607" t="str">
        <f>"65 13 583859"</f>
        <v>65 13 583859</v>
      </c>
      <c r="D1607" t="str">
        <f>"4854630305754379"</f>
        <v>4854630305754379</v>
      </c>
      <c r="E1607" t="str">
        <f>"2020-11-30"</f>
        <v>2020-11-30</v>
      </c>
      <c r="F1607" t="str">
        <f>"+"</f>
        <v>+</v>
      </c>
      <c r="G1607" t="str">
        <f t="shared" si="277"/>
        <v>+</v>
      </c>
      <c r="H1607" t="str">
        <f>"40817810716991391334"</f>
        <v>40817810716991391334</v>
      </c>
      <c r="I1607" t="str">
        <f>"7003"</f>
        <v>7003</v>
      </c>
      <c r="J1607" t="str">
        <f>"0805"</f>
        <v>0805</v>
      </c>
      <c r="K1607" t="str">
        <f>"22000.00"</f>
        <v>22000.00</v>
      </c>
      <c r="L1607" t="str">
        <f>"620000 ОБЛ СВЕРДЛОВСКАЯ   Г ЕКАТЕРИНБУРГ   ПР-КТ КОСМОНАВТОВ д. 11Б"</f>
        <v>620000 ОБЛ СВЕРДЛОВСКАЯ   Г ЕКАТЕРИНБУРГ   ПР-КТ КОСМОНАВТОВ д. 11Б</v>
      </c>
      <c r="M1607" t="str">
        <f t="shared" si="276"/>
        <v>2019-08-24</v>
      </c>
      <c r="N1607" t="str">
        <f>"16161922"</f>
        <v>16161922</v>
      </c>
      <c r="O1607" t="str">
        <f>"620102"</f>
        <v>620102</v>
      </c>
      <c r="P1607" t="str">
        <f>"ОБЛ СВЕРДЛОВСКАЯ"</f>
        <v>ОБЛ СВЕРДЛОВСКАЯ</v>
      </c>
      <c r="Q1607" t="str">
        <f>""</f>
        <v/>
      </c>
      <c r="R1607" t="str">
        <f>"Г ЕКАТЕРИНБУРГ"</f>
        <v>Г ЕКАТЕРИНБУРГ</v>
      </c>
      <c r="S1607" t="str">
        <f>""</f>
        <v/>
      </c>
      <c r="T1607" t="str">
        <f>"УЛ ПОСАДСКАЯ"</f>
        <v>УЛ ПОСАДСКАЯ</v>
      </c>
      <c r="U1607" s="1" t="str">
        <f>"54"</f>
        <v>54</v>
      </c>
      <c r="V1607" s="1" t="str">
        <f>""</f>
        <v/>
      </c>
      <c r="W1607" s="1" t="str">
        <f>""</f>
        <v/>
      </c>
      <c r="X1607" s="1" t="str">
        <f>""</f>
        <v/>
      </c>
      <c r="Y1607" s="1" t="str">
        <f>"60"</f>
        <v>60</v>
      </c>
      <c r="Z1607" t="str">
        <f>""</f>
        <v/>
      </c>
      <c r="AA1607" t="str">
        <f>"9961833454"</f>
        <v>9961833454</v>
      </c>
      <c r="AB1607" t="str">
        <f>"9961833454"</f>
        <v>9961833454</v>
      </c>
      <c r="AC1607" t="str">
        <f>"9126380356"</f>
        <v>9126380356</v>
      </c>
      <c r="AD1607" t="str">
        <f>"9667967474"</f>
        <v>9667967474</v>
      </c>
      <c r="AE1607" t="str">
        <f>""</f>
        <v/>
      </c>
    </row>
    <row r="1608" spans="1:31" x14ac:dyDescent="0.45">
      <c r="A1608" t="str">
        <f>"ШАЕМОВА ЗУХРА НУРИХАНОВНА"</f>
        <v>ШАЕМОВА ЗУХРА НУРИХАНОВНА</v>
      </c>
      <c r="B1608" t="str">
        <f>"1964-03-22"</f>
        <v>1964-03-22</v>
      </c>
      <c r="C1608" t="str">
        <f>"80 08 764617"</f>
        <v>80 08 764617</v>
      </c>
      <c r="D1608" t="str">
        <f>"4276011629972684"</f>
        <v>4276011629972684</v>
      </c>
      <c r="E1608" t="str">
        <f>"2021-10-31"</f>
        <v>2021-10-31</v>
      </c>
      <c r="F1608" t="str">
        <f>"Y"</f>
        <v>Y</v>
      </c>
      <c r="G1608" t="str">
        <f t="shared" si="277"/>
        <v>+</v>
      </c>
      <c r="H1608" t="str">
        <f>"40817810016991391335"</f>
        <v>40817810016991391335</v>
      </c>
      <c r="I1608" t="str">
        <f>"8598"</f>
        <v>8598</v>
      </c>
      <c r="J1608" t="str">
        <f>"0606"</f>
        <v>0606</v>
      </c>
      <c r="K1608" t="str">
        <f>"120000.00"</f>
        <v>120000.00</v>
      </c>
      <c r="L1608" t="str">
        <f>"450000 РЕСП БАШКОРТОСТАН   Г АГИДЕЛЬ   УЛ МИРА д. 6"</f>
        <v>450000 РЕСП БАШКОРТОСТАН   Г АГИДЕЛЬ   УЛ МИРА д. 6</v>
      </c>
      <c r="M1608" t="str">
        <f t="shared" si="276"/>
        <v>2019-08-24</v>
      </c>
      <c r="N1608" t="str">
        <f>"УПФ РБ В Г. АГИДЕЛЬ"</f>
        <v>УПФ РБ В Г. АГИДЕЛЬ</v>
      </c>
      <c r="O1608" t="str">
        <f>"450000"</f>
        <v>450000</v>
      </c>
      <c r="P1608" t="str">
        <f>"РЕСП БАШКОРТОСТАН"</f>
        <v>РЕСП БАШКОРТОСТАН</v>
      </c>
      <c r="Q1608" t="str">
        <f>""</f>
        <v/>
      </c>
      <c r="R1608" t="str">
        <f>"Г АГИДЕЛЬ"</f>
        <v>Г АГИДЕЛЬ</v>
      </c>
      <c r="S1608" t="str">
        <f>""</f>
        <v/>
      </c>
      <c r="T1608" t="str">
        <f>"УЛ ПЕРВЫХ СТРОИТЕЛЕЙ"</f>
        <v>УЛ ПЕРВЫХ СТРОИТЕЛЕЙ</v>
      </c>
      <c r="U1608" s="1" t="str">
        <f>"5"</f>
        <v>5</v>
      </c>
      <c r="V1608" s="1" t="str">
        <f>""</f>
        <v/>
      </c>
      <c r="W1608" s="1" t="str">
        <f>""</f>
        <v/>
      </c>
      <c r="X1608" s="1" t="str">
        <f>""</f>
        <v/>
      </c>
      <c r="Y1608" s="1" t="str">
        <f>"25"</f>
        <v>25</v>
      </c>
      <c r="Z1608" t="str">
        <f>""</f>
        <v/>
      </c>
      <c r="AA1608" t="str">
        <f>"9177871826"</f>
        <v>9177871826</v>
      </c>
      <c r="AB1608" t="str">
        <f>"9174269901"</f>
        <v>9174269901</v>
      </c>
      <c r="AC1608" t="str">
        <f>"9177871826"</f>
        <v>9177871826</v>
      </c>
      <c r="AD1608" t="str">
        <f>"9174269901"</f>
        <v>9174269901</v>
      </c>
      <c r="AE1608" t="str">
        <f>""</f>
        <v/>
      </c>
    </row>
    <row r="1609" spans="1:31" x14ac:dyDescent="0.45">
      <c r="A1609" t="str">
        <f>"ХАРИСОВ ИЛЬДАР ФАНИЛЬЕВИЧ"</f>
        <v>ХАРИСОВ ИЛЬДАР ФАНИЛЬЕВИЧ</v>
      </c>
      <c r="B1609" t="str">
        <f>"1970-06-30"</f>
        <v>1970-06-30</v>
      </c>
      <c r="C1609" t="str">
        <f>"80 15 233380"</f>
        <v>80 15 233380</v>
      </c>
      <c r="D1609" t="str">
        <f>"4279011654671158"</f>
        <v>4279011654671158</v>
      </c>
      <c r="E1609" t="str">
        <f t="shared" ref="E1609:E1622" si="278">"2021-05-31"</f>
        <v>2021-05-31</v>
      </c>
      <c r="F1609" t="str">
        <f t="shared" ref="F1609:F1623" si="279">"+"</f>
        <v>+</v>
      </c>
      <c r="G1609" t="str">
        <f t="shared" si="277"/>
        <v>+</v>
      </c>
      <c r="H1609" t="str">
        <f>"40817810916991391354"</f>
        <v>40817810916991391354</v>
      </c>
      <c r="I1609" t="str">
        <f>"8598"</f>
        <v>8598</v>
      </c>
      <c r="J1609" t="str">
        <f>"0643"</f>
        <v>0643</v>
      </c>
      <c r="K1609" t="str">
        <f>"370000.00"</f>
        <v>370000.00</v>
      </c>
      <c r="L1609" t="str">
        <f>"630000 ОБЛ ТЮМЕНСКАЯ   Г ГУБКИНСКИЙ   УЛ ПРОМЗОНА д. 10"</f>
        <v>630000 ОБЛ ТЮМЕНСКАЯ   Г ГУБКИНСКИЙ   УЛ ПРОМЗОНА д. 10</v>
      </c>
      <c r="M1609" t="str">
        <f t="shared" si="276"/>
        <v>2019-08-24</v>
      </c>
      <c r="N1609" t="str">
        <f>"ЗАО СП МЕКАМИНЕФТЬ"</f>
        <v>ЗАО СП МЕКАМИНЕФТЬ</v>
      </c>
      <c r="O1609" t="str">
        <f>"450000"</f>
        <v>450000</v>
      </c>
      <c r="P1609" t="str">
        <f>"РЕСП БАШКОРТОСТАН"</f>
        <v>РЕСП БАШКОРТОСТАН</v>
      </c>
      <c r="Q1609" t="str">
        <f>""</f>
        <v/>
      </c>
      <c r="R1609" t="str">
        <f>"Г ОКТЯБРЬСКИЙ"</f>
        <v>Г ОКТЯБРЬСКИЙ</v>
      </c>
      <c r="S1609" t="str">
        <f>""</f>
        <v/>
      </c>
      <c r="T1609" t="str">
        <f>"УЛ САДОВОЕ КОЛЬЦО"</f>
        <v>УЛ САДОВОЕ КОЛЬЦО</v>
      </c>
      <c r="U1609" s="1" t="str">
        <f>"21"</f>
        <v>21</v>
      </c>
      <c r="V1609" s="1" t="str">
        <f>""</f>
        <v/>
      </c>
      <c r="W1609" s="1" t="str">
        <f>""</f>
        <v/>
      </c>
      <c r="X1609" s="1" t="str">
        <f>""</f>
        <v/>
      </c>
      <c r="Y1609" s="1" t="str">
        <f>"77"</f>
        <v>77</v>
      </c>
      <c r="Z1609" t="str">
        <f>"3493652193"</f>
        <v>3493652193</v>
      </c>
      <c r="AA1609" t="str">
        <f>"3476765377"</f>
        <v>3476765377</v>
      </c>
      <c r="AB1609" t="str">
        <f>"9279201779"</f>
        <v>9279201779</v>
      </c>
      <c r="AC1609" t="str">
        <f>"3476765377"</f>
        <v>3476765377</v>
      </c>
      <c r="AD1609" t="str">
        <f>"9279201779"</f>
        <v>9279201779</v>
      </c>
      <c r="AE1609" t="str">
        <f>"3493652193"</f>
        <v>3493652193</v>
      </c>
    </row>
    <row r="1610" spans="1:31" x14ac:dyDescent="0.45">
      <c r="A1610" t="str">
        <f>"ЯРМУХАМЕТОВА НУРЗИДА ТАЛГАТОВНА"</f>
        <v>ЯРМУХАМЕТОВА НУРЗИДА ТАЛГАТОВНА</v>
      </c>
      <c r="B1610" t="str">
        <f>"1982-07-23"</f>
        <v>1982-07-23</v>
      </c>
      <c r="C1610" t="str">
        <f>"80 15 320668"</f>
        <v>80 15 320668</v>
      </c>
      <c r="D1610" t="str">
        <f>"4279011694720510"</f>
        <v>4279011694720510</v>
      </c>
      <c r="E1610" t="str">
        <f t="shared" si="278"/>
        <v>2021-05-31</v>
      </c>
      <c r="F1610" t="str">
        <f t="shared" si="279"/>
        <v>+</v>
      </c>
      <c r="G1610" t="str">
        <f t="shared" si="277"/>
        <v>+</v>
      </c>
      <c r="H1610" t="str">
        <f>"40817810616991391405"</f>
        <v>40817810616991391405</v>
      </c>
      <c r="I1610" t="str">
        <f>"8598"</f>
        <v>8598</v>
      </c>
      <c r="J1610" t="str">
        <f>"0727"</f>
        <v>0727</v>
      </c>
      <c r="K1610" t="str">
        <f>"37000.00"</f>
        <v>37000.00</v>
      </c>
      <c r="L1610" t="str">
        <f>"450000 РЕСП БАШКОРТОСТАН     С 1-Е ТУРКМЕНОВО УЛ Г.СУЛЕЙМАНОВО д. 47"</f>
        <v>450000 РЕСП БАШКОРТОСТАН     С 1-Е ТУРКМЕНОВО УЛ Г.СУЛЕЙМАНОВО д. 47</v>
      </c>
      <c r="M1610" t="str">
        <f t="shared" si="276"/>
        <v>2019-08-24</v>
      </c>
      <c r="N1610" t="str">
        <f>"--"</f>
        <v>--</v>
      </c>
      <c r="O1610" t="str">
        <f>"450000"</f>
        <v>450000</v>
      </c>
      <c r="P1610" t="str">
        <f>"РЕСП БАШКОРТОСТАН"</f>
        <v>РЕСП БАШКОРТОСТАН</v>
      </c>
      <c r="Q1610" t="str">
        <f>""</f>
        <v/>
      </c>
      <c r="R1610" t="str">
        <f>""</f>
        <v/>
      </c>
      <c r="S1610" t="str">
        <f>"С 1-Е ТУРКМЕНОВО"</f>
        <v>С 1-Е ТУРКМЕНОВО</v>
      </c>
      <c r="T1610" t="str">
        <f>"УЛ Г.СУЛЕЙМАНОВА"</f>
        <v>УЛ Г.СУЛЕЙМАНОВА</v>
      </c>
      <c r="U1610" s="1" t="str">
        <f>"47"</f>
        <v>47</v>
      </c>
      <c r="V1610" s="1" t="str">
        <f>""</f>
        <v/>
      </c>
      <c r="W1610" s="1" t="str">
        <f>""</f>
        <v/>
      </c>
      <c r="X1610" s="1" t="str">
        <f>""</f>
        <v/>
      </c>
      <c r="Y1610" s="1" t="str">
        <f>""</f>
        <v/>
      </c>
      <c r="Z1610" t="str">
        <f>"9656680046"</f>
        <v>9656680046</v>
      </c>
      <c r="AA1610" t="str">
        <f>"9656680046"</f>
        <v>9656680046</v>
      </c>
      <c r="AB1610" t="str">
        <f>"9656680046"</f>
        <v>9656680046</v>
      </c>
      <c r="AC1610" t="str">
        <f>"9656680046"</f>
        <v>9656680046</v>
      </c>
      <c r="AD1610" t="str">
        <f>"9656680046"</f>
        <v>9656680046</v>
      </c>
      <c r="AE1610" t="str">
        <f>"9656680046"</f>
        <v>9656680046</v>
      </c>
    </row>
    <row r="1611" spans="1:31" x14ac:dyDescent="0.45">
      <c r="A1611" t="str">
        <f>"БОТВИН АЛЕКСАНДР НИКОЛАЕВИЧ"</f>
        <v>БОТВИН АЛЕКСАНДР НИКОЛАЕВИЧ</v>
      </c>
      <c r="B1611" t="str">
        <f>"1990-06-27"</f>
        <v>1990-06-27</v>
      </c>
      <c r="C1611" t="str">
        <f>"75 18 015457"</f>
        <v>75 18 015457</v>
      </c>
      <c r="D1611" t="str">
        <f>"4279011646249303"</f>
        <v>4279011646249303</v>
      </c>
      <c r="E1611" t="str">
        <f t="shared" si="278"/>
        <v>2021-05-31</v>
      </c>
      <c r="F1611" t="str">
        <f t="shared" si="279"/>
        <v>+</v>
      </c>
      <c r="G1611" t="str">
        <f>"W"</f>
        <v>W</v>
      </c>
      <c r="H1611" t="str">
        <f>"40817810916991391406"</f>
        <v>40817810916991391406</v>
      </c>
      <c r="I1611" t="str">
        <f>"8597"</f>
        <v>8597</v>
      </c>
      <c r="J1611" t="str">
        <f>"0241"</f>
        <v>0241</v>
      </c>
      <c r="K1611" t="str">
        <f>"15000.00"</f>
        <v>15000.00</v>
      </c>
      <c r="L1611" t="str">
        <f>"454000 ОБЛ ЧЕЛЯБИНСКАЯ   Г ЧЕЛЯБИНСК   УЛ ТАНКИСТОВ д. 177 стр. А"</f>
        <v>454000 ОБЛ ЧЕЛЯБИНСКАЯ   Г ЧЕЛЯБИНСК   УЛ ТАНКИСТОВ д. 177 стр. А</v>
      </c>
      <c r="M1611" t="str">
        <f t="shared" si="276"/>
        <v>2019-08-24</v>
      </c>
      <c r="N1611" t="str">
        <f>"ООО ФРВАРД"</f>
        <v>ООО ФРВАРД</v>
      </c>
      <c r="O1611" t="str">
        <f>"454000"</f>
        <v>454000</v>
      </c>
      <c r="P1611" t="str">
        <f>"ОБЛ ЧЕЛЯБИНСКАЯ"</f>
        <v>ОБЛ ЧЕЛЯБИНСКАЯ</v>
      </c>
      <c r="Q1611" t="str">
        <f>""</f>
        <v/>
      </c>
      <c r="R1611" t="str">
        <f>"Г ЧЕЛЯБИНСК"</f>
        <v>Г ЧЕЛЯБИНСК</v>
      </c>
      <c r="S1611" t="str">
        <f>""</f>
        <v/>
      </c>
      <c r="T1611" t="str">
        <f>"УЛ САЛЮТНАЯ"</f>
        <v>УЛ САЛЮТНАЯ</v>
      </c>
      <c r="U1611" s="1" t="str">
        <f>"10"</f>
        <v>10</v>
      </c>
      <c r="V1611" s="1" t="str">
        <f>""</f>
        <v/>
      </c>
      <c r="W1611" s="1" t="str">
        <f>""</f>
        <v/>
      </c>
      <c r="X1611" s="1" t="str">
        <f>""</f>
        <v/>
      </c>
      <c r="Y1611" s="1" t="str">
        <f>"104"</f>
        <v>104</v>
      </c>
      <c r="Z1611" t="str">
        <f>""</f>
        <v/>
      </c>
      <c r="AA1611" t="str">
        <f>"9995836037"</f>
        <v>9995836037</v>
      </c>
      <c r="AB1611" t="str">
        <f>"9995836031"</f>
        <v>9995836031</v>
      </c>
      <c r="AC1611" t="str">
        <f>"3517771782"</f>
        <v>3517771782</v>
      </c>
      <c r="AD1611" t="str">
        <f>"9995836031"</f>
        <v>9995836031</v>
      </c>
      <c r="AE1611" t="str">
        <f>""</f>
        <v/>
      </c>
    </row>
    <row r="1612" spans="1:31" x14ac:dyDescent="0.45">
      <c r="A1612" t="str">
        <f>"СИБАГАТУЛЛИН ДМИТРИЙ ГРИГОРЬЕВИЧ"</f>
        <v>СИБАГАТУЛЛИН ДМИТРИЙ ГРИГОРЬЕВИЧ</v>
      </c>
      <c r="B1612" t="str">
        <f>"1988-11-21"</f>
        <v>1988-11-21</v>
      </c>
      <c r="C1612" t="str">
        <f>"75 09 607063"</f>
        <v>75 09 607063</v>
      </c>
      <c r="D1612" t="str">
        <f>"4279011661666100"</f>
        <v>4279011661666100</v>
      </c>
      <c r="E1612" t="str">
        <f t="shared" si="278"/>
        <v>2021-05-31</v>
      </c>
      <c r="F1612" t="str">
        <f t="shared" si="279"/>
        <v>+</v>
      </c>
      <c r="G1612" t="str">
        <f>"+"</f>
        <v>+</v>
      </c>
      <c r="H1612" t="str">
        <f>"40817810216991391407"</f>
        <v>40817810216991391407</v>
      </c>
      <c r="I1612" t="str">
        <f>"8597"</f>
        <v>8597</v>
      </c>
      <c r="J1612" t="str">
        <f>"0137"</f>
        <v>0137</v>
      </c>
      <c r="K1612" t="str">
        <f>"235000.00"</f>
        <v>235000.00</v>
      </c>
      <c r="L1612" t="str">
        <f>"454000 ОБЛ ЧЕЛЯБИНСКАЯ   Г ЧЕЛЯБИНСК   УЛ ТИМИРЯЗЕВА д. 26"</f>
        <v>454000 ОБЛ ЧЕЛЯБИНСКАЯ   Г ЧЕЛЯБИНСК   УЛ ТИМИРЯЗЕВА д. 26</v>
      </c>
      <c r="M1612" t="str">
        <f t="shared" si="276"/>
        <v>2019-08-24</v>
      </c>
      <c r="N1612" t="str">
        <f>"ООО ИНТЕРНЕТ РЕШЕНИЯ"</f>
        <v>ООО ИНТЕРНЕТ РЕШЕНИЯ</v>
      </c>
      <c r="O1612" t="str">
        <f>"454000"</f>
        <v>454000</v>
      </c>
      <c r="P1612" t="str">
        <f>"ОБЛ ЧЕЛЯБИНСКАЯ"</f>
        <v>ОБЛ ЧЕЛЯБИНСКАЯ</v>
      </c>
      <c r="Q1612" t="str">
        <f>""</f>
        <v/>
      </c>
      <c r="R1612" t="str">
        <f>"Г ЧЕЛЯБИНСК"</f>
        <v>Г ЧЕЛЯБИНСК</v>
      </c>
      <c r="S1612" t="str">
        <f>""</f>
        <v/>
      </c>
      <c r="T1612" t="str">
        <f>"УЛ МОЛДАВСКАЯ"</f>
        <v>УЛ МОЛДАВСКАЯ</v>
      </c>
      <c r="U1612" s="1" t="str">
        <f>"19"</f>
        <v>19</v>
      </c>
      <c r="V1612" s="1" t="str">
        <f>""</f>
        <v/>
      </c>
      <c r="W1612" s="1" t="str">
        <f>""</f>
        <v/>
      </c>
      <c r="X1612" s="1" t="str">
        <f>""</f>
        <v/>
      </c>
      <c r="Y1612" s="1" t="str">
        <f>"14"</f>
        <v>14</v>
      </c>
      <c r="Z1612" t="str">
        <f>"9821019776"</f>
        <v>9821019776</v>
      </c>
      <c r="AA1612" t="str">
        <f>"9085740276"</f>
        <v>9085740276</v>
      </c>
      <c r="AB1612" t="str">
        <f>"9085740276"</f>
        <v>9085740276</v>
      </c>
      <c r="AC1612" t="str">
        <f>"9085740276"</f>
        <v>9085740276</v>
      </c>
      <c r="AD1612" t="str">
        <f>"9085740276"</f>
        <v>9085740276</v>
      </c>
      <c r="AE1612" t="str">
        <f>"9821019776"</f>
        <v>9821019776</v>
      </c>
    </row>
    <row r="1613" spans="1:31" x14ac:dyDescent="0.45">
      <c r="A1613" t="str">
        <f>"ШАДРИН ДМИТРИЙ АНДРЕЕВИЧ"</f>
        <v>ШАДРИН ДМИТРИЙ АНДРЕЕВИЧ</v>
      </c>
      <c r="B1613" t="str">
        <f>"1988-03-19"</f>
        <v>1988-03-19</v>
      </c>
      <c r="C1613" t="str">
        <f>"65 11 268036"</f>
        <v>65 11 268036</v>
      </c>
      <c r="D1613" t="str">
        <f>"4279011655443318"</f>
        <v>4279011655443318</v>
      </c>
      <c r="E1613" t="str">
        <f t="shared" si="278"/>
        <v>2021-05-31</v>
      </c>
      <c r="F1613" t="str">
        <f t="shared" si="279"/>
        <v>+</v>
      </c>
      <c r="G1613" t="str">
        <f>"W"</f>
        <v>W</v>
      </c>
      <c r="H1613" t="str">
        <f>"40817810816991391409"</f>
        <v>40817810816991391409</v>
      </c>
      <c r="I1613" t="str">
        <f>"7003"</f>
        <v>7003</v>
      </c>
      <c r="J1613" t="str">
        <f>"0424"</f>
        <v>0424</v>
      </c>
      <c r="K1613" t="str">
        <f>"18000.00"</f>
        <v>18000.00</v>
      </c>
      <c r="L1613" t="str">
        <f>"620000 ОБЛ СВЕРДЛОВСКАЯ   Г ЕКАТЕРИНБУРГ   УЛ ИНДУСТРИИ д. 51"</f>
        <v>620000 ОБЛ СВЕРДЛОВСКАЯ   Г ЕКАТЕРИНБУРГ   УЛ ИНДУСТРИИ д. 51</v>
      </c>
      <c r="M1613" t="str">
        <f t="shared" si="276"/>
        <v>2019-08-24</v>
      </c>
      <c r="N1613" t="str">
        <f>"ООО ГРИН ЛАЙТ ИНЖИНИРИНГ"</f>
        <v>ООО ГРИН ЛАЙТ ИНЖИНИРИНГ</v>
      </c>
      <c r="O1613" t="str">
        <f>"620000"</f>
        <v>620000</v>
      </c>
      <c r="P1613" t="str">
        <f>"ОБЛ СВЕРДЛОВСКАЯ"</f>
        <v>ОБЛ СВЕРДЛОВСКАЯ</v>
      </c>
      <c r="Q1613" t="str">
        <f>""</f>
        <v/>
      </c>
      <c r="R1613" t="str">
        <f>"Г КРАСНОУФИМСК"</f>
        <v>Г КРАСНОУФИМСК</v>
      </c>
      <c r="S1613" t="str">
        <f>""</f>
        <v/>
      </c>
      <c r="T1613" t="str">
        <f>"УЛ МОНТАЖНИКОВ"</f>
        <v>УЛ МОНТАЖНИКОВ</v>
      </c>
      <c r="U1613" s="1" t="str">
        <f>"6"</f>
        <v>6</v>
      </c>
      <c r="V1613" s="1" t="str">
        <f>""</f>
        <v/>
      </c>
      <c r="W1613" s="1" t="str">
        <f>""</f>
        <v/>
      </c>
      <c r="X1613" s="1" t="str">
        <f>""</f>
        <v/>
      </c>
      <c r="Y1613" s="1" t="str">
        <f>""</f>
        <v/>
      </c>
      <c r="Z1613" t="str">
        <f>"9086328077"</f>
        <v>9086328077</v>
      </c>
      <c r="AA1613" t="str">
        <f>"9086328077"</f>
        <v>9086328077</v>
      </c>
      <c r="AB1613" t="str">
        <f>"9086328077"</f>
        <v>9086328077</v>
      </c>
      <c r="AC1613" t="str">
        <f>"9086328077"</f>
        <v>9086328077</v>
      </c>
      <c r="AD1613" t="str">
        <f>"9086328077"</f>
        <v>9086328077</v>
      </c>
      <c r="AE1613" t="str">
        <f>"9086328077"</f>
        <v>9086328077</v>
      </c>
    </row>
    <row r="1614" spans="1:31" x14ac:dyDescent="0.45">
      <c r="A1614" t="str">
        <f>"НАСЫРТДИНОВА РЕГИНА РАВИЛОВНА"</f>
        <v>НАСЫРТДИНОВА РЕГИНА РАВИЛОВНА</v>
      </c>
      <c r="B1614" t="str">
        <f>"1988-02-17"</f>
        <v>1988-02-17</v>
      </c>
      <c r="C1614" t="str">
        <f>"80 16 426517"</f>
        <v>80 16 426517</v>
      </c>
      <c r="D1614" t="str">
        <f>"4279011670860108"</f>
        <v>4279011670860108</v>
      </c>
      <c r="E1614" t="str">
        <f t="shared" si="278"/>
        <v>2021-05-31</v>
      </c>
      <c r="F1614" t="str">
        <f t="shared" si="279"/>
        <v>+</v>
      </c>
      <c r="G1614" t="str">
        <f>"+"</f>
        <v>+</v>
      </c>
      <c r="H1614" t="str">
        <f>"40817810516991391408"</f>
        <v>40817810516991391408</v>
      </c>
      <c r="I1614" t="str">
        <f>"7003"</f>
        <v>7003</v>
      </c>
      <c r="J1614" t="str">
        <f>"0501"</f>
        <v>0501</v>
      </c>
      <c r="K1614" t="str">
        <f>"110000.00"</f>
        <v>110000.00</v>
      </c>
      <c r="L1614" t="str">
        <f>"620000 ОБЛ СВЕРДЛОВСКАЯ   Г ЕКАТЕРИНБУРГ   УЛ МАШИНОСТРОИТЕЛЕЙ д. 19 офис 400"</f>
        <v>620000 ОБЛ СВЕРДЛОВСКАЯ   Г ЕКАТЕРИНБУРГ   УЛ МАШИНОСТРОИТЕЛЕЙ д. 19 офис 400</v>
      </c>
      <c r="M1614" t="str">
        <f t="shared" si="276"/>
        <v>2019-08-24</v>
      </c>
      <c r="N1614" t="str">
        <f>"ИП ТОКАРЕВА О.А."</f>
        <v>ИП ТОКАРЕВА О.А.</v>
      </c>
      <c r="O1614" t="str">
        <f>"450000"</f>
        <v>450000</v>
      </c>
      <c r="P1614" t="str">
        <f>"РЕСП БАШКОРТОСТАН"</f>
        <v>РЕСП БАШКОРТОСТАН</v>
      </c>
      <c r="Q1614" t="str">
        <f>""</f>
        <v/>
      </c>
      <c r="R1614" t="str">
        <f>""</f>
        <v/>
      </c>
      <c r="S1614" t="str">
        <f>"Д СТАРЫЙ АКБУЛЯК"</f>
        <v>Д СТАРЫЙ АКБУЛЯК</v>
      </c>
      <c r="T1614" t="str">
        <f>"УЛ САЛАВАТА"</f>
        <v>УЛ САЛАВАТА</v>
      </c>
      <c r="U1614" s="1" t="str">
        <f>"76"</f>
        <v>76</v>
      </c>
      <c r="V1614" s="1" t="str">
        <f>""</f>
        <v/>
      </c>
      <c r="W1614" s="1" t="str">
        <f>""</f>
        <v/>
      </c>
      <c r="X1614" s="1" t="str">
        <f>""</f>
        <v/>
      </c>
      <c r="Y1614" s="1" t="str">
        <f>""</f>
        <v/>
      </c>
      <c r="Z1614" t="str">
        <f>""</f>
        <v/>
      </c>
      <c r="AA1614" t="str">
        <f>"9655372377"</f>
        <v>9655372377</v>
      </c>
      <c r="AB1614" t="str">
        <f>"9120315477"</f>
        <v>9120315477</v>
      </c>
      <c r="AC1614" t="str">
        <f>"9655372377"</f>
        <v>9655372377</v>
      </c>
      <c r="AD1614" t="str">
        <f>"9655372377"</f>
        <v>9655372377</v>
      </c>
      <c r="AE1614" t="str">
        <f>""</f>
        <v/>
      </c>
    </row>
    <row r="1615" spans="1:31" x14ac:dyDescent="0.45">
      <c r="A1615" t="str">
        <f>"РЕПКИНА МИЛЕНА АЛЕКСЕЕВНА"</f>
        <v>РЕПКИНА МИЛЕНА АЛЕКСЕЕВНА</v>
      </c>
      <c r="B1615" t="str">
        <f>"1983-03-26"</f>
        <v>1983-03-26</v>
      </c>
      <c r="C1615" t="str">
        <f>"75 07 125349"</f>
        <v>75 07 125349</v>
      </c>
      <c r="D1615" t="str">
        <f>"4279011603046031"</f>
        <v>4279011603046031</v>
      </c>
      <c r="E1615" t="str">
        <f t="shared" si="278"/>
        <v>2021-05-31</v>
      </c>
      <c r="F1615" t="str">
        <f t="shared" si="279"/>
        <v>+</v>
      </c>
      <c r="G1615" t="str">
        <f>"+"</f>
        <v>+</v>
      </c>
      <c r="H1615" t="str">
        <f>"40817810216991391517"</f>
        <v>40817810216991391517</v>
      </c>
      <c r="I1615" t="str">
        <f>"8597"</f>
        <v>8597</v>
      </c>
      <c r="J1615" t="str">
        <f>"0557"</f>
        <v>0557</v>
      </c>
      <c r="K1615" t="str">
        <f>"12000.00"</f>
        <v>12000.00</v>
      </c>
      <c r="L1615" t="str">
        <f>"454000 ОБЛ ЧЕЛЯБИНСКАЯ   Г ЧЕЛЯБИНСК   Ш КОПЕЙСКОЕ д. 3"</f>
        <v>454000 ОБЛ ЧЕЛЯБИНСКАЯ   Г ЧЕЛЯБИНСК   Ш КОПЕЙСКОЕ д. 3</v>
      </c>
      <c r="M1615" t="str">
        <f t="shared" si="276"/>
        <v>2019-08-24</v>
      </c>
      <c r="N1615" t="str">
        <f>"ИП ЛОМКИНА ЕА"</f>
        <v>ИП ЛОМКИНА ЕА</v>
      </c>
      <c r="O1615" t="str">
        <f>"454000"</f>
        <v>454000</v>
      </c>
      <c r="P1615" t="str">
        <f>"ОБЛ ЧЕЛЯБИНСКАЯ"</f>
        <v>ОБЛ ЧЕЛЯБИНСКАЯ</v>
      </c>
      <c r="Q1615" t="str">
        <f>""</f>
        <v/>
      </c>
      <c r="R1615" t="str">
        <f>"Г ЧЕЛЯБИНСК"</f>
        <v>Г ЧЕЛЯБИНСК</v>
      </c>
      <c r="S1615" t="str">
        <f>""</f>
        <v/>
      </c>
      <c r="T1615" t="str">
        <f>"УЛ СВОБОДЫ"</f>
        <v>УЛ СВОБОДЫ</v>
      </c>
      <c r="U1615" s="1" t="str">
        <f>"96"</f>
        <v>96</v>
      </c>
      <c r="V1615" s="1" t="str">
        <f>""</f>
        <v/>
      </c>
      <c r="W1615" s="1" t="str">
        <f>""</f>
        <v/>
      </c>
      <c r="X1615" s="1" t="str">
        <f>""</f>
        <v/>
      </c>
      <c r="Y1615" s="1" t="str">
        <f>"42"</f>
        <v>42</v>
      </c>
      <c r="Z1615" t="str">
        <f>"3512259088"</f>
        <v>3512259088</v>
      </c>
      <c r="AA1615" t="str">
        <f>"9000706237"</f>
        <v>9000706237</v>
      </c>
      <c r="AB1615" t="str">
        <f>"9193370255"</f>
        <v>9193370255</v>
      </c>
      <c r="AC1615" t="str">
        <f>"9000706237"</f>
        <v>9000706237</v>
      </c>
      <c r="AD1615" t="str">
        <f>"9193370255"</f>
        <v>9193370255</v>
      </c>
      <c r="AE1615" t="str">
        <f>"3512259088"</f>
        <v>3512259088</v>
      </c>
    </row>
    <row r="1616" spans="1:31" x14ac:dyDescent="0.45">
      <c r="A1616" t="str">
        <f>"ДОБРОВОЛЬСКАЯ АННА ЕВГЕНЬЕВНА"</f>
        <v>ДОБРОВОЛЬСКАЯ АННА ЕВГЕНЬЕВНА</v>
      </c>
      <c r="B1616" t="str">
        <f>"1986-04-09"</f>
        <v>1986-04-09</v>
      </c>
      <c r="C1616" t="str">
        <f>"65 14 807409"</f>
        <v>65 14 807409</v>
      </c>
      <c r="D1616" t="str">
        <f>"4279011678129043"</f>
        <v>4279011678129043</v>
      </c>
      <c r="E1616" t="str">
        <f t="shared" si="278"/>
        <v>2021-05-31</v>
      </c>
      <c r="F1616" t="str">
        <f t="shared" si="279"/>
        <v>+</v>
      </c>
      <c r="G1616" t="str">
        <f>"+"</f>
        <v>+</v>
      </c>
      <c r="H1616" t="str">
        <f>"40817810916991391516"</f>
        <v>40817810916991391516</v>
      </c>
      <c r="I1616" t="str">
        <f>"7003"</f>
        <v>7003</v>
      </c>
      <c r="J1616" t="str">
        <f>"0787"</f>
        <v>0787</v>
      </c>
      <c r="K1616" t="str">
        <f>"130000.00"</f>
        <v>130000.00</v>
      </c>
      <c r="L1616" t="str">
        <f>"620000 ОБЛ СВЕРДЛОВСКАЯ   Г ТАВДА   УЛ ЛЕНИНА д. 50"</f>
        <v>620000 ОБЛ СВЕРДЛОВСКАЯ   Г ТАВДА   УЛ ЛЕНИНА д. 50</v>
      </c>
      <c r="M1616" t="str">
        <f t="shared" si="276"/>
        <v>2019-08-24</v>
      </c>
      <c r="N1616" t="str">
        <f>"ООО ЕВРОСЕТЬ"</f>
        <v>ООО ЕВРОСЕТЬ</v>
      </c>
      <c r="O1616" t="str">
        <f>"620000"</f>
        <v>620000</v>
      </c>
      <c r="P1616" t="str">
        <f>"ОБЛ СВЕРДЛОВСКАЯ"</f>
        <v>ОБЛ СВЕРДЛОВСКАЯ</v>
      </c>
      <c r="Q1616" t="str">
        <f>""</f>
        <v/>
      </c>
      <c r="R1616" t="str">
        <f>"Г ТАВДА"</f>
        <v>Г ТАВДА</v>
      </c>
      <c r="S1616" t="str">
        <f>""</f>
        <v/>
      </c>
      <c r="T1616" t="str">
        <f>"УЛ ДРУЖБЫ"</f>
        <v>УЛ ДРУЖБЫ</v>
      </c>
      <c r="U1616" s="1" t="str">
        <f>"54"</f>
        <v>54</v>
      </c>
      <c r="V1616" s="1" t="str">
        <f>""</f>
        <v/>
      </c>
      <c r="W1616" s="1" t="str">
        <f>""</f>
        <v/>
      </c>
      <c r="X1616" s="1" t="str">
        <f>""</f>
        <v/>
      </c>
      <c r="Y1616" s="1" t="str">
        <f>""</f>
        <v/>
      </c>
      <c r="Z1616" t="str">
        <f>""</f>
        <v/>
      </c>
      <c r="AA1616" t="str">
        <f>""</f>
        <v/>
      </c>
      <c r="AB1616" t="str">
        <f>"+7 (909) 0077456"</f>
        <v>+7 (909) 0077456</v>
      </c>
      <c r="AC1616" t="str">
        <f>"3436032599"</f>
        <v>3436032599</v>
      </c>
      <c r="AD1616" t="str">
        <f>"9090077456"</f>
        <v>9090077456</v>
      </c>
      <c r="AE1616" t="str">
        <f>""</f>
        <v/>
      </c>
    </row>
    <row r="1617" spans="1:31" x14ac:dyDescent="0.45">
      <c r="A1617" t="str">
        <f>"КАШИГИНА ОЛЬГА МИХАЙЛОВНА"</f>
        <v>КАШИГИНА ОЛЬГА МИХАЙЛОВНА</v>
      </c>
      <c r="B1617" t="str">
        <f>"1975-07-28"</f>
        <v>1975-07-28</v>
      </c>
      <c r="C1617" t="str">
        <f>"75 13 270337"</f>
        <v>75 13 270337</v>
      </c>
      <c r="D1617" t="str">
        <f>"4279011677490834"</f>
        <v>4279011677490834</v>
      </c>
      <c r="E1617" t="str">
        <f t="shared" si="278"/>
        <v>2021-05-31</v>
      </c>
      <c r="F1617" t="str">
        <f t="shared" si="279"/>
        <v>+</v>
      </c>
      <c r="G1617" t="str">
        <f>"+"</f>
        <v>+</v>
      </c>
      <c r="H1617" t="str">
        <f>"40817810416991391508"</f>
        <v>40817810416991391508</v>
      </c>
      <c r="I1617" t="str">
        <f>"8597"</f>
        <v>8597</v>
      </c>
      <c r="J1617" t="str">
        <f>"0294"</f>
        <v>0294</v>
      </c>
      <c r="K1617" t="str">
        <f>"200000.00"</f>
        <v>200000.00</v>
      </c>
      <c r="L1617" t="str">
        <f>"454000 ОБЛ ЧЕЛЯБИНСКАЯ   Г ЧЕЛЯБИНСК   УЛ МОЛОДОГВАРДЕЙЦЕВ д. 7"</f>
        <v>454000 ОБЛ ЧЕЛЯБИНСКАЯ   Г ЧЕЛЯБИНСК   УЛ МОЛОДОГВАРДЕЙЦЕВ д. 7</v>
      </c>
      <c r="M1617" t="str">
        <f t="shared" si="276"/>
        <v>2019-08-24</v>
      </c>
      <c r="N1617" t="str">
        <f>"ООО НОВАПЛАСТ"</f>
        <v>ООО НОВАПЛАСТ</v>
      </c>
      <c r="O1617" t="str">
        <f>"454000"</f>
        <v>454000</v>
      </c>
      <c r="P1617" t="str">
        <f>"ОБЛ ЧЕЛЯБИНСКАЯ"</f>
        <v>ОБЛ ЧЕЛЯБИНСКАЯ</v>
      </c>
      <c r="Q1617" t="str">
        <f>""</f>
        <v/>
      </c>
      <c r="R1617" t="str">
        <f>"Г ЧЕЛЯБИНСК"</f>
        <v>Г ЧЕЛЯБИНСК</v>
      </c>
      <c r="S1617" t="str">
        <f>""</f>
        <v/>
      </c>
      <c r="T1617" t="str">
        <f>"УЛ ВОРОШИЛОВА"</f>
        <v>УЛ ВОРОШИЛОВА</v>
      </c>
      <c r="U1617" s="1" t="str">
        <f>"9"</f>
        <v>9</v>
      </c>
      <c r="V1617" s="1" t="str">
        <f>""</f>
        <v/>
      </c>
      <c r="W1617" s="1" t="str">
        <f>""</f>
        <v/>
      </c>
      <c r="X1617" s="1" t="str">
        <f>""</f>
        <v/>
      </c>
      <c r="Y1617" s="1" t="str">
        <f>"100"</f>
        <v>100</v>
      </c>
      <c r="Z1617" t="str">
        <f>"3517244906"</f>
        <v>3517244906</v>
      </c>
      <c r="AA1617" t="str">
        <f>"9517772292"</f>
        <v>9517772292</v>
      </c>
      <c r="AB1617" t="str">
        <f>"9085776266"</f>
        <v>9085776266</v>
      </c>
      <c r="AC1617" t="str">
        <f>"9517772292"</f>
        <v>9517772292</v>
      </c>
      <c r="AD1617" t="str">
        <f>"9085776266"</f>
        <v>9085776266</v>
      </c>
      <c r="AE1617" t="str">
        <f>""</f>
        <v/>
      </c>
    </row>
    <row r="1618" spans="1:31" x14ac:dyDescent="0.45">
      <c r="A1618" t="str">
        <f>"ЧЕЧЕЛЬ СЕРГЕЙ НИКОЛАЕВИЧ"</f>
        <v>ЧЕЧЕЛЬ СЕРГЕЙ НИКОЛАЕВИЧ</v>
      </c>
      <c r="B1618" t="str">
        <f>"1977-10-14"</f>
        <v>1977-10-14</v>
      </c>
      <c r="C1618" t="str">
        <f>"75 02 687641"</f>
        <v>75 02 687641</v>
      </c>
      <c r="D1618" t="str">
        <f>"4279011636518832"</f>
        <v>4279011636518832</v>
      </c>
      <c r="E1618" t="str">
        <f t="shared" si="278"/>
        <v>2021-05-31</v>
      </c>
      <c r="F1618" t="str">
        <f t="shared" si="279"/>
        <v>+</v>
      </c>
      <c r="G1618" t="str">
        <f>"7"</f>
        <v>7</v>
      </c>
      <c r="H1618" t="str">
        <f>"40817810516991391521"</f>
        <v>40817810516991391521</v>
      </c>
      <c r="I1618" t="str">
        <f>"8597"</f>
        <v>8597</v>
      </c>
      <c r="J1618" t="str">
        <f>"0447"</f>
        <v>0447</v>
      </c>
      <c r="K1618" t="str">
        <f>"24872.83"</f>
        <v>24872.83</v>
      </c>
      <c r="L1618" t="str">
        <f>"454000 ОБЛ ЧЕЛЯБИНСКАЯ Р-Н ТРОИЦКИЙ   П РОДНИКИ УЛ ЛЕСНАЯ д. 3 кв. 2"</f>
        <v>454000 ОБЛ ЧЕЛЯБИНСКАЯ Р-Н ТРОИЦКИЙ   П РОДНИКИ УЛ ЛЕСНАЯ д. 3 кв. 2</v>
      </c>
      <c r="M1618" t="str">
        <f t="shared" si="276"/>
        <v>2019-08-24</v>
      </c>
      <c r="N1618" t="str">
        <f>"ТЕПЛОКОНТРОЛЬ"</f>
        <v>ТЕПЛОКОНТРОЛЬ</v>
      </c>
      <c r="O1618" t="str">
        <f>"454000"</f>
        <v>454000</v>
      </c>
      <c r="P1618" t="str">
        <f>"ОБЛ ЧЕЛЯБИНСКАЯ"</f>
        <v>ОБЛ ЧЕЛЯБИНСКАЯ</v>
      </c>
      <c r="Q1618" t="str">
        <f>"Р-Н ТРОИЦКИЙ"</f>
        <v>Р-Н ТРОИЦКИЙ</v>
      </c>
      <c r="R1618" t="str">
        <f>""</f>
        <v/>
      </c>
      <c r="S1618" t="str">
        <f>"П РОДНИКИ"</f>
        <v>П РОДНИКИ</v>
      </c>
      <c r="T1618" t="str">
        <f>"УЛ ЛЕСНАЯ"</f>
        <v>УЛ ЛЕСНАЯ</v>
      </c>
      <c r="U1618" s="1" t="str">
        <f>"3"</f>
        <v>3</v>
      </c>
      <c r="V1618" s="1" t="str">
        <f>""</f>
        <v/>
      </c>
      <c r="W1618" s="1" t="str">
        <f>""</f>
        <v/>
      </c>
      <c r="X1618" s="1" t="str">
        <f>""</f>
        <v/>
      </c>
      <c r="Y1618" s="1" t="str">
        <f>"2"</f>
        <v>2</v>
      </c>
      <c r="Z1618" t="str">
        <f>""</f>
        <v/>
      </c>
      <c r="AA1618" t="str">
        <f>"9514571524"</f>
        <v>9514571524</v>
      </c>
      <c r="AB1618" t="str">
        <f>"9514571524"</f>
        <v>9514571524</v>
      </c>
      <c r="AC1618" t="str">
        <f>"9514571524"</f>
        <v>9514571524</v>
      </c>
      <c r="AD1618" t="str">
        <f>"9514571524"</f>
        <v>9514571524</v>
      </c>
      <c r="AE1618" t="str">
        <f>""</f>
        <v/>
      </c>
    </row>
    <row r="1619" spans="1:31" x14ac:dyDescent="0.45">
      <c r="A1619" t="str">
        <f>"ХАКИМОВ ИЛЬНУР РИНАТОВИЧ"</f>
        <v>ХАКИМОВ ИЛЬНУР РИНАТОВИЧ</v>
      </c>
      <c r="B1619" t="str">
        <f>"1994-02-22"</f>
        <v>1994-02-22</v>
      </c>
      <c r="C1619" t="str">
        <f>"80 13 906276"</f>
        <v>80 13 906276</v>
      </c>
      <c r="D1619" t="str">
        <f>"4279011623741223"</f>
        <v>4279011623741223</v>
      </c>
      <c r="E1619" t="str">
        <f t="shared" si="278"/>
        <v>2021-05-31</v>
      </c>
      <c r="F1619" t="str">
        <f t="shared" si="279"/>
        <v>+</v>
      </c>
      <c r="G1619" t="str">
        <f>"+"</f>
        <v>+</v>
      </c>
      <c r="H1619" t="str">
        <f>"40817810316991391514"</f>
        <v>40817810316991391514</v>
      </c>
      <c r="I1619" t="str">
        <f>"8598"</f>
        <v>8598</v>
      </c>
      <c r="J1619" t="str">
        <f>"0703"</f>
        <v>0703</v>
      </c>
      <c r="K1619" t="str">
        <f>"50000.00"</f>
        <v>50000.00</v>
      </c>
      <c r="L1619" t="str">
        <f>"190000   Г САНКТ-ПЕТЕРБУРГ   УЛ ТРЕФОЛЕВА д. 2 корп. Б"</f>
        <v>190000   Г САНКТ-ПЕТЕРБУРГ   УЛ ТРЕФОЛЕВА д. 2 корп. Б</v>
      </c>
      <c r="M1619" t="str">
        <f t="shared" si="276"/>
        <v>2019-08-24</v>
      </c>
      <c r="N1619" t="str">
        <f>"ОО НПК"</f>
        <v>ОО НПК</v>
      </c>
      <c r="O1619" t="str">
        <f>"450000"</f>
        <v>450000</v>
      </c>
      <c r="P1619" t="str">
        <f>"РЕСП БАШКОРТОСТАН"</f>
        <v>РЕСП БАШКОРТОСТАН</v>
      </c>
      <c r="Q1619" t="str">
        <f>""</f>
        <v/>
      </c>
      <c r="R1619" t="str">
        <f>"Г САЛАВАТ"</f>
        <v>Г САЛАВАТ</v>
      </c>
      <c r="S1619" t="str">
        <f>""</f>
        <v/>
      </c>
      <c r="T1619" t="str">
        <f>"УЛ ОСТРОВСКОГО"</f>
        <v>УЛ ОСТРОВСКОГО</v>
      </c>
      <c r="U1619" s="1" t="str">
        <f>"52"</f>
        <v>52</v>
      </c>
      <c r="V1619" s="1" t="str">
        <f>""</f>
        <v/>
      </c>
      <c r="W1619" s="1" t="str">
        <f>""</f>
        <v/>
      </c>
      <c r="X1619" s="1" t="str">
        <f>""</f>
        <v/>
      </c>
      <c r="Y1619" s="1" t="str">
        <f>"33"</f>
        <v>33</v>
      </c>
      <c r="Z1619" t="str">
        <f>""</f>
        <v/>
      </c>
      <c r="AA1619" t="str">
        <f>"9144258441"</f>
        <v>9144258441</v>
      </c>
      <c r="AB1619" t="str">
        <f>"9872442601"</f>
        <v>9872442601</v>
      </c>
      <c r="AC1619" t="str">
        <f>"9144258441"</f>
        <v>9144258441</v>
      </c>
      <c r="AD1619" t="str">
        <f>"9872442601"</f>
        <v>9872442601</v>
      </c>
      <c r="AE1619" t="str">
        <f>""</f>
        <v/>
      </c>
    </row>
    <row r="1620" spans="1:31" x14ac:dyDescent="0.45">
      <c r="A1620" t="str">
        <f>"БУРЛАКОВА АННА АЛЕКСАНДРОВНА"</f>
        <v>БУРЛАКОВА АННА АЛЕКСАНДРОВНА</v>
      </c>
      <c r="B1620" t="str">
        <f>"1980-08-23"</f>
        <v>1980-08-23</v>
      </c>
      <c r="C1620" t="str">
        <f>"75 03 132561"</f>
        <v>75 03 132561</v>
      </c>
      <c r="D1620" t="str">
        <f>"4279011639944555"</f>
        <v>4279011639944555</v>
      </c>
      <c r="E1620" t="str">
        <f t="shared" si="278"/>
        <v>2021-05-31</v>
      </c>
      <c r="F1620" t="str">
        <f t="shared" si="279"/>
        <v>+</v>
      </c>
      <c r="G1620" t="str">
        <f>"+"</f>
        <v>+</v>
      </c>
      <c r="H1620" t="str">
        <f>"40817810116991391536"</f>
        <v>40817810116991391536</v>
      </c>
      <c r="I1620" t="str">
        <f>"8597"</f>
        <v>8597</v>
      </c>
      <c r="J1620" t="str">
        <f>"0489"</f>
        <v>0489</v>
      </c>
      <c r="K1620" t="str">
        <f>"60000.00"</f>
        <v>60000.00</v>
      </c>
      <c r="L1620" t="str">
        <f>"454000 ОБЛ ЧЕЛЯБИНСКАЯ     П КРАСНОГОРСКИЙ УЛ ЛЕНИНА д. 6"</f>
        <v>454000 ОБЛ ЧЕЛЯБИНСКАЯ     П КРАСНОГОРСКИЙ УЛ ЛЕНИНА д. 6</v>
      </c>
      <c r="M1620" t="str">
        <f t="shared" si="276"/>
        <v>2019-08-24</v>
      </c>
      <c r="N1620" t="str">
        <f>"ООО ЛАБИРИНТ"</f>
        <v>ООО ЛАБИРИНТ</v>
      </c>
      <c r="O1620" t="str">
        <f>"454000"</f>
        <v>454000</v>
      </c>
      <c r="P1620" t="str">
        <f>"ОБЛ ЧЕЛЯБИНСКАЯ"</f>
        <v>ОБЛ ЧЕЛЯБИНСКАЯ</v>
      </c>
      <c r="Q1620" t="str">
        <f>""</f>
        <v/>
      </c>
      <c r="R1620" t="str">
        <f>"Г ЕМАНЖЕЛИНСК"</f>
        <v>Г ЕМАНЖЕЛИНСК</v>
      </c>
      <c r="S1620" t="str">
        <f>"П КРАСНОГОРСКИЙ"</f>
        <v>П КРАСНОГОРСКИЙ</v>
      </c>
      <c r="T1620" t="str">
        <f>"УЛ ОСТРОВСКОГО"</f>
        <v>УЛ ОСТРОВСКОГО</v>
      </c>
      <c r="U1620" s="1" t="str">
        <f>"80"</f>
        <v>80</v>
      </c>
      <c r="V1620" s="1" t="str">
        <f>""</f>
        <v/>
      </c>
      <c r="W1620" s="1" t="str">
        <f>""</f>
        <v/>
      </c>
      <c r="X1620" s="1" t="str">
        <f>""</f>
        <v/>
      </c>
      <c r="Y1620" s="1" t="str">
        <f>""</f>
        <v/>
      </c>
      <c r="Z1620" t="str">
        <f>""</f>
        <v/>
      </c>
      <c r="AA1620" t="str">
        <f>""</f>
        <v/>
      </c>
      <c r="AB1620" t="str">
        <f>"+7 (919) 1144014"</f>
        <v>+7 (919) 1144014</v>
      </c>
      <c r="AC1620" t="str">
        <f>"9191144014"</f>
        <v>9191144014</v>
      </c>
      <c r="AD1620" t="str">
        <f>"9191144014"</f>
        <v>9191144014</v>
      </c>
      <c r="AE1620" t="str">
        <f>""</f>
        <v/>
      </c>
    </row>
    <row r="1621" spans="1:31" x14ac:dyDescent="0.45">
      <c r="A1621" t="str">
        <f>"УСОЛЬЦЕВ МИХАИЛ АЛЕКСАНДРОВИЧ"</f>
        <v>УСОЛЬЦЕВ МИХАИЛ АЛЕКСАНДРОВИЧ</v>
      </c>
      <c r="B1621" t="str">
        <f>"1992-07-05"</f>
        <v>1992-07-05</v>
      </c>
      <c r="C1621" t="str">
        <f>"65 12 419923"</f>
        <v>65 12 419923</v>
      </c>
      <c r="D1621" t="str">
        <f>"4279011669991625"</f>
        <v>4279011669991625</v>
      </c>
      <c r="E1621" t="str">
        <f t="shared" si="278"/>
        <v>2021-05-31</v>
      </c>
      <c r="F1621" t="str">
        <f t="shared" si="279"/>
        <v>+</v>
      </c>
      <c r="G1621" t="str">
        <f>"+"</f>
        <v>+</v>
      </c>
      <c r="H1621" t="str">
        <f>"40817810816991391522"</f>
        <v>40817810816991391522</v>
      </c>
      <c r="I1621" t="str">
        <f>"7003"</f>
        <v>7003</v>
      </c>
      <c r="J1621" t="str">
        <f>"0875"</f>
        <v>0875</v>
      </c>
      <c r="K1621" t="str">
        <f>"66000.00"</f>
        <v>66000.00</v>
      </c>
      <c r="L1621" t="str">
        <f>"620000 ОБЛ СВЕРДЛОВСКАЯ   Г ЕКАТЕРИНБУРГ   УЛ ЯСНАЯ стр. 2"</f>
        <v>620000 ОБЛ СВЕРДЛОВСКАЯ   Г ЕКАТЕРИНБУРГ   УЛ ЯСНАЯ стр. 2</v>
      </c>
      <c r="M1621" t="str">
        <f t="shared" si="276"/>
        <v>2019-08-24</v>
      </c>
      <c r="N1621" t="str">
        <f>"ООО СИТИЛИНК"</f>
        <v>ООО СИТИЛИНК</v>
      </c>
      <c r="O1621" t="str">
        <f>"641000"</f>
        <v>641000</v>
      </c>
      <c r="P1621" t="str">
        <f>"ОБЛ КУРГАНСКАЯ"</f>
        <v>ОБЛ КУРГАНСКАЯ</v>
      </c>
      <c r="Q1621" t="str">
        <f>"Р-Н КЕТОВСКОМ"</f>
        <v>Р-Н КЕТОВСКОМ</v>
      </c>
      <c r="R1621" t="str">
        <f>""</f>
        <v/>
      </c>
      <c r="S1621" t="str">
        <f>"РП ПРОСВЕТ"</f>
        <v>РП ПРОСВЕТ</v>
      </c>
      <c r="T1621" t="str">
        <f>"УЛ ШКОЛЬНАЯ"</f>
        <v>УЛ ШКОЛЬНАЯ</v>
      </c>
      <c r="U1621" s="1" t="str">
        <f>"79"</f>
        <v>79</v>
      </c>
      <c r="V1621" s="1" t="str">
        <f>""</f>
        <v/>
      </c>
      <c r="W1621" s="1" t="str">
        <f>""</f>
        <v/>
      </c>
      <c r="X1621" s="1" t="str">
        <f>""</f>
        <v/>
      </c>
      <c r="Y1621" s="1" t="str">
        <f>""</f>
        <v/>
      </c>
      <c r="Z1621" t="str">
        <f>"343 3367071"</f>
        <v>343 3367071</v>
      </c>
      <c r="AA1621" t="str">
        <f>"9221199823"</f>
        <v>9221199823</v>
      </c>
      <c r="AB1621" t="str">
        <f>"9221199823"</f>
        <v>9221199823</v>
      </c>
      <c r="AC1621" t="str">
        <f>"9221199823"</f>
        <v>9221199823</v>
      </c>
      <c r="AD1621" t="str">
        <f>"9221199823"</f>
        <v>9221199823</v>
      </c>
      <c r="AE1621" t="str">
        <f>""</f>
        <v/>
      </c>
    </row>
    <row r="1622" spans="1:31" x14ac:dyDescent="0.45">
      <c r="A1622" t="str">
        <f>"САДРЕТДИНОВ РИФАТ РИШАТОВИЧ"</f>
        <v>САДРЕТДИНОВ РИФАТ РИШАТОВИЧ</v>
      </c>
      <c r="B1622" t="str">
        <f>"1985-04-30"</f>
        <v>1985-04-30</v>
      </c>
      <c r="C1622" t="str">
        <f>"80 17 586343"</f>
        <v>80 17 586343</v>
      </c>
      <c r="D1622" t="str">
        <f>"4279011682917540"</f>
        <v>4279011682917540</v>
      </c>
      <c r="E1622" t="str">
        <f t="shared" si="278"/>
        <v>2021-05-31</v>
      </c>
      <c r="F1622" t="str">
        <f t="shared" si="279"/>
        <v>+</v>
      </c>
      <c r="G1622" t="str">
        <f>"+"</f>
        <v>+</v>
      </c>
      <c r="H1622" t="str">
        <f>"40817810916991391532"</f>
        <v>40817810916991391532</v>
      </c>
      <c r="I1622" t="str">
        <f>"8598"</f>
        <v>8598</v>
      </c>
      <c r="J1622" t="str">
        <f>"0507"</f>
        <v>0507</v>
      </c>
      <c r="K1622" t="str">
        <f>"230000.00"</f>
        <v>230000.00</v>
      </c>
      <c r="L1622" t="str">
        <f>"452260 РЕСП БАШКОРТОСТАН Р-Н ИЛИШЕВСКИЙ   С ВЕРХНЕЯРКЕЕВО УЛ СВЕРДЛОВА д. 52 корп. 2"</f>
        <v>452260 РЕСП БАШКОРТОСТАН Р-Н ИЛИШЕВСКИЙ   С ВЕРХНЕЯРКЕЕВО УЛ СВЕРДЛОВА д. 52 корп. 2</v>
      </c>
      <c r="M1622" t="str">
        <f t="shared" si="276"/>
        <v>2019-08-24</v>
      </c>
      <c r="N1622" t="str">
        <f>"ИП САДРЕТДИНОВ РР"</f>
        <v>ИП САДРЕТДИНОВ РР</v>
      </c>
      <c r="O1622" t="str">
        <f>"450000"</f>
        <v>450000</v>
      </c>
      <c r="P1622" t="str">
        <f>"РЕСП БАШКОРТОСТАН"</f>
        <v>РЕСП БАШКОРТОСТАН</v>
      </c>
      <c r="Q1622" t="str">
        <f>"Р-Н ИЛИШЕВСКИЙ"</f>
        <v>Р-Н ИЛИШЕВСКИЙ</v>
      </c>
      <c r="R1622" t="str">
        <f>""</f>
        <v/>
      </c>
      <c r="S1622" t="str">
        <f>"С ВЕРХНЕЯРКЕЕВО"</f>
        <v>С ВЕРХНЕЯРКЕЕВО</v>
      </c>
      <c r="T1622" t="str">
        <f>"УЛ КОММУНАЛЬНАЯ"</f>
        <v>УЛ КОММУНАЛЬНАЯ</v>
      </c>
      <c r="U1622" s="1" t="str">
        <f>"44"</f>
        <v>44</v>
      </c>
      <c r="V1622" s="1" t="str">
        <f>""</f>
        <v/>
      </c>
      <c r="W1622" s="1" t="str">
        <f>""</f>
        <v/>
      </c>
      <c r="X1622" s="1" t="str">
        <f>""</f>
        <v/>
      </c>
      <c r="Y1622" s="1" t="str">
        <f>""</f>
        <v/>
      </c>
      <c r="Z1622" t="str">
        <f>""</f>
        <v/>
      </c>
      <c r="AA1622" t="str">
        <f>"9053533332"</f>
        <v>9053533332</v>
      </c>
      <c r="AB1622" t="str">
        <f>"9053533332"</f>
        <v>9053533332</v>
      </c>
      <c r="AC1622" t="str">
        <f>"9053533332"</f>
        <v>9053533332</v>
      </c>
      <c r="AD1622" t="str">
        <f>"9053533332"</f>
        <v>9053533332</v>
      </c>
      <c r="AE1622" t="str">
        <f>""</f>
        <v/>
      </c>
    </row>
    <row r="1623" spans="1:31" x14ac:dyDescent="0.45">
      <c r="A1623" t="str">
        <f>"УСИКОВА ЕЛЕНА ЕВГЕНЬЕВНА"</f>
        <v>УСИКОВА ЕЛЕНА ЕВГЕНЬЕВНА</v>
      </c>
      <c r="B1623" t="str">
        <f>"1959-11-14"</f>
        <v>1959-11-14</v>
      </c>
      <c r="C1623" t="str">
        <f>"65 09 805454"</f>
        <v>65 09 805454</v>
      </c>
      <c r="D1623" t="str">
        <f>"4854630219355487"</f>
        <v>4854630219355487</v>
      </c>
      <c r="E1623" t="str">
        <f>"2021-04-30"</f>
        <v>2021-04-30</v>
      </c>
      <c r="F1623" t="str">
        <f t="shared" si="279"/>
        <v>+</v>
      </c>
      <c r="G1623" t="str">
        <f>"W"</f>
        <v>W</v>
      </c>
      <c r="H1623" t="str">
        <f>"40817810316991463125"</f>
        <v>40817810316991463125</v>
      </c>
      <c r="I1623" t="str">
        <f>"7003"</f>
        <v>7003</v>
      </c>
      <c r="J1623" t="str">
        <f>"0501"</f>
        <v>0501</v>
      </c>
      <c r="K1623" t="str">
        <f>"300000.00"</f>
        <v>300000.00</v>
      </c>
      <c r="L1623" t="str">
        <f>"620000 ОБЛ СВЕРДЛОВСКАЯ   Г ЕКАТЕРИНБУРГ   УЛ МАМИНА СИБИРЯКА д. 140"</f>
        <v>620000 ОБЛ СВЕРДЛОВСКАЯ   Г ЕКАТЕРИНБУРГ   УЛ МАМИНА СИБИРЯКА д. 140</v>
      </c>
      <c r="M1623" t="str">
        <f t="shared" si="276"/>
        <v>2019-08-24</v>
      </c>
      <c r="N1623" t="str">
        <f>"ПФР ОКТЯБРЬСКОГО Р-НА Г. ЕКАТЕРИНБУРГА"</f>
        <v>ПФР ОКТЯБРЬСКОГО Р-НА Г. ЕКАТЕРИНБУРГА</v>
      </c>
      <c r="O1623" t="str">
        <f>"620000"</f>
        <v>620000</v>
      </c>
      <c r="P1623" t="str">
        <f>"ОБЛ СВЕРДЛОВСКАЯ"</f>
        <v>ОБЛ СВЕРДЛОВСКАЯ</v>
      </c>
      <c r="Q1623" t="str">
        <f>""</f>
        <v/>
      </c>
      <c r="R1623" t="str">
        <f>"Г ЕКАТЕРИНБУРГ"</f>
        <v>Г ЕКАТЕРИНБУРГ</v>
      </c>
      <c r="S1623" t="str">
        <f>""</f>
        <v/>
      </c>
      <c r="T1623" t="str">
        <f>"УЛ СОВЕТСКАЯ"</f>
        <v>УЛ СОВЕТСКАЯ</v>
      </c>
      <c r="U1623" s="1" t="str">
        <f>"62"</f>
        <v>62</v>
      </c>
      <c r="V1623" s="1" t="str">
        <f>""</f>
        <v/>
      </c>
      <c r="W1623" s="1" t="str">
        <f>""</f>
        <v/>
      </c>
      <c r="X1623" s="1" t="str">
        <f>""</f>
        <v/>
      </c>
      <c r="Y1623" s="1" t="str">
        <f>"70"</f>
        <v>70</v>
      </c>
      <c r="Z1623" t="str">
        <f>""</f>
        <v/>
      </c>
      <c r="AA1623" t="str">
        <f>"9045419200"</f>
        <v>9045419200</v>
      </c>
      <c r="AB1623" t="str">
        <f>"9045419200"</f>
        <v>9045419200</v>
      </c>
      <c r="AC1623" t="str">
        <f>"9045419200"</f>
        <v>9045419200</v>
      </c>
      <c r="AD1623" t="str">
        <f>"9045419200"</f>
        <v>9045419200</v>
      </c>
      <c r="AE1623" t="str">
        <f>""</f>
        <v/>
      </c>
    </row>
    <row r="1624" spans="1:31" x14ac:dyDescent="0.45">
      <c r="A1624" t="str">
        <f>"ИСХАКОВА ФАРИДА МУХАМЕТОВНА"</f>
        <v>ИСХАКОВА ФАРИДА МУХАМЕТОВНА</v>
      </c>
      <c r="B1624" t="str">
        <f>"1953-02-14"</f>
        <v>1953-02-14</v>
      </c>
      <c r="C1624" t="str">
        <f>"80 04 955621"</f>
        <v>80 04 955621</v>
      </c>
      <c r="D1624" t="str">
        <f>"4276011654675285"</f>
        <v>4276011654675285</v>
      </c>
      <c r="E1624" t="str">
        <f>"2021-06-30"</f>
        <v>2021-06-30</v>
      </c>
      <c r="F1624" t="str">
        <f>"Q"</f>
        <v>Q</v>
      </c>
      <c r="G1624" t="str">
        <f>"Q"</f>
        <v>Q</v>
      </c>
      <c r="H1624" t="str">
        <f>"40817810816991463227"</f>
        <v>40817810816991463227</v>
      </c>
      <c r="I1624" t="str">
        <f>"8598"</f>
        <v>8598</v>
      </c>
      <c r="J1624" t="str">
        <f>"0357"</f>
        <v>0357</v>
      </c>
      <c r="K1624" t="str">
        <f t="shared" ref="K1624:K1625" si="280">"0.00"</f>
        <v>0.00</v>
      </c>
      <c r="L1624" t="str">
        <f>"450000 РЕСП БАШКОРТОСТАН Р-Н ГАФУРИЙСКИЙ   Д УСМАНОВО УЛ ОКТЯБРЬСКАЯ д. 16"</f>
        <v>450000 РЕСП БАШКОРТОСТАН Р-Н ГАФУРИЙСКИЙ   Д УСМАНОВО УЛ ОКТЯБРЬСКАЯ д. 16</v>
      </c>
      <c r="M1624" t="str">
        <f t="shared" si="276"/>
        <v>2019-08-24</v>
      </c>
      <c r="N1624" t="str">
        <f>"ОТСУТСТВУЕТ"</f>
        <v>ОТСУТСТВУЕТ</v>
      </c>
      <c r="O1624" t="str">
        <f>"450000"</f>
        <v>450000</v>
      </c>
      <c r="P1624" t="str">
        <f>"РЕСП БАШКОРТОСТАН"</f>
        <v>РЕСП БАШКОРТОСТАН</v>
      </c>
      <c r="Q1624" t="str">
        <f>"Р-Н ГАФУРИЙСКИЙ"</f>
        <v>Р-Н ГАФУРИЙСКИЙ</v>
      </c>
      <c r="R1624" t="str">
        <f>""</f>
        <v/>
      </c>
      <c r="S1624" t="str">
        <f>"Д УСМАНОВО"</f>
        <v>Д УСМАНОВО</v>
      </c>
      <c r="T1624" t="str">
        <f>"УЛ ОКТЯБРЬСКАЯ"</f>
        <v>УЛ ОКТЯБРЬСКАЯ</v>
      </c>
      <c r="U1624" s="1" t="str">
        <f>"16"</f>
        <v>16</v>
      </c>
      <c r="V1624" s="1" t="str">
        <f>""</f>
        <v/>
      </c>
      <c r="W1624" s="1" t="str">
        <f>""</f>
        <v/>
      </c>
      <c r="X1624" s="1" t="str">
        <f>""</f>
        <v/>
      </c>
      <c r="Y1624" s="1" t="str">
        <f>""</f>
        <v/>
      </c>
      <c r="Z1624" t="str">
        <f>""</f>
        <v/>
      </c>
      <c r="AA1624" t="str">
        <f>"9677355373"</f>
        <v>9677355373</v>
      </c>
      <c r="AB1624" t="str">
        <f>"9677355373"</f>
        <v>9677355373</v>
      </c>
      <c r="AC1624" t="str">
        <f>""</f>
        <v/>
      </c>
      <c r="AD1624" t="str">
        <f>"9677355373"</f>
        <v>9677355373</v>
      </c>
      <c r="AE1624" t="str">
        <f>""</f>
        <v/>
      </c>
    </row>
    <row r="1625" spans="1:31" x14ac:dyDescent="0.45">
      <c r="A1625" t="str">
        <f>"АРЗУМАНЯН ЛАРИСА МАНВЕЛОВНА"</f>
        <v>АРЗУМАНЯН ЛАРИСА МАНВЕЛОВНА</v>
      </c>
      <c r="B1625" t="str">
        <f>"1994-10-30"</f>
        <v>1994-10-30</v>
      </c>
      <c r="C1625" t="str">
        <f>"67 14 434601"</f>
        <v>67 14 434601</v>
      </c>
      <c r="D1625" t="str">
        <f>"5484016704021393"</f>
        <v>5484016704021393</v>
      </c>
      <c r="E1625" t="str">
        <f t="shared" ref="E1625:E1640" si="281">"2021-05-31"</f>
        <v>2021-05-31</v>
      </c>
      <c r="F1625" t="str">
        <f>"Y"</f>
        <v>Y</v>
      </c>
      <c r="G1625" t="str">
        <f>"Q"</f>
        <v>Q</v>
      </c>
      <c r="H1625" t="str">
        <f>"40817810416992300938"</f>
        <v>40817810416992300938</v>
      </c>
      <c r="I1625" t="str">
        <f>"5940"</f>
        <v>5940</v>
      </c>
      <c r="J1625" t="str">
        <f>"7772"</f>
        <v>7772</v>
      </c>
      <c r="K1625" t="str">
        <f t="shared" si="280"/>
        <v>0.00</v>
      </c>
      <c r="L1625" t="str">
        <f>"628600 ОБЛ ТЮМЕНСКАЯ АО ХМАО Г НИЖНЕВАРТОВСК   УЛ ПРОСПЕКТ ПОБЕДЫ д. 21Б"</f>
        <v>628600 ОБЛ ТЮМЕНСКАЯ АО ХМАО Г НИЖНЕВАРТОВСК   УЛ ПРОСПЕКТ ПОБЕДЫ д. 21Б</v>
      </c>
      <c r="M1625" t="str">
        <f t="shared" si="276"/>
        <v>2019-08-24</v>
      </c>
      <c r="N1625" t="str">
        <f>"ШКОЛА 8"</f>
        <v>ШКОЛА 8</v>
      </c>
      <c r="O1625" t="str">
        <f>"628600"</f>
        <v>628600</v>
      </c>
      <c r="P1625" t="str">
        <f>"ОБЛ ТЮМЕНСКАЯ"</f>
        <v>ОБЛ ТЮМЕНСКАЯ</v>
      </c>
      <c r="Q1625" t="str">
        <f>"АО ХМАО"</f>
        <v>АО ХМАО</v>
      </c>
      <c r="R1625" t="str">
        <f>"Г НИЖНЕВАРТОВСК"</f>
        <v>Г НИЖНЕВАРТОВСК</v>
      </c>
      <c r="S1625" t="str">
        <f>""</f>
        <v/>
      </c>
      <c r="T1625" t="str">
        <f>"УЛ МЕНДЕЛЕЕВА"</f>
        <v>УЛ МЕНДЕЛЕЕВА</v>
      </c>
      <c r="U1625" s="1" t="str">
        <f>"18"</f>
        <v>18</v>
      </c>
      <c r="V1625" s="1" t="str">
        <f>""</f>
        <v/>
      </c>
      <c r="W1625" s="1" t="str">
        <f>""</f>
        <v/>
      </c>
      <c r="X1625" s="1" t="str">
        <f>""</f>
        <v/>
      </c>
      <c r="Y1625" s="1" t="str">
        <f>"33"</f>
        <v>33</v>
      </c>
      <c r="Z1625" t="str">
        <f>"3466249640"</f>
        <v>3466249640</v>
      </c>
      <c r="AA1625" t="str">
        <f>"9825737118"</f>
        <v>9825737118</v>
      </c>
      <c r="AB1625" t="str">
        <f>"9825737118"</f>
        <v>9825737118</v>
      </c>
      <c r="AC1625" t="str">
        <f>"9825737118"</f>
        <v>9825737118</v>
      </c>
      <c r="AD1625" t="str">
        <f>"9825737118"</f>
        <v>9825737118</v>
      </c>
      <c r="AE1625" t="str">
        <f>"3466249640"</f>
        <v>3466249640</v>
      </c>
    </row>
    <row r="1626" spans="1:31" x14ac:dyDescent="0.45">
      <c r="A1626" t="str">
        <f>"ВАНЮЖИН ВЛАДИСЛАВ АЛЕКСАНДРОВИЧ"</f>
        <v>ВАНЮЖИН ВЛАДИСЛАВ АЛЕКСАНДРОВИЧ</v>
      </c>
      <c r="B1626" t="str">
        <f>"1980-04-20"</f>
        <v>1980-04-20</v>
      </c>
      <c r="C1626" t="str">
        <f>"67 00 364360"</f>
        <v>67 00 364360</v>
      </c>
      <c r="D1626" t="str">
        <f>"5484016708236963"</f>
        <v>5484016708236963</v>
      </c>
      <c r="E1626" t="str">
        <f t="shared" si="281"/>
        <v>2021-05-31</v>
      </c>
      <c r="F1626" t="str">
        <f t="shared" ref="F1626:G1628" si="282">"+"</f>
        <v>+</v>
      </c>
      <c r="G1626" t="str">
        <f t="shared" si="282"/>
        <v>+</v>
      </c>
      <c r="H1626" t="str">
        <f>"40817810716992241603"</f>
        <v>40817810716992241603</v>
      </c>
      <c r="I1626" t="str">
        <f>"5940"</f>
        <v>5940</v>
      </c>
      <c r="J1626" t="str">
        <f>"7772"</f>
        <v>7772</v>
      </c>
      <c r="K1626" t="str">
        <f>"115000.00"</f>
        <v>115000.00</v>
      </c>
      <c r="L1626" t="str">
        <f>"628600 ОБЛ ТЮМЕНСКАЯ АО ХМАО Г НИЖНЕВАРТОВСК   УЛ ИНДУСТРИАЛЬНАЯ д. 66А"</f>
        <v>628600 ОБЛ ТЮМЕНСКАЯ АО ХМАО Г НИЖНЕВАРТОВСК   УЛ ИНДУСТРИАЛЬНАЯ д. 66А</v>
      </c>
      <c r="M1626" t="str">
        <f t="shared" si="276"/>
        <v>2019-08-24</v>
      </c>
      <c r="N1626" t="str">
        <f>"ООО КАТОБЬНЕФТЬ"</f>
        <v>ООО КАТОБЬНЕФТЬ</v>
      </c>
      <c r="O1626" t="str">
        <f>"152750"</f>
        <v>152750</v>
      </c>
      <c r="P1626" t="str">
        <f>"РЕСП ЧУВАШСКАЯ РЕСПУБЛИКА-"</f>
        <v>РЕСП ЧУВАШСКАЯ РЕСПУБЛИКА-</v>
      </c>
      <c r="Q1626" t="str">
        <f>"Р-Н ШУМЕРЛИНСКИЙ"</f>
        <v>Р-Н ШУМЕРЛИНСКИЙ</v>
      </c>
      <c r="R1626" t="str">
        <f>""</f>
        <v/>
      </c>
      <c r="S1626" t="str">
        <f>"П ВОЛГА"</f>
        <v>П ВОЛГА</v>
      </c>
      <c r="T1626" t="str">
        <f>"УЛ ВОЛЖСКАЯ"</f>
        <v>УЛ ВОЛЖСКАЯ</v>
      </c>
      <c r="U1626" s="1" t="str">
        <f>"3А"</f>
        <v>3А</v>
      </c>
      <c r="V1626" s="1" t="str">
        <f>""</f>
        <v/>
      </c>
      <c r="W1626" s="1" t="str">
        <f>""</f>
        <v/>
      </c>
      <c r="X1626" s="1" t="str">
        <f>""</f>
        <v/>
      </c>
      <c r="Y1626" s="1" t="str">
        <f>""</f>
        <v/>
      </c>
      <c r="Z1626" t="str">
        <f>"3466311166"</f>
        <v>3466311166</v>
      </c>
      <c r="AA1626" t="str">
        <f>"3466311628"</f>
        <v>3466311628</v>
      </c>
      <c r="AB1626" t="str">
        <f>"9196539366"</f>
        <v>9196539366</v>
      </c>
      <c r="AC1626" t="str">
        <f>"3466311628"</f>
        <v>3466311628</v>
      </c>
      <c r="AD1626" t="str">
        <f>"9196539366"</f>
        <v>9196539366</v>
      </c>
      <c r="AE1626" t="str">
        <f>"3466311166"</f>
        <v>3466311166</v>
      </c>
    </row>
    <row r="1627" spans="1:31" x14ac:dyDescent="0.45">
      <c r="A1627" t="str">
        <f>"САБАНОВА ЭЛОНА СЕМЕНОВНА"</f>
        <v>САБАНОВА ЭЛОНА СЕМЕНОВНА</v>
      </c>
      <c r="B1627" t="str">
        <f>"1988-05-19"</f>
        <v>1988-05-19</v>
      </c>
      <c r="C1627" t="str">
        <f>"90 08 856875"</f>
        <v>90 08 856875</v>
      </c>
      <c r="D1627" t="str">
        <f>"4817810038076938"</f>
        <v>4817810038076938</v>
      </c>
      <c r="E1627" t="str">
        <f t="shared" si="281"/>
        <v>2021-05-31</v>
      </c>
      <c r="F1627" t="str">
        <f t="shared" si="282"/>
        <v>+</v>
      </c>
      <c r="G1627" t="str">
        <f t="shared" si="282"/>
        <v>+</v>
      </c>
      <c r="H1627" t="str">
        <f>"40817810816992241312"</f>
        <v>40817810816992241312</v>
      </c>
      <c r="I1627" t="str">
        <f>"5940"</f>
        <v>5940</v>
      </c>
      <c r="J1627" t="str">
        <f>"0102"</f>
        <v>0102</v>
      </c>
      <c r="K1627" t="str">
        <f>"145000.00"</f>
        <v>145000.00</v>
      </c>
      <c r="L1627" t="str">
        <f>"628300 ОБЛ ТЮМЕНСКАЯ АО ХАНТЫ-МАНСИЙСКИЙ Г НЕФТЕЮГАНСК   МКР 2 д. 15"</f>
        <v>628300 ОБЛ ТЮМЕНСКАЯ АО ХАНТЫ-МАНСИЙСКИЙ Г НЕФТЕЮГАНСК   МКР 2 д. 15</v>
      </c>
      <c r="M1627" t="str">
        <f t="shared" si="276"/>
        <v>2019-08-24</v>
      </c>
      <c r="N1627" t="str">
        <f>"КИНОТЕАТР ЮГАН"</f>
        <v>КИНОТЕАТР ЮГАН</v>
      </c>
      <c r="O1627" t="str">
        <f>"628300"</f>
        <v>628300</v>
      </c>
      <c r="P1627" t="str">
        <f t="shared" ref="P1627:P1634" si="283">"ОБЛ ТЮМЕНСКАЯ"</f>
        <v>ОБЛ ТЮМЕНСКАЯ</v>
      </c>
      <c r="Q1627" t="str">
        <f>"АО ХАНТЫ-МАНСИЙСКИЙ"</f>
        <v>АО ХАНТЫ-МАНСИЙСКИЙ</v>
      </c>
      <c r="R1627" t="str">
        <f>"Г НЕФТЕЮГАНСК"</f>
        <v>Г НЕФТЕЮГАНСК</v>
      </c>
      <c r="S1627" t="str">
        <f>""</f>
        <v/>
      </c>
      <c r="T1627" t="str">
        <f>"МКР 6"</f>
        <v>МКР 6</v>
      </c>
      <c r="U1627" s="1" t="str">
        <f>"15"</f>
        <v>15</v>
      </c>
      <c r="V1627" s="1" t="str">
        <f>""</f>
        <v/>
      </c>
      <c r="W1627" s="1" t="str">
        <f>""</f>
        <v/>
      </c>
      <c r="X1627" s="1" t="str">
        <f>""</f>
        <v/>
      </c>
      <c r="Y1627" s="1" t="str">
        <f>"9"</f>
        <v>9</v>
      </c>
      <c r="Z1627" t="str">
        <f>""</f>
        <v/>
      </c>
      <c r="AA1627" t="str">
        <f>"9129009213"</f>
        <v>9129009213</v>
      </c>
      <c r="AB1627" t="str">
        <f>"9129009213"</f>
        <v>9129009213</v>
      </c>
      <c r="AC1627" t="str">
        <f>"9129009214"</f>
        <v>9129009214</v>
      </c>
      <c r="AD1627" t="str">
        <f>"9129009213"</f>
        <v>9129009213</v>
      </c>
      <c r="AE1627" t="str">
        <f>""</f>
        <v/>
      </c>
    </row>
    <row r="1628" spans="1:31" x14ac:dyDescent="0.45">
      <c r="A1628" t="str">
        <f>"САТАРОВА АЛИЯ МАНСУРОВНА"</f>
        <v>САТАРОВА АЛИЯ МАНСУРОВНА</v>
      </c>
      <c r="B1628" t="str">
        <f>"1981-05-18"</f>
        <v>1981-05-18</v>
      </c>
      <c r="C1628" t="str">
        <f>"80 06 305751"</f>
        <v>80 06 305751</v>
      </c>
      <c r="D1628" t="str">
        <f>"5484016702959214"</f>
        <v>5484016702959214</v>
      </c>
      <c r="E1628" t="str">
        <f t="shared" si="281"/>
        <v>2021-05-31</v>
      </c>
      <c r="F1628" t="str">
        <f t="shared" si="282"/>
        <v>+</v>
      </c>
      <c r="G1628" t="str">
        <f t="shared" si="282"/>
        <v>+</v>
      </c>
      <c r="H1628" t="str">
        <f>"40817810716992300324"</f>
        <v>40817810716992300324</v>
      </c>
      <c r="I1628" t="str">
        <f>"8647"</f>
        <v>8647</v>
      </c>
      <c r="J1628" t="str">
        <f>"0176"</f>
        <v>0176</v>
      </c>
      <c r="K1628" t="str">
        <f>"12000.00"</f>
        <v>12000.00</v>
      </c>
      <c r="L1628" t="str">
        <f>"625000 ОБЛ ТЮМЕНСКАЯ   Г ТЮМЕНЬ   УЛ НИКОЛАЯ СЕМЕНОВА д. 33 корп. 1 кв. 152"</f>
        <v>625000 ОБЛ ТЮМЕНСКАЯ   Г ТЮМЕНЬ   УЛ НИКОЛАЯ СЕМЕНОВА д. 33 корп. 1 кв. 152</v>
      </c>
      <c r="M1628" t="str">
        <f t="shared" si="276"/>
        <v>2019-08-24</v>
      </c>
      <c r="N1628" t="str">
        <f>"НЕ РАБОТАЕТ"</f>
        <v>НЕ РАБОТАЕТ</v>
      </c>
      <c r="O1628" t="str">
        <f>"625016"</f>
        <v>625016</v>
      </c>
      <c r="P1628" t="str">
        <f t="shared" si="283"/>
        <v>ОБЛ ТЮМЕНСКАЯ</v>
      </c>
      <c r="Q1628" t="str">
        <f>""</f>
        <v/>
      </c>
      <c r="R1628" t="str">
        <f>"Г ТЮМЕНЬ"</f>
        <v>Г ТЮМЕНЬ</v>
      </c>
      <c r="S1628" t="str">
        <f>""</f>
        <v/>
      </c>
      <c r="T1628" t="str">
        <f>"УЛ НИКОЛАЯ СЕМЕНОВА"</f>
        <v>УЛ НИКОЛАЯ СЕМЕНОВА</v>
      </c>
      <c r="U1628" s="1" t="str">
        <f>"33"</f>
        <v>33</v>
      </c>
      <c r="V1628" s="1" t="str">
        <f>""</f>
        <v/>
      </c>
      <c r="W1628" s="1" t="str">
        <f>"1"</f>
        <v>1</v>
      </c>
      <c r="X1628" s="1" t="str">
        <f>""</f>
        <v/>
      </c>
      <c r="Y1628" s="1" t="str">
        <f>"152"</f>
        <v>152</v>
      </c>
      <c r="Z1628" t="str">
        <f>""</f>
        <v/>
      </c>
      <c r="AA1628" t="str">
        <f>"9129983123"</f>
        <v>9129983123</v>
      </c>
      <c r="AB1628" t="str">
        <f>"9123847998"</f>
        <v>9123847998</v>
      </c>
      <c r="AC1628" t="str">
        <f>"9129983123"</f>
        <v>9129983123</v>
      </c>
      <c r="AD1628" t="str">
        <f>"9123847998"</f>
        <v>9123847998</v>
      </c>
      <c r="AE1628" t="str">
        <f>""</f>
        <v/>
      </c>
    </row>
    <row r="1629" spans="1:31" x14ac:dyDescent="0.45">
      <c r="A1629" t="str">
        <f>"КОРДА АНЖЕЛА ИВАНОВНА"</f>
        <v>КОРДА АНЖЕЛА ИВАНОВНА</v>
      </c>
      <c r="B1629" t="str">
        <f>"1969-07-08"</f>
        <v>1969-07-08</v>
      </c>
      <c r="C1629" t="str">
        <f>"67 14 399359"</f>
        <v>67 14 399359</v>
      </c>
      <c r="D1629" t="str">
        <f>"5484016705391167"</f>
        <v>5484016705391167</v>
      </c>
      <c r="E1629" t="str">
        <f t="shared" si="281"/>
        <v>2021-05-31</v>
      </c>
      <c r="F1629" t="str">
        <f>"Q"</f>
        <v>Q</v>
      </c>
      <c r="G1629" t="str">
        <f>"Q"</f>
        <v>Q</v>
      </c>
      <c r="H1629" t="str">
        <f>"40817810516992300485"</f>
        <v>40817810516992300485</v>
      </c>
      <c r="I1629" t="str">
        <f>"5940"</f>
        <v>5940</v>
      </c>
      <c r="J1629" t="str">
        <f>"7770"</f>
        <v>7770</v>
      </c>
      <c r="K1629" t="str">
        <f>"0.00"</f>
        <v>0.00</v>
      </c>
      <c r="L1629" t="str">
        <f>"628400 ОБЛ ТЮМЕНСКАЯ АО ХМАО Г СУРГУТ   УЛ ПРОСВЕЩЕНИЯ д. 29"</f>
        <v>628400 ОБЛ ТЮМЕНСКАЯ АО ХМАО Г СУРГУТ   УЛ ПРОСВЕЩЕНИЯ д. 29</v>
      </c>
      <c r="M1629" t="str">
        <f t="shared" si="276"/>
        <v>2019-08-24</v>
      </c>
      <c r="N1629" t="str">
        <f>"МБУ ВАРИАНТ"</f>
        <v>МБУ ВАРИАНТ</v>
      </c>
      <c r="O1629" t="str">
        <f>"628400"</f>
        <v>628400</v>
      </c>
      <c r="P1629" t="str">
        <f t="shared" si="283"/>
        <v>ОБЛ ТЮМЕНСКАЯ</v>
      </c>
      <c r="Q1629" t="str">
        <f>"АО ХМАО"</f>
        <v>АО ХМАО</v>
      </c>
      <c r="R1629" t="str">
        <f>"Г СУРГУТ"</f>
        <v>Г СУРГУТ</v>
      </c>
      <c r="S1629" t="str">
        <f>""</f>
        <v/>
      </c>
      <c r="T1629" t="str">
        <f>"УЛ ПУШКИНА"</f>
        <v>УЛ ПУШКИНА</v>
      </c>
      <c r="U1629" s="1" t="str">
        <f>"22"</f>
        <v>22</v>
      </c>
      <c r="V1629" s="1" t="str">
        <f>""</f>
        <v/>
      </c>
      <c r="W1629" s="1" t="str">
        <f>""</f>
        <v/>
      </c>
      <c r="X1629" s="1" t="str">
        <f>""</f>
        <v/>
      </c>
      <c r="Y1629" s="1" t="str">
        <f>"35"</f>
        <v>35</v>
      </c>
      <c r="Z1629" t="str">
        <f>"3462240012"</f>
        <v>3462240012</v>
      </c>
      <c r="AA1629" t="str">
        <f>"3462262281"</f>
        <v>3462262281</v>
      </c>
      <c r="AB1629" t="str">
        <f>"9226565501"</f>
        <v>9226565501</v>
      </c>
      <c r="AC1629" t="str">
        <f>"9226565501"</f>
        <v>9226565501</v>
      </c>
      <c r="AD1629" t="str">
        <f>"9226565501"</f>
        <v>9226565501</v>
      </c>
      <c r="AE1629" t="str">
        <f>"3462240012"</f>
        <v>3462240012</v>
      </c>
    </row>
    <row r="1630" spans="1:31" x14ac:dyDescent="0.45">
      <c r="A1630" t="str">
        <f>"БЕЛЯЕВА ТАТЬЯНА АЛЕКСАНДРОВНА"</f>
        <v>БЕЛЯЕВА ТАТЬЯНА АЛЕКСАНДРОВНА</v>
      </c>
      <c r="B1630" t="str">
        <f>"1958-01-17"</f>
        <v>1958-01-17</v>
      </c>
      <c r="C1630" t="str">
        <f>"71 03 893044"</f>
        <v>71 03 893044</v>
      </c>
      <c r="D1630" t="str">
        <f>"4279016712031550"</f>
        <v>4279016712031550</v>
      </c>
      <c r="E1630" t="str">
        <f t="shared" si="281"/>
        <v>2021-05-31</v>
      </c>
      <c r="F1630" t="str">
        <f t="shared" ref="F1630:G1632" si="284">"+"</f>
        <v>+</v>
      </c>
      <c r="G1630" t="str">
        <f t="shared" si="284"/>
        <v>+</v>
      </c>
      <c r="H1630" t="str">
        <f>"40817810916992300580"</f>
        <v>40817810916992300580</v>
      </c>
      <c r="I1630" t="str">
        <f>"8647"</f>
        <v>8647</v>
      </c>
      <c r="J1630" t="str">
        <f>"0184"</f>
        <v>0184</v>
      </c>
      <c r="K1630" t="str">
        <f>"98000.00"</f>
        <v>98000.00</v>
      </c>
      <c r="L1630" t="str">
        <f>"625000 ОБЛ ТЮМЕНСКАЯ   Г ТЮМЕНЬ   УЛ РОЗЫ ЛЮКСЕМБУРГ д. 12 корп. Б офис 1"</f>
        <v>625000 ОБЛ ТЮМЕНСКАЯ   Г ТЮМЕНЬ   УЛ РОЗЫ ЛЮКСЕМБУРГ д. 12 корп. Б офис 1</v>
      </c>
      <c r="M1630" t="str">
        <f t="shared" si="276"/>
        <v>2019-08-24</v>
      </c>
      <c r="N1630" t="str">
        <f>"ОТСУТСТВУЕТ"</f>
        <v>ОТСУТСТВУЕТ</v>
      </c>
      <c r="O1630" t="str">
        <f>"625000"</f>
        <v>625000</v>
      </c>
      <c r="P1630" t="str">
        <f t="shared" si="283"/>
        <v>ОБЛ ТЮМЕНСКАЯ</v>
      </c>
      <c r="Q1630" t="str">
        <f>""</f>
        <v/>
      </c>
      <c r="R1630" t="str">
        <f>"Г ТЮМЕНЬ"</f>
        <v>Г ТЮМЕНЬ</v>
      </c>
      <c r="S1630" t="str">
        <f>""</f>
        <v/>
      </c>
      <c r="T1630" t="str">
        <f>"УЛ ХАРЬКОВСКАЯ"</f>
        <v>УЛ ХАРЬКОВСКАЯ</v>
      </c>
      <c r="U1630" s="1" t="str">
        <f>"54"</f>
        <v>54</v>
      </c>
      <c r="V1630" s="1" t="str">
        <f>""</f>
        <v/>
      </c>
      <c r="W1630" s="1" t="str">
        <f>""</f>
        <v/>
      </c>
      <c r="X1630" s="1" t="str">
        <f>""</f>
        <v/>
      </c>
      <c r="Y1630" s="1" t="str">
        <f>"19"</f>
        <v>19</v>
      </c>
      <c r="Z1630" t="str">
        <f>""</f>
        <v/>
      </c>
      <c r="AA1630" t="str">
        <f>"9220489228"</f>
        <v>9220489228</v>
      </c>
      <c r="AB1630" t="str">
        <f>"9220489228"</f>
        <v>9220489228</v>
      </c>
      <c r="AC1630" t="str">
        <f>"9612035550"</f>
        <v>9612035550</v>
      </c>
      <c r="AD1630" t="str">
        <f>"9220489228"</f>
        <v>9220489228</v>
      </c>
      <c r="AE1630" t="str">
        <f>""</f>
        <v/>
      </c>
    </row>
    <row r="1631" spans="1:31" x14ac:dyDescent="0.45">
      <c r="A1631" t="str">
        <f>"СИНЯЧКИНА ТАТЬЯНА АЛЕКСАНДРОВНА"</f>
        <v>СИНЯЧКИНА ТАТЬЯНА АЛЕКСАНДРОВНА</v>
      </c>
      <c r="B1631" t="str">
        <f>"1956-01-29"</f>
        <v>1956-01-29</v>
      </c>
      <c r="C1631" t="str">
        <f>"71 02 707820"</f>
        <v>71 02 707820</v>
      </c>
      <c r="D1631" t="str">
        <f>"4276016719701570"</f>
        <v>4276016719701570</v>
      </c>
      <c r="E1631" t="str">
        <f t="shared" si="281"/>
        <v>2021-05-31</v>
      </c>
      <c r="F1631" t="str">
        <f t="shared" si="284"/>
        <v>+</v>
      </c>
      <c r="G1631" t="str">
        <f t="shared" si="284"/>
        <v>+</v>
      </c>
      <c r="H1631" t="str">
        <f>"40817810716992097132"</f>
        <v>40817810716992097132</v>
      </c>
      <c r="I1631" t="str">
        <f>"8647"</f>
        <v>8647</v>
      </c>
      <c r="J1631" t="str">
        <f>"0178"</f>
        <v>0178</v>
      </c>
      <c r="K1631" t="str">
        <f>"50000.00"</f>
        <v>50000.00</v>
      </c>
      <c r="L1631" t="str">
        <f>"625000 ОБЛ ТЮМЕНСКАЯ   Г ТЮМЕНЬ   УЛ ГАЗОВИКОВ д. 3 кв. 136"</f>
        <v>625000 ОБЛ ТЮМЕНСКАЯ   Г ТЮМЕНЬ   УЛ ГАЗОВИКОВ д. 3 кв. 136</v>
      </c>
      <c r="M1631" t="str">
        <f t="shared" si="276"/>
        <v>2019-08-24</v>
      </c>
      <c r="N1631" t="str">
        <f>"ОТСУТСТВУЕТ"</f>
        <v>ОТСУТСТВУЕТ</v>
      </c>
      <c r="O1631" t="str">
        <f>"625000"</f>
        <v>625000</v>
      </c>
      <c r="P1631" t="str">
        <f t="shared" si="283"/>
        <v>ОБЛ ТЮМЕНСКАЯ</v>
      </c>
      <c r="Q1631" t="str">
        <f>""</f>
        <v/>
      </c>
      <c r="R1631" t="str">
        <f>"Г ТЮМЕНЬ"</f>
        <v>Г ТЮМЕНЬ</v>
      </c>
      <c r="S1631" t="str">
        <f>""</f>
        <v/>
      </c>
      <c r="T1631" t="str">
        <f>"УЛ ГАЗОВИКОВ"</f>
        <v>УЛ ГАЗОВИКОВ</v>
      </c>
      <c r="U1631" s="1" t="str">
        <f>"3"</f>
        <v>3</v>
      </c>
      <c r="V1631" s="1" t="str">
        <f>""</f>
        <v/>
      </c>
      <c r="W1631" s="1" t="str">
        <f>""</f>
        <v/>
      </c>
      <c r="X1631" s="1" t="str">
        <f>""</f>
        <v/>
      </c>
      <c r="Y1631" s="1" t="str">
        <f>"136"</f>
        <v>136</v>
      </c>
      <c r="Z1631" t="str">
        <f>""</f>
        <v/>
      </c>
      <c r="AA1631" t="str">
        <f>"3452254138"</f>
        <v>3452254138</v>
      </c>
      <c r="AB1631" t="str">
        <f>"9220796995"</f>
        <v>9220796995</v>
      </c>
      <c r="AC1631" t="str">
        <f>"3452254138"</f>
        <v>3452254138</v>
      </c>
      <c r="AD1631" t="str">
        <f>"9220796995"</f>
        <v>9220796995</v>
      </c>
      <c r="AE1631" t="str">
        <f>""</f>
        <v/>
      </c>
    </row>
    <row r="1632" spans="1:31" x14ac:dyDescent="0.45">
      <c r="A1632" t="str">
        <f>"РИЧКОВСКАЯ НАДЕЖДА ПЕТРОВНА"</f>
        <v>РИЧКОВСКАЯ НАДЕЖДА ПЕТРОВНА</v>
      </c>
      <c r="B1632" t="str">
        <f>"1977-07-28"</f>
        <v>1977-07-28</v>
      </c>
      <c r="C1632" t="str">
        <f>"67 08 899734"</f>
        <v>67 08 899734</v>
      </c>
      <c r="D1632" t="str">
        <f>"5484016703767749"</f>
        <v>5484016703767749</v>
      </c>
      <c r="E1632" t="str">
        <f t="shared" si="281"/>
        <v>2021-05-31</v>
      </c>
      <c r="F1632" t="str">
        <f t="shared" si="284"/>
        <v>+</v>
      </c>
      <c r="G1632" t="str">
        <f t="shared" si="284"/>
        <v>+</v>
      </c>
      <c r="H1632" t="str">
        <f>"40817810816992300554"</f>
        <v>40817810816992300554</v>
      </c>
      <c r="I1632" t="str">
        <f>"5940"</f>
        <v>5940</v>
      </c>
      <c r="J1632" t="str">
        <f t="shared" ref="J1632:J1639" si="285">"7770"</f>
        <v>7770</v>
      </c>
      <c r="K1632" t="str">
        <f>"105000.00"</f>
        <v>105000.00</v>
      </c>
      <c r="L1632" t="str">
        <f>"628449 ОБЛ ТЮМЕНСКАЯ Р-Н СУРГУТСКИЙ Г ЛЯНТОРН   МКР 6"</f>
        <v>628449 ОБЛ ТЮМЕНСКАЯ Р-Н СУРГУТСКИЙ Г ЛЯНТОРН   МКР 6</v>
      </c>
      <c r="M1632" t="str">
        <f t="shared" si="276"/>
        <v>2019-08-24</v>
      </c>
      <c r="N1632" t="str">
        <f>"ДС РОДНИЧОК"</f>
        <v>ДС РОДНИЧОК</v>
      </c>
      <c r="O1632" t="str">
        <f>"628449"</f>
        <v>628449</v>
      </c>
      <c r="P1632" t="str">
        <f t="shared" si="283"/>
        <v>ОБЛ ТЮМЕНСКАЯ</v>
      </c>
      <c r="Q1632" t="str">
        <f>"Р-Н СУРГУТСКИЙ"</f>
        <v>Р-Н СУРГУТСКИЙ</v>
      </c>
      <c r="R1632" t="str">
        <f>"Г ЛЯНТОР"</f>
        <v>Г ЛЯНТОР</v>
      </c>
      <c r="S1632" t="str">
        <f>""</f>
        <v/>
      </c>
      <c r="T1632" t="str">
        <f>"МКР 3"</f>
        <v>МКР 3</v>
      </c>
      <c r="U1632" s="1" t="str">
        <f>"56"</f>
        <v>56</v>
      </c>
      <c r="V1632" s="1" t="str">
        <f>""</f>
        <v/>
      </c>
      <c r="W1632" s="1" t="str">
        <f>""</f>
        <v/>
      </c>
      <c r="X1632" s="1" t="str">
        <f>""</f>
        <v/>
      </c>
      <c r="Y1632" s="1" t="str">
        <f>"2"</f>
        <v>2</v>
      </c>
      <c r="Z1632" t="str">
        <f>"3463824721"</f>
        <v>3463824721</v>
      </c>
      <c r="AA1632" t="str">
        <f>"3463826284"</f>
        <v>3463826284</v>
      </c>
      <c r="AB1632" t="str">
        <f>"9226507521"</f>
        <v>9226507521</v>
      </c>
      <c r="AC1632" t="str">
        <f>"9226507521"</f>
        <v>9226507521</v>
      </c>
      <c r="AD1632" t="str">
        <f>"9226507521"</f>
        <v>9226507521</v>
      </c>
      <c r="AE1632" t="str">
        <f>"3463824721"</f>
        <v>3463824721</v>
      </c>
    </row>
    <row r="1633" spans="1:31" x14ac:dyDescent="0.45">
      <c r="A1633" t="str">
        <f>"СТАРОКОЖЕВА ВЕНЕРА РАВИЛЕВНА"</f>
        <v>СТАРОКОЖЕВА ВЕНЕРА РАВИЛЕВНА</v>
      </c>
      <c r="B1633" t="str">
        <f>"1970-07-24"</f>
        <v>1970-07-24</v>
      </c>
      <c r="C1633" t="str">
        <f>"67 15 495778"</f>
        <v>67 15 495778</v>
      </c>
      <c r="D1633" t="str">
        <f>"5484016706421773"</f>
        <v>5484016706421773</v>
      </c>
      <c r="E1633" t="str">
        <f t="shared" si="281"/>
        <v>2021-05-31</v>
      </c>
      <c r="F1633" t="str">
        <f>"Q"</f>
        <v>Q</v>
      </c>
      <c r="G1633" t="str">
        <f>"Q"</f>
        <v>Q</v>
      </c>
      <c r="H1633" t="str">
        <f>"40817810816992300732"</f>
        <v>40817810816992300732</v>
      </c>
      <c r="I1633" t="str">
        <f>"5940"</f>
        <v>5940</v>
      </c>
      <c r="J1633" t="str">
        <f t="shared" si="285"/>
        <v>7770</v>
      </c>
      <c r="K1633" t="str">
        <f>"0.00"</f>
        <v>0.00</v>
      </c>
      <c r="L1633" t="str">
        <f>"628400 ОБЛ ТЮМЕНСКАЯ   Г СУРГУТ   ПРОЕЗД ВЗЛЕТНЫЙ д. 6"</f>
        <v>628400 ОБЛ ТЮМЕНСКАЯ   Г СУРГУТ   ПРОЕЗД ВЗЛЕТНЫЙ д. 6</v>
      </c>
      <c r="M1633" t="str">
        <f t="shared" si="276"/>
        <v>2019-08-24</v>
      </c>
      <c r="N1633" t="str">
        <f>"СОШ 45"</f>
        <v>СОШ 45</v>
      </c>
      <c r="O1633" t="str">
        <f>"628400"</f>
        <v>628400</v>
      </c>
      <c r="P1633" t="str">
        <f t="shared" si="283"/>
        <v>ОБЛ ТЮМЕНСКАЯ</v>
      </c>
      <c r="Q1633" t="str">
        <f>""</f>
        <v/>
      </c>
      <c r="R1633" t="str">
        <f>"Г СУРГУТ"</f>
        <v>Г СУРГУТ</v>
      </c>
      <c r="S1633" t="str">
        <f>""</f>
        <v/>
      </c>
      <c r="T1633" t="str">
        <f>"УЛ ЩЕПЕТКИНА"</f>
        <v>УЛ ЩЕПЕТКИНА</v>
      </c>
      <c r="U1633" s="1" t="str">
        <f>"20Б"</f>
        <v>20Б</v>
      </c>
      <c r="V1633" s="1" t="str">
        <f>""</f>
        <v/>
      </c>
      <c r="W1633" s="1" t="str">
        <f>""</f>
        <v/>
      </c>
      <c r="X1633" s="1" t="str">
        <f>""</f>
        <v/>
      </c>
      <c r="Y1633" s="1" t="str">
        <f>"200"</f>
        <v>200</v>
      </c>
      <c r="Z1633" t="str">
        <f>"3462253123"</f>
        <v>3462253123</v>
      </c>
      <c r="AA1633" t="str">
        <f>"9224420913"</f>
        <v>9224420913</v>
      </c>
      <c r="AB1633" t="str">
        <f>"9227662384"</f>
        <v>9227662384</v>
      </c>
      <c r="AC1633" t="str">
        <f>"9224420913"</f>
        <v>9224420913</v>
      </c>
      <c r="AD1633" t="str">
        <f>"9227662384"</f>
        <v>9227662384</v>
      </c>
      <c r="AE1633" t="str">
        <f>"3462253123"</f>
        <v>3462253123</v>
      </c>
    </row>
    <row r="1634" spans="1:31" x14ac:dyDescent="0.45">
      <c r="A1634" t="str">
        <f>"ЛУКОШКОВ ЮРИЙ АЛЕКСАНДРОВИЧ"</f>
        <v>ЛУКОШКОВ ЮРИЙ АЛЕКСАНДРОВИЧ</v>
      </c>
      <c r="B1634" t="str">
        <f>"1961-06-24"</f>
        <v>1961-06-24</v>
      </c>
      <c r="C1634" t="str">
        <f>"71 06 456590"</f>
        <v>71 06 456590</v>
      </c>
      <c r="D1634" t="str">
        <f>"5484016704266923"</f>
        <v>5484016704266923</v>
      </c>
      <c r="E1634" t="str">
        <f t="shared" si="281"/>
        <v>2021-05-31</v>
      </c>
      <c r="F1634" t="str">
        <f>"+"</f>
        <v>+</v>
      </c>
      <c r="G1634" t="str">
        <f>"+"</f>
        <v>+</v>
      </c>
      <c r="H1634" t="str">
        <f>"40817810216992301713"</f>
        <v>40817810216992301713</v>
      </c>
      <c r="I1634" t="str">
        <f>"8647"</f>
        <v>8647</v>
      </c>
      <c r="J1634" t="str">
        <f t="shared" si="285"/>
        <v>7770</v>
      </c>
      <c r="K1634" t="str">
        <f>"70000.00"</f>
        <v>70000.00</v>
      </c>
      <c r="L1634" t="str">
        <f>"625000 ОБЛ ТЮМЕНСКАЯ   Г ТЮМЕНЬ   УЛ КОТОВСКОГО д. 55"</f>
        <v>625000 ОБЛ ТЮМЕНСКАЯ   Г ТЮМЕНЬ   УЛ КОТОВСКОГО д. 55</v>
      </c>
      <c r="M1634" t="str">
        <f t="shared" si="276"/>
        <v>2019-08-24</v>
      </c>
      <c r="N1634" t="str">
        <f>"ГБУЗ ТО ОБЛАСТНАЯ КЛИНИЧЕСКАЯ БОЛЬНИЦА №1"</f>
        <v>ГБУЗ ТО ОБЛАСТНАЯ КЛИНИЧЕСКАЯ БОЛЬНИЦА №1</v>
      </c>
      <c r="O1634" t="str">
        <f>"625000"</f>
        <v>625000</v>
      </c>
      <c r="P1634" t="str">
        <f t="shared" si="283"/>
        <v>ОБЛ ТЮМЕНСКАЯ</v>
      </c>
      <c r="Q1634" t="str">
        <f>""</f>
        <v/>
      </c>
      <c r="R1634" t="str">
        <f>"Г ТЮМЕНЬ"</f>
        <v>Г ТЮМЕНЬ</v>
      </c>
      <c r="S1634" t="str">
        <f>""</f>
        <v/>
      </c>
      <c r="T1634" t="str">
        <f>"УЛ МЕЛЬНИКАЙТЕ"</f>
        <v>УЛ МЕЛЬНИКАЙТЕ</v>
      </c>
      <c r="U1634" s="1" t="str">
        <f>"95"</f>
        <v>95</v>
      </c>
      <c r="V1634" s="1" t="str">
        <f>""</f>
        <v/>
      </c>
      <c r="W1634" s="1" t="str">
        <f>""</f>
        <v/>
      </c>
      <c r="X1634" s="1" t="str">
        <f>""</f>
        <v/>
      </c>
      <c r="Y1634" s="1" t="str">
        <f>"128"</f>
        <v>128</v>
      </c>
      <c r="Z1634" t="str">
        <f>"3452287594"</f>
        <v>3452287594</v>
      </c>
      <c r="AA1634" t="str">
        <f>"9199534640"</f>
        <v>9199534640</v>
      </c>
      <c r="AB1634" t="str">
        <f>"9199534640"</f>
        <v>9199534640</v>
      </c>
      <c r="AC1634" t="str">
        <f>"9199534640"</f>
        <v>9199534640</v>
      </c>
      <c r="AD1634" t="str">
        <f>"9199534640"</f>
        <v>9199534640</v>
      </c>
      <c r="AE1634" t="str">
        <f>"3452287594"</f>
        <v>3452287594</v>
      </c>
    </row>
    <row r="1635" spans="1:31" x14ac:dyDescent="0.45">
      <c r="A1635" t="str">
        <f>"КАЛАШНИКОВ МАКСИМ АЛЕКСАНДРОВИЧ"</f>
        <v>КАЛАШНИКОВ МАКСИМ АЛЕКСАНДРОВИЧ</v>
      </c>
      <c r="B1635" t="str">
        <f>"1988-07-16"</f>
        <v>1988-07-16</v>
      </c>
      <c r="C1635" t="str">
        <f>"65 08 464246"</f>
        <v>65 08 464246</v>
      </c>
      <c r="D1635" t="str">
        <f>"5484016708504469"</f>
        <v>5484016708504469</v>
      </c>
      <c r="E1635" t="str">
        <f t="shared" si="281"/>
        <v>2021-05-31</v>
      </c>
      <c r="F1635" t="str">
        <f>"+"</f>
        <v>+</v>
      </c>
      <c r="G1635" t="str">
        <f>"+"</f>
        <v>+</v>
      </c>
      <c r="H1635" t="str">
        <f>"40817810816992097689"</f>
        <v>40817810816992097689</v>
      </c>
      <c r="I1635" t="str">
        <f>"8647"</f>
        <v>8647</v>
      </c>
      <c r="J1635" t="str">
        <f t="shared" si="285"/>
        <v>7770</v>
      </c>
      <c r="K1635" t="str">
        <f>"120000.00"</f>
        <v>120000.00</v>
      </c>
      <c r="L1635" t="str">
        <f>"625000 ОБЛ ТЮМЕНСКАЯ     Г ТЮМЕНЬ УЛ ЮРИЯ СЕМОВСКИХ д. 10"</f>
        <v>625000 ОБЛ ТЮМЕНСКАЯ     Г ТЮМЕНЬ УЛ ЮРИЯ СЕМОВСКИХ д. 10</v>
      </c>
      <c r="M1635" t="str">
        <f t="shared" si="276"/>
        <v>2019-08-24</v>
      </c>
      <c r="N1635" t="str">
        <f>"ОКБ 1"</f>
        <v>ОКБ 1</v>
      </c>
      <c r="O1635" t="str">
        <f>"623660"</f>
        <v>623660</v>
      </c>
      <c r="P1635" t="str">
        <f>"ОБЛ СВЕРДЛОВСКАЯ"</f>
        <v>ОБЛ СВЕРДЛОВСКАЯ</v>
      </c>
      <c r="Q1635" t="str">
        <f>"Р-Н ТУГУЛЫМСКИЙ"</f>
        <v>Р-Н ТУГУЛЫМСКИЙ</v>
      </c>
      <c r="R1635" t="str">
        <f>""</f>
        <v/>
      </c>
      <c r="S1635" t="str">
        <f>"П ЛУГОВСКОЙ"</f>
        <v>П ЛУГОВСКОЙ</v>
      </c>
      <c r="T1635" t="str">
        <f>"УЛ МОЛОДЕЖНАЯ"</f>
        <v>УЛ МОЛОДЕЖНАЯ</v>
      </c>
      <c r="U1635" s="1" t="str">
        <f>"12"</f>
        <v>12</v>
      </c>
      <c r="V1635" s="1" t="str">
        <f>""</f>
        <v/>
      </c>
      <c r="W1635" s="1" t="str">
        <f>""</f>
        <v/>
      </c>
      <c r="X1635" s="1" t="str">
        <f>""</f>
        <v/>
      </c>
      <c r="Y1635" s="1" t="str">
        <f>"1"</f>
        <v>1</v>
      </c>
      <c r="Z1635" t="str">
        <f>"3452560010"</f>
        <v>3452560010</v>
      </c>
      <c r="AA1635" t="str">
        <f>"9224775186"</f>
        <v>9224775186</v>
      </c>
      <c r="AB1635" t="str">
        <f>"9224775186"</f>
        <v>9224775186</v>
      </c>
      <c r="AC1635" t="str">
        <f>"9224775186"</f>
        <v>9224775186</v>
      </c>
      <c r="AD1635" t="str">
        <f>"9224775186"</f>
        <v>9224775186</v>
      </c>
      <c r="AE1635" t="str">
        <f>"3452560010"</f>
        <v>3452560010</v>
      </c>
    </row>
    <row r="1636" spans="1:31" x14ac:dyDescent="0.45">
      <c r="A1636" t="str">
        <f>"ШВЕЦ ТАТЬЯНА АЛЕКСЕЕВНА"</f>
        <v>ШВЕЦ ТАТЬЯНА АЛЕКСЕЕВНА</v>
      </c>
      <c r="B1636" t="str">
        <f>"1960-01-06"</f>
        <v>1960-01-06</v>
      </c>
      <c r="C1636" t="str">
        <f>"71 04 221736"</f>
        <v>71 04 221736</v>
      </c>
      <c r="D1636" t="str">
        <f>"5484016704149004"</f>
        <v>5484016704149004</v>
      </c>
      <c r="E1636" t="str">
        <f t="shared" si="281"/>
        <v>2021-05-31</v>
      </c>
      <c r="F1636" t="str">
        <f>"Q"</f>
        <v>Q</v>
      </c>
      <c r="G1636" t="str">
        <f>"Q"</f>
        <v>Q</v>
      </c>
      <c r="H1636" t="str">
        <f>"40817810867720693205"</f>
        <v>40817810867720693205</v>
      </c>
      <c r="I1636" t="str">
        <f>"0029"</f>
        <v>0029</v>
      </c>
      <c r="J1636" t="str">
        <f t="shared" si="285"/>
        <v>7770</v>
      </c>
      <c r="K1636" t="str">
        <f>"0.00"</f>
        <v>0.00</v>
      </c>
      <c r="L1636" t="str">
        <f>"625000 ОБЛ ТЮМЕНСКАЯ     Г ТЮМЕНЬ УЛ ЮРИЯ СЕМОВСКИХ д. 10 кв. 0"</f>
        <v>625000 ОБЛ ТЮМЕНСКАЯ     Г ТЮМЕНЬ УЛ ЮРИЯ СЕМОВСКИХ д. 10 кв. 0</v>
      </c>
      <c r="M1636" t="str">
        <f t="shared" si="276"/>
        <v>2019-08-24</v>
      </c>
      <c r="N1636" t="str">
        <f>"ОКБ №1"</f>
        <v>ОКБ №1</v>
      </c>
      <c r="O1636" t="str">
        <f>"626391"</f>
        <v>626391</v>
      </c>
      <c r="P1636" t="str">
        <f>"ОБЛ ТЮМЕНСКАЯ"</f>
        <v>ОБЛ ТЮМЕНСКАЯ</v>
      </c>
      <c r="Q1636" t="str">
        <f>"Р-Н ИСЕТСКИЙ"</f>
        <v>Р-Н ИСЕТСКИЙ</v>
      </c>
      <c r="R1636" t="str">
        <f>""</f>
        <v/>
      </c>
      <c r="S1636" t="str">
        <f>"П КОММУНАР"</f>
        <v>П КОММУНАР</v>
      </c>
      <c r="T1636" t="str">
        <f>"УЛ СВОБОДЫ"</f>
        <v>УЛ СВОБОДЫ</v>
      </c>
      <c r="U1636" s="1" t="str">
        <f>"8"</f>
        <v>8</v>
      </c>
      <c r="V1636" s="1" t="str">
        <f>""</f>
        <v/>
      </c>
      <c r="W1636" s="1" t="str">
        <f>""</f>
        <v/>
      </c>
      <c r="X1636" s="1" t="str">
        <f>""</f>
        <v/>
      </c>
      <c r="Y1636" s="1" t="str">
        <f>"2"</f>
        <v>2</v>
      </c>
      <c r="Z1636" t="str">
        <f>"3452560010"</f>
        <v>3452560010</v>
      </c>
      <c r="AA1636" t="str">
        <f>"3453724180"</f>
        <v>3453724180</v>
      </c>
      <c r="AB1636" t="str">
        <f>"9123920174"</f>
        <v>9123920174</v>
      </c>
      <c r="AC1636" t="str">
        <f>"9829112504"</f>
        <v>9829112504</v>
      </c>
      <c r="AD1636" t="str">
        <f>"9123920174"</f>
        <v>9123920174</v>
      </c>
      <c r="AE1636" t="str">
        <f>""</f>
        <v/>
      </c>
    </row>
    <row r="1637" spans="1:31" x14ac:dyDescent="0.45">
      <c r="A1637" t="str">
        <f>"ЯКОВЛЕВА ТАТЬЯНА НИКОЛАЕВНА"</f>
        <v>ЯКОВЛЕВА ТАТЬЯНА НИКОЛАЕВНА</v>
      </c>
      <c r="B1637" t="str">
        <f>"1959-05-16"</f>
        <v>1959-05-16</v>
      </c>
      <c r="C1637" t="str">
        <f>"71 16 236244"</f>
        <v>71 16 236244</v>
      </c>
      <c r="D1637" t="str">
        <f>"5484016706237427"</f>
        <v>5484016706237427</v>
      </c>
      <c r="E1637" t="str">
        <f t="shared" si="281"/>
        <v>2021-05-31</v>
      </c>
      <c r="F1637" t="str">
        <f>"+"</f>
        <v>+</v>
      </c>
      <c r="G1637" t="str">
        <f>"+"</f>
        <v>+</v>
      </c>
      <c r="H1637" t="str">
        <f>"40817810216992401053"</f>
        <v>40817810216992401053</v>
      </c>
      <c r="I1637" t="str">
        <f>"8647"</f>
        <v>8647</v>
      </c>
      <c r="J1637" t="str">
        <f t="shared" si="285"/>
        <v>7770</v>
      </c>
      <c r="K1637" t="str">
        <f>"75000.00"</f>
        <v>75000.00</v>
      </c>
      <c r="L1637" t="str">
        <f>"625000 ОБЛ ТЮМЕНСКАЯ   Г ТЮМЕНЬ   УЛ ЮРИЯ СЕМОВСКИХ д. 10"</f>
        <v>625000 ОБЛ ТЮМЕНСКАЯ   Г ТЮМЕНЬ   УЛ ЮРИЯ СЕМОВСКИХ д. 10</v>
      </c>
      <c r="M1637" t="str">
        <f t="shared" si="276"/>
        <v>2019-08-24</v>
      </c>
      <c r="N1637" t="str">
        <f>"ОКБ №1"</f>
        <v>ОКБ №1</v>
      </c>
      <c r="O1637" t="str">
        <f>"625048"</f>
        <v>625048</v>
      </c>
      <c r="P1637" t="str">
        <f>"ОБЛ ТЮМЕНСКАЯ"</f>
        <v>ОБЛ ТЮМЕНСКАЯ</v>
      </c>
      <c r="Q1637" t="str">
        <f>""</f>
        <v/>
      </c>
      <c r="R1637" t="str">
        <f>"Г ТЮМЕНЬ"</f>
        <v>Г ТЮМЕНЬ</v>
      </c>
      <c r="S1637" t="str">
        <f>""</f>
        <v/>
      </c>
      <c r="T1637" t="str">
        <f>"УЛ МАКСИМА ГОРЬКОГО"</f>
        <v>УЛ МАКСИМА ГОРЬКОГО</v>
      </c>
      <c r="U1637" s="1" t="str">
        <f>"59"</f>
        <v>59</v>
      </c>
      <c r="V1637" s="1" t="str">
        <f>""</f>
        <v/>
      </c>
      <c r="W1637" s="1" t="str">
        <f>""</f>
        <v/>
      </c>
      <c r="X1637" s="1" t="str">
        <f>""</f>
        <v/>
      </c>
      <c r="Y1637" s="1" t="str">
        <f>"187"</f>
        <v>187</v>
      </c>
      <c r="Z1637" t="str">
        <f>"3452294052"</f>
        <v>3452294052</v>
      </c>
      <c r="AA1637" t="str">
        <f>"9504892555"</f>
        <v>9504892555</v>
      </c>
      <c r="AB1637" t="str">
        <f>"9504892555"</f>
        <v>9504892555</v>
      </c>
      <c r="AC1637" t="str">
        <f>"9504892555"</f>
        <v>9504892555</v>
      </c>
      <c r="AD1637" t="str">
        <f>"9504892555"</f>
        <v>9504892555</v>
      </c>
      <c r="AE1637" t="str">
        <f>"3452294052"</f>
        <v>3452294052</v>
      </c>
    </row>
    <row r="1638" spans="1:31" x14ac:dyDescent="0.45">
      <c r="A1638" t="str">
        <f>"ЯМЩИКОВА НАТАЛЬЯ АЛЕКСАНДРОВНА"</f>
        <v>ЯМЩИКОВА НАТАЛЬЯ АЛЕКСАНДРОВНА</v>
      </c>
      <c r="B1638" t="str">
        <f>"1976-09-26"</f>
        <v>1976-09-26</v>
      </c>
      <c r="C1638" t="str">
        <f>"71 06 437475"</f>
        <v>71 06 437475</v>
      </c>
      <c r="D1638" t="str">
        <f>"5484016707686143"</f>
        <v>5484016707686143</v>
      </c>
      <c r="E1638" t="str">
        <f t="shared" si="281"/>
        <v>2021-05-31</v>
      </c>
      <c r="F1638" t="str">
        <f>"+"</f>
        <v>+</v>
      </c>
      <c r="G1638" t="str">
        <f>"+"</f>
        <v>+</v>
      </c>
      <c r="H1638" t="str">
        <f>"40817810216992401082"</f>
        <v>40817810216992401082</v>
      </c>
      <c r="I1638" t="str">
        <f>"8647"</f>
        <v>8647</v>
      </c>
      <c r="J1638" t="str">
        <f t="shared" si="285"/>
        <v>7770</v>
      </c>
      <c r="K1638" t="str">
        <f>"33000.00"</f>
        <v>33000.00</v>
      </c>
      <c r="L1638" t="str">
        <f>"625023 ОБЛ ТЮМЕНСКАЯ   Г ТЮМЕНЬ   УЛ КОТОВСКОГО д. 55"</f>
        <v>625023 ОБЛ ТЮМЕНСКАЯ   Г ТЮМЕНЬ   УЛ КОТОВСКОГО д. 55</v>
      </c>
      <c r="M1638" t="str">
        <f t="shared" si="276"/>
        <v>2019-08-24</v>
      </c>
      <c r="N1638" t="str">
        <f>"ГБУЗ ТО ОКБ 1"</f>
        <v>ГБУЗ ТО ОКБ 1</v>
      </c>
      <c r="O1638" t="str">
        <f>"625000"</f>
        <v>625000</v>
      </c>
      <c r="P1638" t="str">
        <f>"ОБЛ ТЮМЕНСКАЯ"</f>
        <v>ОБЛ ТЮМЕНСКАЯ</v>
      </c>
      <c r="Q1638" t="str">
        <f>""</f>
        <v/>
      </c>
      <c r="R1638" t="str">
        <f>"Г ТЮМЕНЬ"</f>
        <v>Г ТЮМЕНЬ</v>
      </c>
      <c r="S1638" t="str">
        <f>""</f>
        <v/>
      </c>
      <c r="T1638" t="str">
        <f>"УЛ ШИРОТНАЯ"</f>
        <v>УЛ ШИРОТНАЯ</v>
      </c>
      <c r="U1638" s="1" t="str">
        <f>"120"</f>
        <v>120</v>
      </c>
      <c r="V1638" s="1" t="str">
        <f>""</f>
        <v/>
      </c>
      <c r="W1638" s="1" t="str">
        <f>""</f>
        <v/>
      </c>
      <c r="X1638" s="1" t="str">
        <f>""</f>
        <v/>
      </c>
      <c r="Y1638" s="1" t="str">
        <f>"27"</f>
        <v>27</v>
      </c>
      <c r="Z1638" t="str">
        <f>"3452560010"</f>
        <v>3452560010</v>
      </c>
      <c r="AA1638" t="str">
        <f>"3452641902"</f>
        <v>3452641902</v>
      </c>
      <c r="AB1638" t="str">
        <f>"9088735230"</f>
        <v>9088735230</v>
      </c>
      <c r="AC1638" t="str">
        <f>"9088735230"</f>
        <v>9088735230</v>
      </c>
      <c r="AD1638" t="str">
        <f>"9088735230"</f>
        <v>9088735230</v>
      </c>
      <c r="AE1638" t="str">
        <f>"3452560010"</f>
        <v>3452560010</v>
      </c>
    </row>
    <row r="1639" spans="1:31" x14ac:dyDescent="0.45">
      <c r="A1639" t="str">
        <f>"ПОДОЛЬСКАЯ ТАТЬЯНА АЛЕКСАНДРОВНА"</f>
        <v>ПОДОЛЬСКАЯ ТАТЬЯНА АЛЕКСАНДРОВНА</v>
      </c>
      <c r="B1639" t="str">
        <f>"1974-10-10"</f>
        <v>1974-10-10</v>
      </c>
      <c r="C1639" t="str">
        <f>"71 01 286930"</f>
        <v>71 01 286930</v>
      </c>
      <c r="D1639" t="str">
        <f>"5484016706186301"</f>
        <v>5484016706186301</v>
      </c>
      <c r="E1639" t="str">
        <f t="shared" si="281"/>
        <v>2021-05-31</v>
      </c>
      <c r="F1639" t="str">
        <f>"Q"</f>
        <v>Q</v>
      </c>
      <c r="G1639" t="str">
        <f>"Q"</f>
        <v>Q</v>
      </c>
      <c r="H1639" t="str">
        <f>"40817810216992401118"</f>
        <v>40817810216992401118</v>
      </c>
      <c r="I1639" t="str">
        <f>"8647"</f>
        <v>8647</v>
      </c>
      <c r="J1639" t="str">
        <f t="shared" si="285"/>
        <v>7770</v>
      </c>
      <c r="K1639" t="str">
        <f>"0.00"</f>
        <v>0.00</v>
      </c>
      <c r="L1639" t="str">
        <f>"625034 ОБЛ ТЮМЕНСКАЯ   Г ТЮМЕНЬ   УЛ К.ЗАСЛОНОВА д. 19"</f>
        <v>625034 ОБЛ ТЮМЕНСКАЯ   Г ТЮМЕНЬ   УЛ К.ЗАСЛОНОВА д. 19</v>
      </c>
      <c r="M1639" t="str">
        <f t="shared" si="276"/>
        <v>2019-08-24</v>
      </c>
      <c r="N1639" t="str">
        <f>"МАДОУ ДС №62"</f>
        <v>МАДОУ ДС №62</v>
      </c>
      <c r="O1639" t="str">
        <f>"625034"</f>
        <v>625034</v>
      </c>
      <c r="P1639" t="str">
        <f>"ОБЛ ТЮМЕНСКАЯ"</f>
        <v>ОБЛ ТЮМЕНСКАЯ</v>
      </c>
      <c r="Q1639" t="str">
        <f>""</f>
        <v/>
      </c>
      <c r="R1639" t="str">
        <f>"Г ТЮМЕНЬ"</f>
        <v>Г ТЮМЕНЬ</v>
      </c>
      <c r="S1639" t="str">
        <f>""</f>
        <v/>
      </c>
      <c r="T1639" t="str">
        <f>"УЛ ДОМОСТРОИТЕЛЕЙ"</f>
        <v>УЛ ДОМОСТРОИТЕЛЕЙ</v>
      </c>
      <c r="U1639" s="1" t="str">
        <f>"12"</f>
        <v>12</v>
      </c>
      <c r="V1639" s="1" t="str">
        <f>""</f>
        <v/>
      </c>
      <c r="W1639" s="1" t="str">
        <f>""</f>
        <v/>
      </c>
      <c r="X1639" s="1" t="str">
        <f>""</f>
        <v/>
      </c>
      <c r="Y1639" s="1" t="str">
        <f>"18"</f>
        <v>18</v>
      </c>
      <c r="Z1639" t="str">
        <f>"3452482418"</f>
        <v>3452482418</v>
      </c>
      <c r="AA1639" t="str">
        <f>"3452481656"</f>
        <v>3452481656</v>
      </c>
      <c r="AB1639" t="str">
        <f>"9129958516"</f>
        <v>9129958516</v>
      </c>
      <c r="AC1639" t="str">
        <f>"3452481656"</f>
        <v>3452481656</v>
      </c>
      <c r="AD1639" t="str">
        <f>"9129958516"</f>
        <v>9129958516</v>
      </c>
      <c r="AE1639" t="str">
        <f>"3452482418"</f>
        <v>3452482418</v>
      </c>
    </row>
    <row r="1640" spans="1:31" x14ac:dyDescent="0.45">
      <c r="A1640" t="str">
        <f>"ЛЯМИН СЕРГЕЙ НИКОЛАЕВИЧ"</f>
        <v>ЛЯМИН СЕРГЕЙ НИКОЛАЕВИЧ</v>
      </c>
      <c r="B1640" t="str">
        <f>"1977-10-08"</f>
        <v>1977-10-08</v>
      </c>
      <c r="C1640" t="str">
        <f>"67 04 060432"</f>
        <v>67 04 060432</v>
      </c>
      <c r="D1640" t="str">
        <f>"4279016701910053"</f>
        <v>4279016701910053</v>
      </c>
      <c r="E1640" t="str">
        <f t="shared" si="281"/>
        <v>2021-05-31</v>
      </c>
      <c r="F1640" t="str">
        <f t="shared" ref="F1640:G1651" si="286">"+"</f>
        <v>+</v>
      </c>
      <c r="G1640" t="str">
        <f t="shared" si="286"/>
        <v>+</v>
      </c>
      <c r="H1640" t="str">
        <f>"40817810416992099553"</f>
        <v>40817810416992099553</v>
      </c>
      <c r="I1640" t="str">
        <f>"1791"</f>
        <v>1791</v>
      </c>
      <c r="J1640" t="str">
        <f>"0080"</f>
        <v>0080</v>
      </c>
      <c r="K1640" t="str">
        <f>"490000.00"</f>
        <v>490000.00</v>
      </c>
      <c r="L1640" t="str">
        <f>"600030 КРАЙ КРАСНОЯРСКИЙ   Г КРАСНОЯРСК   УЛ МИРА д. 36"</f>
        <v>600030 КРАЙ КРАСНОЯРСКИЙ   Г КРАСНОЯРСК   УЛ МИРА д. 36</v>
      </c>
      <c r="M1640" t="str">
        <f t="shared" si="276"/>
        <v>2019-08-24</v>
      </c>
      <c r="N1640" t="str">
        <f>"ВСНК ПАО РОСНЕФТЬ"</f>
        <v>ВСНК ПАО РОСНЕФТЬ</v>
      </c>
      <c r="O1640" t="str">
        <f>"628285"</f>
        <v>628285</v>
      </c>
      <c r="P1640" t="str">
        <f>"ОБЛ ТЮМЕНСКАЯ"</f>
        <v>ОБЛ ТЮМЕНСКАЯ</v>
      </c>
      <c r="Q1640" t="str">
        <f>""</f>
        <v/>
      </c>
      <c r="R1640" t="str">
        <f>"Г УРАЙ"</f>
        <v>Г УРАЙ</v>
      </c>
      <c r="S1640" t="str">
        <f>""</f>
        <v/>
      </c>
      <c r="T1640" t="str">
        <f>"УЛ ШЕВЧЕНКО"</f>
        <v>УЛ ШЕВЧЕНКО</v>
      </c>
      <c r="U1640" s="1" t="str">
        <f>"14/1"</f>
        <v>14/1</v>
      </c>
      <c r="V1640" s="1" t="str">
        <f>""</f>
        <v/>
      </c>
      <c r="W1640" s="1" t="str">
        <f>""</f>
        <v/>
      </c>
      <c r="X1640" s="1" t="str">
        <f>""</f>
        <v/>
      </c>
      <c r="Y1640" s="1" t="str">
        <f>"6"</f>
        <v>6</v>
      </c>
      <c r="Z1640" t="str">
        <f>"9233213724"</f>
        <v>9233213724</v>
      </c>
      <c r="AA1640" t="str">
        <f>"9224014467"</f>
        <v>9224014467</v>
      </c>
      <c r="AB1640" t="str">
        <f>"9224014467"</f>
        <v>9224014467</v>
      </c>
      <c r="AC1640" t="str">
        <f>"9224014467"</f>
        <v>9224014467</v>
      </c>
      <c r="AD1640" t="str">
        <f>"9224014467"</f>
        <v>9224014467</v>
      </c>
      <c r="AE1640" t="str">
        <f>"9233213724"</f>
        <v>9233213724</v>
      </c>
    </row>
    <row r="1641" spans="1:31" x14ac:dyDescent="0.45">
      <c r="A1641" t="str">
        <f>"КОРОТКОВ ЮРИЙ ВАСИЛЬЕВИЧ"</f>
        <v>КОРОТКОВ ЮРИЙ ВАСИЛЬЕВИЧ</v>
      </c>
      <c r="B1641" t="str">
        <f>"1957-12-17"</f>
        <v>1957-12-17</v>
      </c>
      <c r="C1641" t="str">
        <f>"75 03 398965"</f>
        <v>75 03 398965</v>
      </c>
      <c r="D1641" t="str">
        <f>"5313100475692033"</f>
        <v>5313100475692033</v>
      </c>
      <c r="E1641" t="str">
        <f>"2020-10-31"</f>
        <v>2020-10-31</v>
      </c>
      <c r="F1641" t="str">
        <f t="shared" si="286"/>
        <v>+</v>
      </c>
      <c r="G1641" t="str">
        <f t="shared" si="286"/>
        <v>+</v>
      </c>
      <c r="H1641" t="str">
        <f>"40817810516991391314"</f>
        <v>40817810516991391314</v>
      </c>
      <c r="I1641" t="str">
        <f>"8597"</f>
        <v>8597</v>
      </c>
      <c r="J1641" t="str">
        <f>"0447"</f>
        <v>0447</v>
      </c>
      <c r="K1641" t="str">
        <f>"12000.00"</f>
        <v>12000.00</v>
      </c>
      <c r="L1641" t="str">
        <f>"454000 ОБЛ ЧЕЛЯБИНСКАЯ   Г ТРОИЦК   УЛ МАЛИНИНА д. 16"</f>
        <v>454000 ОБЛ ЧЕЛЯБИНСКАЯ   Г ТРОИЦК   УЛ МАЛИНИНА д. 16</v>
      </c>
      <c r="M1641" t="str">
        <f t="shared" si="276"/>
        <v>2019-08-24</v>
      </c>
      <c r="N1641" t="str">
        <f>"ПЕНСИОНЕР"</f>
        <v>ПЕНСИОНЕР</v>
      </c>
      <c r="O1641" t="str">
        <f>"457100"</f>
        <v>457100</v>
      </c>
      <c r="P1641" t="str">
        <f>"ОБЛ ЧЕЛЯБИНСКАЯ"</f>
        <v>ОБЛ ЧЕЛЯБИНСКАЯ</v>
      </c>
      <c r="Q1641" t="str">
        <f>""</f>
        <v/>
      </c>
      <c r="R1641" t="str">
        <f>"Г ТРОИЦК"</f>
        <v>Г ТРОИЦК</v>
      </c>
      <c r="S1641" t="str">
        <f>""</f>
        <v/>
      </c>
      <c r="T1641" t="str">
        <f>"УЛ МАЛИНИНА"</f>
        <v>УЛ МАЛИНИНА</v>
      </c>
      <c r="U1641" s="1" t="str">
        <f>"16"</f>
        <v>16</v>
      </c>
      <c r="V1641" s="1" t="str">
        <f>""</f>
        <v/>
      </c>
      <c r="W1641" s="1" t="str">
        <f>""</f>
        <v/>
      </c>
      <c r="X1641" s="1" t="str">
        <f>""</f>
        <v/>
      </c>
      <c r="Y1641" s="1" t="str">
        <f>""</f>
        <v/>
      </c>
      <c r="Z1641" t="str">
        <f>""</f>
        <v/>
      </c>
      <c r="AA1641" t="str">
        <f>"9517783293"</f>
        <v>9517783293</v>
      </c>
      <c r="AB1641" t="str">
        <f>"9517783293"</f>
        <v>9517783293</v>
      </c>
      <c r="AC1641" t="str">
        <f>"9517783293"</f>
        <v>9517783293</v>
      </c>
      <c r="AD1641" t="str">
        <f>"9517783293"</f>
        <v>9517783293</v>
      </c>
      <c r="AE1641" t="str">
        <f>""</f>
        <v/>
      </c>
    </row>
    <row r="1642" spans="1:31" x14ac:dyDescent="0.45">
      <c r="A1642" t="str">
        <f>"ПАТРАКОВА ЕЛЕНА ВАЛЕРЬЕВНА"</f>
        <v>ПАТРАКОВА ЕЛЕНА ВАЛЕРЬЕВНА</v>
      </c>
      <c r="B1642" t="str">
        <f>"1985-05-27"</f>
        <v>1985-05-27</v>
      </c>
      <c r="C1642" t="str">
        <f>"80 05 860376"</f>
        <v>80 05 860376</v>
      </c>
      <c r="D1642" t="str">
        <f>"4854630164865696"</f>
        <v>4854630164865696</v>
      </c>
      <c r="E1642" t="str">
        <f>"2020-04-30"</f>
        <v>2020-04-30</v>
      </c>
      <c r="F1642" t="str">
        <f t="shared" si="286"/>
        <v>+</v>
      </c>
      <c r="G1642" t="str">
        <f t="shared" si="286"/>
        <v>+</v>
      </c>
      <c r="H1642" t="str">
        <f>"40817810816991391315"</f>
        <v>40817810816991391315</v>
      </c>
      <c r="I1642" t="str">
        <f>"8597"</f>
        <v>8597</v>
      </c>
      <c r="J1642" t="str">
        <f>"0132"</f>
        <v>0132</v>
      </c>
      <c r="K1642" t="str">
        <f>"15000.00"</f>
        <v>15000.00</v>
      </c>
      <c r="L1642" t="str">
        <f>"454000 ОБЛ ЧЕЛЯБИНСКАЯ   Г ЧЕЛЯБИНСК   ПР-КТ СВЕРДЛОВСКИЙ д. 11"</f>
        <v>454000 ОБЛ ЧЕЛЯБИНСКАЯ   Г ЧЕЛЯБИНСК   ПР-КТ СВЕРДЛОВСКИЙ д. 11</v>
      </c>
      <c r="M1642" t="str">
        <f t="shared" si="276"/>
        <v>2019-08-24</v>
      </c>
      <c r="N1642" t="s">
        <v>95</v>
      </c>
      <c r="O1642" t="str">
        <f>"452592"</f>
        <v>452592</v>
      </c>
      <c r="P1642" t="str">
        <f>"РЕСП БАШКОРТОСТАН"</f>
        <v>РЕСП БАШКОРТОСТАН</v>
      </c>
      <c r="Q1642" t="str">
        <f>"Р-Н БЕЛОКАТАЙСКИЙ"</f>
        <v>Р-Н БЕЛОКАТАЙСКИЙ</v>
      </c>
      <c r="R1642" t="str">
        <f>""</f>
        <v/>
      </c>
      <c r="S1642" t="str">
        <f>"С КАРЛЫХАНОВО"</f>
        <v>С КАРЛЫХАНОВО</v>
      </c>
      <c r="T1642" t="str">
        <f>"УЛ КЛЮЧЕВАЯ"</f>
        <v>УЛ КЛЮЧЕВАЯ</v>
      </c>
      <c r="U1642" s="1" t="str">
        <f>"5"</f>
        <v>5</v>
      </c>
      <c r="V1642" s="1" t="str">
        <f>""</f>
        <v/>
      </c>
      <c r="W1642" s="1" t="str">
        <f>""</f>
        <v/>
      </c>
      <c r="X1642" s="1" t="str">
        <f>""</f>
        <v/>
      </c>
      <c r="Y1642" s="1" t="str">
        <f>"2"</f>
        <v>2</v>
      </c>
      <c r="Z1642" t="str">
        <f>"3512399281"</f>
        <v>3512399281</v>
      </c>
      <c r="AA1642" t="str">
        <f>"3475023284"</f>
        <v>3475023284</v>
      </c>
      <c r="AB1642" t="str">
        <f>"9085758664"</f>
        <v>9085758664</v>
      </c>
      <c r="AC1642" t="str">
        <f>"3475023284"</f>
        <v>3475023284</v>
      </c>
      <c r="AD1642" t="str">
        <f>"9085758664"</f>
        <v>9085758664</v>
      </c>
      <c r="AE1642" t="str">
        <f>""</f>
        <v/>
      </c>
    </row>
    <row r="1643" spans="1:31" x14ac:dyDescent="0.45">
      <c r="A1643" t="str">
        <f>"СЕРИКОВА ЛЮБОВЬ ЗИНОВЬЕВНА"</f>
        <v>СЕРИКОВА ЛЮБОВЬ ЗИНОВЬЕВНА</v>
      </c>
      <c r="B1643" t="str">
        <f>"1956-07-24"</f>
        <v>1956-07-24</v>
      </c>
      <c r="C1643" t="str">
        <f>"75 08 236887"</f>
        <v>75 08 236887</v>
      </c>
      <c r="D1643" t="str">
        <f>"5469011608165650"</f>
        <v>5469011608165650</v>
      </c>
      <c r="E1643" t="str">
        <f>"2021-11-30"</f>
        <v>2021-11-30</v>
      </c>
      <c r="F1643" t="str">
        <f>"Y"</f>
        <v>Y</v>
      </c>
      <c r="G1643" t="str">
        <f t="shared" si="286"/>
        <v>+</v>
      </c>
      <c r="H1643" t="str">
        <f>"40817810316991391336"</f>
        <v>40817810316991391336</v>
      </c>
      <c r="I1643" t="str">
        <f>"8597"</f>
        <v>8597</v>
      </c>
      <c r="J1643" t="str">
        <f>"0331"</f>
        <v>0331</v>
      </c>
      <c r="K1643" t="str">
        <f>"50000.00"</f>
        <v>50000.00</v>
      </c>
      <c r="L1643" t="str">
        <f>"454000 ОБЛ ЧЕЛЯБИНСКАЯ   Г МАГНИТОГОРСК   УЛ СУВОРОВА д. 123"</f>
        <v>454000 ОБЛ ЧЕЛЯБИНСКАЯ   Г МАГНИТОГОРСК   УЛ СУВОРОВА д. 123</v>
      </c>
      <c r="M1643" t="str">
        <f t="shared" si="276"/>
        <v>2019-08-24</v>
      </c>
      <c r="N1643" t="str">
        <f>"ПЕНСИОННЫЙ ФОНД"</f>
        <v>ПЕНСИОННЫЙ ФОНД</v>
      </c>
      <c r="O1643" t="str">
        <f>"454000"</f>
        <v>454000</v>
      </c>
      <c r="P1643" t="str">
        <f>"ОБЛ ЧЕЛЯБИНСКАЯ"</f>
        <v>ОБЛ ЧЕЛЯБИНСКАЯ</v>
      </c>
      <c r="Q1643" t="str">
        <f>""</f>
        <v/>
      </c>
      <c r="R1643" t="str">
        <f>"Г МАГНИТОГОРСК"</f>
        <v>Г МАГНИТОГОРСК</v>
      </c>
      <c r="S1643" t="str">
        <f>""</f>
        <v/>
      </c>
      <c r="T1643" t="str">
        <f>"УЛ БОЛОТНИКОВА"</f>
        <v>УЛ БОЛОТНИКОВА</v>
      </c>
      <c r="U1643" s="1" t="str">
        <f>"21"</f>
        <v>21</v>
      </c>
      <c r="V1643" s="1" t="str">
        <f>""</f>
        <v/>
      </c>
      <c r="W1643" s="1" t="str">
        <f>""</f>
        <v/>
      </c>
      <c r="X1643" s="1" t="str">
        <f>""</f>
        <v/>
      </c>
      <c r="Y1643" s="1" t="str">
        <f>"12"</f>
        <v>12</v>
      </c>
      <c r="Z1643" t="str">
        <f>""</f>
        <v/>
      </c>
      <c r="AA1643" t="str">
        <f>"9028954994"</f>
        <v>9028954994</v>
      </c>
      <c r="AB1643" t="str">
        <f>"9028954994"</f>
        <v>9028954994</v>
      </c>
      <c r="AC1643" t="str">
        <f>"9634770999"</f>
        <v>9634770999</v>
      </c>
      <c r="AD1643" t="str">
        <f>"9028954994"</f>
        <v>9028954994</v>
      </c>
      <c r="AE1643" t="str">
        <f>""</f>
        <v/>
      </c>
    </row>
    <row r="1644" spans="1:31" x14ac:dyDescent="0.45">
      <c r="A1644" t="str">
        <f>"МЕДВЕДЕВА МАРГАРИТА ВИКТОРОВНА"</f>
        <v>МЕДВЕДЕВА МАРГАРИТА ВИКТОРОВНА</v>
      </c>
      <c r="B1644" t="str">
        <f>"1964-09-11"</f>
        <v>1964-09-11</v>
      </c>
      <c r="C1644" t="str">
        <f>"75 09 569455"</f>
        <v>75 09 569455</v>
      </c>
      <c r="D1644" t="str">
        <f>"5313100610498288"</f>
        <v>5313100610498288</v>
      </c>
      <c r="E1644" t="str">
        <f>"2021-03-31"</f>
        <v>2021-03-31</v>
      </c>
      <c r="F1644" t="str">
        <f t="shared" ref="F1644:F1649" si="287">"+"</f>
        <v>+</v>
      </c>
      <c r="G1644" t="str">
        <f t="shared" si="286"/>
        <v>+</v>
      </c>
      <c r="H1644" t="str">
        <f>"40817810616991391337"</f>
        <v>40817810616991391337</v>
      </c>
      <c r="I1644" t="str">
        <f>"8597"</f>
        <v>8597</v>
      </c>
      <c r="J1644" t="str">
        <f>"0476"</f>
        <v>0476</v>
      </c>
      <c r="K1644" t="str">
        <f>"25000.00"</f>
        <v>25000.00</v>
      </c>
      <c r="L1644" t="str">
        <f>"454000 ОБЛ ЧЕЛЯБИНСКАЯ   Г КОРКИНО   ПР-КТ ГОРНЯКОВ д. 9"</f>
        <v>454000 ОБЛ ЧЕЛЯБИНСКАЯ   Г КОРКИНО   ПР-КТ ГОРНЯКОВ д. 9</v>
      </c>
      <c r="M1644" t="str">
        <f t="shared" si="276"/>
        <v>2019-08-24</v>
      </c>
      <c r="N1644" t="str">
        <f>"УПФР Г КОРКИНО"</f>
        <v>УПФР Г КОРКИНО</v>
      </c>
      <c r="O1644" t="str">
        <f>"454000"</f>
        <v>454000</v>
      </c>
      <c r="P1644" t="str">
        <f>"ОБЛ ЧЕЛЯБИНСКАЯ"</f>
        <v>ОБЛ ЧЕЛЯБИНСКАЯ</v>
      </c>
      <c r="Q1644" t="str">
        <f>""</f>
        <v/>
      </c>
      <c r="R1644" t="str">
        <f>"Г КОРКИНО"</f>
        <v>Г КОРКИНО</v>
      </c>
      <c r="S1644" t="str">
        <f>""</f>
        <v/>
      </c>
      <c r="T1644" t="str">
        <f>"УЛ ЧКАЛОВА"</f>
        <v>УЛ ЧКАЛОВА</v>
      </c>
      <c r="U1644" s="1" t="str">
        <f>"7"</f>
        <v>7</v>
      </c>
      <c r="V1644" s="1" t="str">
        <f>""</f>
        <v/>
      </c>
      <c r="W1644" s="1" t="str">
        <f>""</f>
        <v/>
      </c>
      <c r="X1644" s="1" t="str">
        <f>""</f>
        <v/>
      </c>
      <c r="Y1644" s="1" t="str">
        <f>""</f>
        <v/>
      </c>
      <c r="Z1644" t="str">
        <f>""</f>
        <v/>
      </c>
      <c r="AA1644" t="str">
        <f>"9080409739"</f>
        <v>9080409739</v>
      </c>
      <c r="AB1644" t="str">
        <f>"9080679048"</f>
        <v>9080679048</v>
      </c>
      <c r="AC1644" t="str">
        <f>"9080409739"</f>
        <v>9080409739</v>
      </c>
      <c r="AD1644" t="str">
        <f>"9080679048"</f>
        <v>9080679048</v>
      </c>
      <c r="AE1644" t="str">
        <f>""</f>
        <v/>
      </c>
    </row>
    <row r="1645" spans="1:31" x14ac:dyDescent="0.45">
      <c r="A1645" t="str">
        <f>"ШИПИЛОВ АЛЕКСАНДР АЛЕКСАНДРОВИЧ"</f>
        <v>ШИПИЛОВ АЛЕКСАНДР АЛЕКСАНДРОВИЧ</v>
      </c>
      <c r="B1645" t="str">
        <f>"1985-02-02"</f>
        <v>1985-02-02</v>
      </c>
      <c r="C1645" t="str">
        <f>"65 05 406671"</f>
        <v>65 05 406671</v>
      </c>
      <c r="D1645" t="str">
        <f>"4279011618581808"</f>
        <v>4279011618581808</v>
      </c>
      <c r="E1645" t="str">
        <f t="shared" ref="E1645:E1656" si="288">"2021-05-31"</f>
        <v>2021-05-31</v>
      </c>
      <c r="F1645" t="str">
        <f t="shared" si="287"/>
        <v>+</v>
      </c>
      <c r="G1645" t="str">
        <f t="shared" si="286"/>
        <v>+</v>
      </c>
      <c r="H1645" t="str">
        <f>"40817810216991391355"</f>
        <v>40817810216991391355</v>
      </c>
      <c r="I1645" t="str">
        <f>"7003"</f>
        <v>7003</v>
      </c>
      <c r="J1645" t="str">
        <f>"0474"</f>
        <v>0474</v>
      </c>
      <c r="K1645" t="str">
        <f>"200000.00"</f>
        <v>200000.00</v>
      </c>
      <c r="L1645" t="str">
        <f>"620000 ОБЛ СВЕРДЛОВСКАЯ   Г ЕКАТЕРИНБУРГ   УЛ ПОХОДНАЯ д. 84 корп. Б"</f>
        <v>620000 ОБЛ СВЕРДЛОВСКАЯ   Г ЕКАТЕРИНБУРГ   УЛ ПОХОДНАЯ д. 84 корп. Б</v>
      </c>
      <c r="M1645" t="str">
        <f t="shared" si="276"/>
        <v>2019-08-24</v>
      </c>
      <c r="N1645" t="str">
        <f>"ООО ДАНА"</f>
        <v>ООО ДАНА</v>
      </c>
      <c r="O1645" t="str">
        <f>"620000"</f>
        <v>620000</v>
      </c>
      <c r="P1645" t="str">
        <f>"ОБЛ СВЕРДЛОВСКАЯ"</f>
        <v>ОБЛ СВЕРДЛОВСКАЯ</v>
      </c>
      <c r="Q1645" t="str">
        <f>""</f>
        <v/>
      </c>
      <c r="R1645" t="str">
        <f>"Г ВЕРХНЯЯ ПЫШМА"</f>
        <v>Г ВЕРХНЯЯ ПЫШМА</v>
      </c>
      <c r="S1645" t="str">
        <f>""</f>
        <v/>
      </c>
      <c r="T1645" t="str">
        <f>"УЛ ПИОНЕРСКАЯ"</f>
        <v>УЛ ПИОНЕРСКАЯ</v>
      </c>
      <c r="U1645" s="1" t="str">
        <f>"4"</f>
        <v>4</v>
      </c>
      <c r="V1645" s="1" t="str">
        <f>""</f>
        <v/>
      </c>
      <c r="W1645" s="1" t="str">
        <f>"Б"</f>
        <v>Б</v>
      </c>
      <c r="X1645" s="1" t="str">
        <f>""</f>
        <v/>
      </c>
      <c r="Y1645" s="1" t="str">
        <f>""</f>
        <v/>
      </c>
      <c r="Z1645" t="str">
        <f>""</f>
        <v/>
      </c>
      <c r="AA1645" t="str">
        <f>"9501954466"</f>
        <v>9501954466</v>
      </c>
      <c r="AB1645" t="str">
        <f>"9501954466"</f>
        <v>9501954466</v>
      </c>
      <c r="AC1645" t="str">
        <f>"9501954466"</f>
        <v>9501954466</v>
      </c>
      <c r="AD1645" t="str">
        <f>"9501954466"</f>
        <v>9501954466</v>
      </c>
      <c r="AE1645" t="str">
        <f>""</f>
        <v/>
      </c>
    </row>
    <row r="1646" spans="1:31" x14ac:dyDescent="0.45">
      <c r="A1646" t="str">
        <f>"ИВАНОВ КОНСТАНТИН АЛЕКСАНДРОВИЧ"</f>
        <v>ИВАНОВ КОНСТАНТИН АЛЕКСАНДРОВИЧ</v>
      </c>
      <c r="B1646" t="str">
        <f>"1984-03-11"</f>
        <v>1984-03-11</v>
      </c>
      <c r="C1646" t="str">
        <f>"75 11 960218"</f>
        <v>75 11 960218</v>
      </c>
      <c r="D1646" t="str">
        <f>"4279011656806083"</f>
        <v>4279011656806083</v>
      </c>
      <c r="E1646" t="str">
        <f t="shared" si="288"/>
        <v>2021-05-31</v>
      </c>
      <c r="F1646" t="str">
        <f t="shared" si="287"/>
        <v>+</v>
      </c>
      <c r="G1646" t="str">
        <f t="shared" si="286"/>
        <v>+</v>
      </c>
      <c r="H1646" t="str">
        <f>"40817810216991391410"</f>
        <v>40817810216991391410</v>
      </c>
      <c r="I1646" t="str">
        <f>"8597"</f>
        <v>8597</v>
      </c>
      <c r="J1646" t="str">
        <f>"0237"</f>
        <v>0237</v>
      </c>
      <c r="K1646" t="str">
        <f>"230000.00"</f>
        <v>230000.00</v>
      </c>
      <c r="L1646" t="str">
        <f>"454000 ОБЛ ЧЕЛЯБИНСКАЯ   Г ЧЕЛЯБИСК   УЛ МОЛОДОГВАРДЕЙЦЕВ д. 55 корп. А"</f>
        <v>454000 ОБЛ ЧЕЛЯБИНСКАЯ   Г ЧЕЛЯБИСК   УЛ МОЛОДОГВАРДЕЙЦЕВ д. 55 корп. А</v>
      </c>
      <c r="M1646" t="str">
        <f t="shared" si="276"/>
        <v>2019-08-24</v>
      </c>
      <c r="N1646" t="str">
        <f>"ООО ДЕЛЬТА-ЧЕЛЯБИНСК"</f>
        <v>ООО ДЕЛЬТА-ЧЕЛЯБИНСК</v>
      </c>
      <c r="O1646" t="str">
        <f>"454000"</f>
        <v>454000</v>
      </c>
      <c r="P1646" t="str">
        <f>"ОБЛ ЧЕЛЯБИНСКАЯ"</f>
        <v>ОБЛ ЧЕЛЯБИНСКАЯ</v>
      </c>
      <c r="Q1646" t="str">
        <f>""</f>
        <v/>
      </c>
      <c r="R1646" t="str">
        <f>"Г ЧЕЛЯБИНСК"</f>
        <v>Г ЧЕЛЯБИНСК</v>
      </c>
      <c r="S1646" t="str">
        <f>""</f>
        <v/>
      </c>
      <c r="T1646" t="str">
        <f>"УЛ ЗАХАРЕНКО"</f>
        <v>УЛ ЗАХАРЕНКО</v>
      </c>
      <c r="U1646" s="1" t="str">
        <f>"1"</f>
        <v>1</v>
      </c>
      <c r="V1646" s="1" t="str">
        <f>""</f>
        <v/>
      </c>
      <c r="W1646" s="1" t="str">
        <f>"Б"</f>
        <v>Б</v>
      </c>
      <c r="X1646" s="1" t="str">
        <f>""</f>
        <v/>
      </c>
      <c r="Y1646" s="1" t="str">
        <f>"1"</f>
        <v>1</v>
      </c>
      <c r="Z1646" t="str">
        <f>"9085745000"</f>
        <v>9085745000</v>
      </c>
      <c r="AA1646" t="str">
        <f>"9000226760"</f>
        <v>9000226760</v>
      </c>
      <c r="AB1646" t="str">
        <f>"9085745000"</f>
        <v>9085745000</v>
      </c>
      <c r="AC1646" t="str">
        <f>"9000226760"</f>
        <v>9000226760</v>
      </c>
      <c r="AD1646" t="str">
        <f>"9085745000"</f>
        <v>9085745000</v>
      </c>
      <c r="AE1646" t="str">
        <f>"9085745000"</f>
        <v>9085745000</v>
      </c>
    </row>
    <row r="1647" spans="1:31" x14ac:dyDescent="0.45">
      <c r="A1647" t="str">
        <f>"ИСКИБАЕВ ЕВГЕНИЙ ВИТАЛЬЕВИЧ"</f>
        <v>ИСКИБАЕВ ЕВГЕНИЙ ВИТАЛЬЕВИЧ</v>
      </c>
      <c r="B1647" t="str">
        <f>"1993-01-27"</f>
        <v>1993-01-27</v>
      </c>
      <c r="C1647" t="str">
        <f>"80 12 722109"</f>
        <v>80 12 722109</v>
      </c>
      <c r="D1647" t="str">
        <f>"4279011690278885"</f>
        <v>4279011690278885</v>
      </c>
      <c r="E1647" t="str">
        <f t="shared" si="288"/>
        <v>2021-05-31</v>
      </c>
      <c r="F1647" t="str">
        <f t="shared" si="287"/>
        <v>+</v>
      </c>
      <c r="G1647" t="str">
        <f t="shared" si="286"/>
        <v>+</v>
      </c>
      <c r="H1647" t="str">
        <f>"40817810516991391411"</f>
        <v>40817810516991391411</v>
      </c>
      <c r="I1647" t="str">
        <f>"8598"</f>
        <v>8598</v>
      </c>
      <c r="J1647" t="str">
        <f>"0018"</f>
        <v>0018</v>
      </c>
      <c r="K1647" t="str">
        <f>"280000.00"</f>
        <v>280000.00</v>
      </c>
      <c r="L1647" t="str">
        <f>"450000 РЕСП БАШКОРТОСТАН   Г УФА   УЛ САРАПУЛЬСКАЯ д. 73"</f>
        <v>450000 РЕСП БАШКОРТОСТАН   Г УФА   УЛ САРАПУЛЬСКАЯ д. 73</v>
      </c>
      <c r="M1647" t="str">
        <f t="shared" si="276"/>
        <v>2019-08-24</v>
      </c>
      <c r="N1647" t="str">
        <f>"ООО ТЕРМОСФЕРА"</f>
        <v>ООО ТЕРМОСФЕРА</v>
      </c>
      <c r="O1647" t="str">
        <f>"450000"</f>
        <v>450000</v>
      </c>
      <c r="P1647" t="str">
        <f>"РЕСП БАШКОРТОСТАН"</f>
        <v>РЕСП БАШКОРТОСТАН</v>
      </c>
      <c r="Q1647" t="str">
        <f>""</f>
        <v/>
      </c>
      <c r="R1647" t="str">
        <f>"Г НЕФТЕКАМСК"</f>
        <v>Г НЕФТЕКАМСК</v>
      </c>
      <c r="S1647" t="str">
        <f>""</f>
        <v/>
      </c>
      <c r="T1647" t="str">
        <f>"УЛ ДРУЖБЫ"</f>
        <v>УЛ ДРУЖБЫ</v>
      </c>
      <c r="U1647" s="1" t="str">
        <f>"36"</f>
        <v>36</v>
      </c>
      <c r="V1647" s="1" t="str">
        <f>""</f>
        <v/>
      </c>
      <c r="W1647" s="1" t="str">
        <f>""</f>
        <v/>
      </c>
      <c r="X1647" s="1" t="str">
        <f>""</f>
        <v/>
      </c>
      <c r="Y1647" s="1" t="str">
        <f>""</f>
        <v/>
      </c>
      <c r="Z1647" t="str">
        <f>"9174882758"</f>
        <v>9174882758</v>
      </c>
      <c r="AA1647" t="str">
        <f>"9631401280"</f>
        <v>9631401280</v>
      </c>
      <c r="AB1647" t="str">
        <f>"9631401280"</f>
        <v>9631401280</v>
      </c>
      <c r="AC1647" t="str">
        <f>"9631401280"</f>
        <v>9631401280</v>
      </c>
      <c r="AD1647" t="str">
        <f>"9631401280"</f>
        <v>9631401280</v>
      </c>
      <c r="AE1647" t="str">
        <f>"9174882758"</f>
        <v>9174882758</v>
      </c>
    </row>
    <row r="1648" spans="1:31" x14ac:dyDescent="0.45">
      <c r="A1648" t="str">
        <f>"КОВАЛЕВ СТЕПАН СЕРГЕЕВИЧ"</f>
        <v>КОВАЛЕВ СТЕПАН СЕРГЕЕВИЧ</v>
      </c>
      <c r="B1648" t="str">
        <f>"1981-11-14"</f>
        <v>1981-11-14</v>
      </c>
      <c r="C1648" t="str">
        <f>"65 05 093867"</f>
        <v>65 05 093867</v>
      </c>
      <c r="D1648" t="str">
        <f>"4279011621112476"</f>
        <v>4279011621112476</v>
      </c>
      <c r="E1648" t="str">
        <f t="shared" si="288"/>
        <v>2021-05-31</v>
      </c>
      <c r="F1648" t="str">
        <f t="shared" si="287"/>
        <v>+</v>
      </c>
      <c r="G1648" t="str">
        <f t="shared" si="286"/>
        <v>+</v>
      </c>
      <c r="H1648" t="str">
        <f>"40817810816991391412"</f>
        <v>40817810816991391412</v>
      </c>
      <c r="I1648" t="str">
        <f>"7003"</f>
        <v>7003</v>
      </c>
      <c r="J1648" t="str">
        <f>"0409"</f>
        <v>0409</v>
      </c>
      <c r="K1648" t="str">
        <f>"400000.00"</f>
        <v>400000.00</v>
      </c>
      <c r="L1648" t="str">
        <f>"620000 ОБЛ СВЕРДЛОВСКАЯ   Г ЕКАТЕРИНБУРГ   УЛ БЕЛИНСКОГО д. 39"</f>
        <v>620000 ОБЛ СВЕРДЛОВСКАЯ   Г ЕКАТЕРИНБУРГ   УЛ БЕЛИНСКОГО д. 39</v>
      </c>
      <c r="M1648" t="str">
        <f t="shared" si="276"/>
        <v>2019-08-24</v>
      </c>
      <c r="N1648" t="str">
        <f>"АО КОРПОРАЦИЯ АТОМСТРОЙ КОМПЛЕКС"</f>
        <v>АО КОРПОРАЦИЯ АТОМСТРОЙ КОМПЛЕКС</v>
      </c>
      <c r="O1648" t="str">
        <f>"620000"</f>
        <v>620000</v>
      </c>
      <c r="P1648" t="str">
        <f>"ОБЛ СВЕРДЛОВСКАЯ"</f>
        <v>ОБЛ СВЕРДЛОВСКАЯ</v>
      </c>
      <c r="Q1648" t="str">
        <f>""</f>
        <v/>
      </c>
      <c r="R1648" t="str">
        <f>"Г ЕКАТЕРИНБУРГ"</f>
        <v>Г ЕКАТЕРИНБУРГ</v>
      </c>
      <c r="S1648" t="str">
        <f>""</f>
        <v/>
      </c>
      <c r="T1648" t="str">
        <f>"УЛ НАЧ.ОНУФРИЕВА"</f>
        <v>УЛ НАЧ.ОНУФРИЕВА</v>
      </c>
      <c r="U1648" s="1" t="str">
        <f>"24"</f>
        <v>24</v>
      </c>
      <c r="V1648" s="1" t="str">
        <f>""</f>
        <v/>
      </c>
      <c r="W1648" s="1" t="str">
        <f>"2"</f>
        <v>2</v>
      </c>
      <c r="X1648" s="1" t="str">
        <f>""</f>
        <v/>
      </c>
      <c r="Y1648" s="1" t="str">
        <f>"266"</f>
        <v>266</v>
      </c>
      <c r="Z1648" t="str">
        <f>""</f>
        <v/>
      </c>
      <c r="AA1648" t="str">
        <f>"289626"</f>
        <v>289626</v>
      </c>
      <c r="AB1648" t="str">
        <f>"9221233153"</f>
        <v>9221233153</v>
      </c>
      <c r="AC1648" t="str">
        <f>"9221233153"</f>
        <v>9221233153</v>
      </c>
      <c r="AD1648" t="str">
        <f>"9221233153"</f>
        <v>9221233153</v>
      </c>
      <c r="AE1648" t="str">
        <f>""</f>
        <v/>
      </c>
    </row>
    <row r="1649" spans="1:31" x14ac:dyDescent="0.45">
      <c r="A1649" t="str">
        <f>"ФАТКУЛЛИН ЭДУАРД АХТЯМУТДИНОВИЧ"</f>
        <v>ФАТКУЛЛИН ЭДУАРД АХТЯМУТДИНОВИЧ</v>
      </c>
      <c r="B1649" t="str">
        <f>"1980-05-13"</f>
        <v>1980-05-13</v>
      </c>
      <c r="C1649" t="str">
        <f>"74 03 370596"</f>
        <v>74 03 370596</v>
      </c>
      <c r="D1649" t="str">
        <f>"4279011659853215"</f>
        <v>4279011659853215</v>
      </c>
      <c r="E1649" t="str">
        <f t="shared" si="288"/>
        <v>2021-05-31</v>
      </c>
      <c r="F1649" t="str">
        <f t="shared" si="287"/>
        <v>+</v>
      </c>
      <c r="G1649" t="str">
        <f t="shared" si="286"/>
        <v>+</v>
      </c>
      <c r="H1649" t="str">
        <f>"40817810516991391518"</f>
        <v>40817810516991391518</v>
      </c>
      <c r="I1649" t="str">
        <f>"8598"</f>
        <v>8598</v>
      </c>
      <c r="J1649" t="str">
        <f>"0197"</f>
        <v>0197</v>
      </c>
      <c r="K1649" t="str">
        <f>"80000.00"</f>
        <v>80000.00</v>
      </c>
      <c r="L1649" t="str">
        <f>"000000   Г МОСКВА   УЛ СЕЛЕЗНЕВСКАЯ д. 21"</f>
        <v>000000   Г МОСКВА   УЛ СЕЛЕЗНЕВСКАЯ д. 21</v>
      </c>
      <c r="M1649" t="str">
        <f t="shared" si="276"/>
        <v>2019-08-24</v>
      </c>
      <c r="N1649" t="str">
        <f>"ЗАО 1С"</f>
        <v>ЗАО 1С</v>
      </c>
      <c r="O1649" t="str">
        <f>"450000"</f>
        <v>450000</v>
      </c>
      <c r="P1649" t="str">
        <f>"РЕСП БАШКОРТОСТАН"</f>
        <v>РЕСП БАШКОРТОСТАН</v>
      </c>
      <c r="Q1649" t="str">
        <f>""</f>
        <v/>
      </c>
      <c r="R1649" t="str">
        <f>"Г УФА"</f>
        <v>Г УФА</v>
      </c>
      <c r="S1649" t="str">
        <f>""</f>
        <v/>
      </c>
      <c r="T1649" t="str">
        <f>"УЛ ЗАКИ ВАЛИДИ"</f>
        <v>УЛ ЗАКИ ВАЛИДИ</v>
      </c>
      <c r="U1649" s="1" t="str">
        <f>"58"</f>
        <v>58</v>
      </c>
      <c r="V1649" s="1" t="str">
        <f>""</f>
        <v/>
      </c>
      <c r="W1649" s="1" t="str">
        <f>""</f>
        <v/>
      </c>
      <c r="X1649" s="1" t="str">
        <f>""</f>
        <v/>
      </c>
      <c r="Y1649" s="1" t="str">
        <f>"175"</f>
        <v>175</v>
      </c>
      <c r="Z1649" t="str">
        <f>"9650603103"</f>
        <v>9650603103</v>
      </c>
      <c r="AA1649" t="str">
        <f>"9154501309"</f>
        <v>9154501309</v>
      </c>
      <c r="AB1649" t="str">
        <f>"9656500531"</f>
        <v>9656500531</v>
      </c>
      <c r="AC1649" t="str">
        <f>"9656500531"</f>
        <v>9656500531</v>
      </c>
      <c r="AD1649" t="str">
        <f>"9656500531"</f>
        <v>9656500531</v>
      </c>
      <c r="AE1649" t="str">
        <f>""</f>
        <v/>
      </c>
    </row>
    <row r="1650" spans="1:31" x14ac:dyDescent="0.45">
      <c r="A1650" t="str">
        <f>"САДРЕТДИНОВ ДЕНИС ФАРИТОВИЧ"</f>
        <v>САДРЕТДИНОВ ДЕНИС ФАРИТОВИЧ</v>
      </c>
      <c r="B1650" t="str">
        <f>"1985-07-16"</f>
        <v>1985-07-16</v>
      </c>
      <c r="C1650" t="str">
        <f>"65 05 550915"</f>
        <v>65 05 550915</v>
      </c>
      <c r="D1650" t="str">
        <f>"4279011675270014"</f>
        <v>4279011675270014</v>
      </c>
      <c r="E1650" t="str">
        <f t="shared" si="288"/>
        <v>2021-05-31</v>
      </c>
      <c r="F1650" t="str">
        <f>"K"</f>
        <v>K</v>
      </c>
      <c r="G1650" t="str">
        <f t="shared" si="286"/>
        <v>+</v>
      </c>
      <c r="H1650" t="str">
        <f>"40817810716991391525"</f>
        <v>40817810716991391525</v>
      </c>
      <c r="I1650" t="str">
        <f>"7003"</f>
        <v>7003</v>
      </c>
      <c r="J1650" t="str">
        <f>"0368"</f>
        <v>0368</v>
      </c>
      <c r="K1650" t="str">
        <f>"96000.00"</f>
        <v>96000.00</v>
      </c>
      <c r="L1650" t="str">
        <f>"620028 ОБЛ СВЕРДЛОВСКАЯ   Г ЕКАТЕРИНБУРГ   УЛ КИРОВА д. 28"</f>
        <v>620028 ОБЛ СВЕРДЛОВСКАЯ   Г ЕКАТЕРИНБУРГ   УЛ КИРОВА д. 28</v>
      </c>
      <c r="M1650" t="str">
        <f t="shared" si="276"/>
        <v>2019-08-24</v>
      </c>
      <c r="N1650" t="str">
        <f>"ООО ВИЗ-СТАЛЬ"</f>
        <v>ООО ВИЗ-СТАЛЬ</v>
      </c>
      <c r="O1650" t="str">
        <f>"620000"</f>
        <v>620000</v>
      </c>
      <c r="P1650" t="str">
        <f>"ОБЛ СВЕРДЛОВСКАЯ"</f>
        <v>ОБЛ СВЕРДЛОВСКАЯ</v>
      </c>
      <c r="Q1650" t="str">
        <f>""</f>
        <v/>
      </c>
      <c r="R1650" t="str">
        <f>"Г ЕКАТЕРИНБУРГ"</f>
        <v>Г ЕКАТЕРИНБУРГ</v>
      </c>
      <c r="S1650" t="str">
        <f>""</f>
        <v/>
      </c>
      <c r="T1650" t="str">
        <f>"УЛ ВИКУЛОВА"</f>
        <v>УЛ ВИКУЛОВА</v>
      </c>
      <c r="U1650" s="1" t="str">
        <f>"46"</f>
        <v>46</v>
      </c>
      <c r="V1650" s="1" t="str">
        <f>""</f>
        <v/>
      </c>
      <c r="W1650" s="1" t="str">
        <f>"Б"</f>
        <v>Б</v>
      </c>
      <c r="X1650" s="1" t="str">
        <f>""</f>
        <v/>
      </c>
      <c r="Y1650" s="1" t="str">
        <f>"17"</f>
        <v>17</v>
      </c>
      <c r="Z1650" t="str">
        <f>"+7 (343) 2632375"</f>
        <v>+7 (343) 2632375</v>
      </c>
      <c r="AA1650" t="str">
        <f>"+7 (904) 9804475"</f>
        <v>+7 (904) 9804475</v>
      </c>
      <c r="AB1650" t="str">
        <f>"+7 (904) 5464882"</f>
        <v>+7 (904) 5464882</v>
      </c>
      <c r="AC1650" t="str">
        <f>"9049804475"</f>
        <v>9049804475</v>
      </c>
      <c r="AD1650" t="str">
        <f>"9045464882"</f>
        <v>9045464882</v>
      </c>
      <c r="AE1650" t="str">
        <f>"9045464882"</f>
        <v>9045464882</v>
      </c>
    </row>
    <row r="1651" spans="1:31" x14ac:dyDescent="0.45">
      <c r="A1651" t="str">
        <f>"САГИТОВА ИРИНА РИШАТОВНА"</f>
        <v>САГИТОВА ИРИНА РИШАТОВНА</v>
      </c>
      <c r="B1651" t="str">
        <f>"1990-09-19"</f>
        <v>1990-09-19</v>
      </c>
      <c r="C1651" t="str">
        <f>"75 12 177488"</f>
        <v>75 12 177488</v>
      </c>
      <c r="D1651" t="str">
        <f>"4279011647223935"</f>
        <v>4279011647223935</v>
      </c>
      <c r="E1651" t="str">
        <f t="shared" si="288"/>
        <v>2021-05-31</v>
      </c>
      <c r="F1651" t="str">
        <f>"+"</f>
        <v>+</v>
      </c>
      <c r="G1651" t="str">
        <f t="shared" si="286"/>
        <v>+</v>
      </c>
      <c r="H1651" t="str">
        <f>"40817810216991391533"</f>
        <v>40817810216991391533</v>
      </c>
      <c r="I1651" t="str">
        <f>"8597"</f>
        <v>8597</v>
      </c>
      <c r="J1651" t="str">
        <f>"0314"</f>
        <v>0314</v>
      </c>
      <c r="K1651" t="str">
        <f>"40000.00"</f>
        <v>40000.00</v>
      </c>
      <c r="L1651" t="str">
        <f>"454000 ОБЛ ЧЕЛЯБИНСКАЯ   Г АША   УЛ КИРОВА д. 55"</f>
        <v>454000 ОБЛ ЧЕЛЯБИНСКАЯ   Г АША   УЛ КИРОВА д. 55</v>
      </c>
      <c r="M1651" t="str">
        <f t="shared" si="276"/>
        <v>2019-08-24</v>
      </c>
      <c r="N1651" t="str">
        <f>"МУП АКХ"</f>
        <v>МУП АКХ</v>
      </c>
      <c r="O1651" t="str">
        <f>"454000"</f>
        <v>454000</v>
      </c>
      <c r="P1651" t="str">
        <f>"ОБЛ ЧЕЛЯБИНСКАЯ"</f>
        <v>ОБЛ ЧЕЛЯБИНСКАЯ</v>
      </c>
      <c r="Q1651" t="str">
        <f>""</f>
        <v/>
      </c>
      <c r="R1651" t="str">
        <f>"Г АША"</f>
        <v>Г АША</v>
      </c>
      <c r="S1651" t="str">
        <f>""</f>
        <v/>
      </c>
      <c r="T1651" t="str">
        <f>"УЛ 40-ЛЕТИЯ ПОБЕДЫ"</f>
        <v>УЛ 40-ЛЕТИЯ ПОБЕДЫ</v>
      </c>
      <c r="U1651" s="1" t="str">
        <f>"8"</f>
        <v>8</v>
      </c>
      <c r="V1651" s="1" t="str">
        <f>""</f>
        <v/>
      </c>
      <c r="W1651" s="1" t="str">
        <f>""</f>
        <v/>
      </c>
      <c r="X1651" s="1" t="str">
        <f>""</f>
        <v/>
      </c>
      <c r="Y1651" s="1" t="str">
        <f>"36"</f>
        <v>36</v>
      </c>
      <c r="Z1651" t="str">
        <f>"9511137949"</f>
        <v>9511137949</v>
      </c>
      <c r="AA1651" t="str">
        <f>"9511127949"</f>
        <v>9511127949</v>
      </c>
      <c r="AB1651" t="str">
        <f>"9043036001"</f>
        <v>9043036001</v>
      </c>
      <c r="AC1651" t="str">
        <f>"9511127949"</f>
        <v>9511127949</v>
      </c>
      <c r="AD1651" t="str">
        <f>"9043036001"</f>
        <v>9043036001</v>
      </c>
      <c r="AE1651" t="str">
        <f>"9511137949"</f>
        <v>9511137949</v>
      </c>
    </row>
    <row r="1652" spans="1:31" x14ac:dyDescent="0.45">
      <c r="A1652" t="str">
        <f>"БАЙБУРИНА ЕЛЕНА АНАТОЛЬЕВНА"</f>
        <v>БАЙБУРИНА ЕЛЕНА АНАТОЛЬЕВНА</v>
      </c>
      <c r="B1652" t="str">
        <f>"1988-06-06"</f>
        <v>1988-06-06</v>
      </c>
      <c r="C1652" t="str">
        <f>"75 13 416353"</f>
        <v>75 13 416353</v>
      </c>
      <c r="D1652" t="str">
        <f>"4279011606251927"</f>
        <v>4279011606251927</v>
      </c>
      <c r="E1652" t="str">
        <f t="shared" si="288"/>
        <v>2021-05-31</v>
      </c>
      <c r="F1652" t="str">
        <f>"Q"</f>
        <v>Q</v>
      </c>
      <c r="G1652" t="str">
        <f>"Q"</f>
        <v>Q</v>
      </c>
      <c r="H1652" t="str">
        <f>"40817810916991391529"</f>
        <v>40817810916991391529</v>
      </c>
      <c r="I1652" t="str">
        <f>"8597"</f>
        <v>8597</v>
      </c>
      <c r="J1652" t="str">
        <f>"0372"</f>
        <v>0372</v>
      </c>
      <c r="K1652" t="str">
        <f>"0.00"</f>
        <v>0.00</v>
      </c>
      <c r="L1652" t="str">
        <f>"454000 ОБЛ ЧЕЛЯБИНСКАЯ Р-Н ВЕРХНЕУРАЛЬСКИЙ   П МЕЖОЗЕРНЫЙ УЛ ЛЕНИНА д. 19"</f>
        <v>454000 ОБЛ ЧЕЛЯБИНСКАЯ Р-Н ВЕРХНЕУРАЛЬСКИЙ   П МЕЖОЗЕРНЫЙ УЛ ЛЕНИНА д. 19</v>
      </c>
      <c r="M1652" t="str">
        <f t="shared" si="276"/>
        <v>2019-08-24</v>
      </c>
      <c r="N1652" t="str">
        <f>"АДМИНИСТРАЦИЯ МЕЖОЗЕРНОГО ГОРОДСКОГО ПОСЕЛЕНИЯ"</f>
        <v>АДМИНИСТРАЦИЯ МЕЖОЗЕРНОГО ГОРОДСКОГО ПОСЕЛЕНИЯ</v>
      </c>
      <c r="O1652" t="str">
        <f>"454000"</f>
        <v>454000</v>
      </c>
      <c r="P1652" t="str">
        <f>"ОБЛ ЧЕЛЯБИНСКАЯ"</f>
        <v>ОБЛ ЧЕЛЯБИНСКАЯ</v>
      </c>
      <c r="Q1652" t="str">
        <f>"Р-Н ВЕРХНЕУРАЛЬСКИЙ"</f>
        <v>Р-Н ВЕРХНЕУРАЛЬСКИЙ</v>
      </c>
      <c r="R1652" t="str">
        <f>""</f>
        <v/>
      </c>
      <c r="S1652" t="str">
        <f>"П МЕЖОЗЕРНЫЙ"</f>
        <v>П МЕЖОЗЕРНЫЙ</v>
      </c>
      <c r="T1652" t="str">
        <f>"УЛ ЛЕНИНА"</f>
        <v>УЛ ЛЕНИНА</v>
      </c>
      <c r="U1652" s="1" t="str">
        <f>"16"</f>
        <v>16</v>
      </c>
      <c r="V1652" s="1" t="str">
        <f>""</f>
        <v/>
      </c>
      <c r="W1652" s="1" t="str">
        <f>""</f>
        <v/>
      </c>
      <c r="X1652" s="1" t="str">
        <f>""</f>
        <v/>
      </c>
      <c r="Y1652" s="1" t="str">
        <f>"55"</f>
        <v>55</v>
      </c>
      <c r="Z1652" t="str">
        <f>""</f>
        <v/>
      </c>
      <c r="AA1652" t="str">
        <f>"9615762812"</f>
        <v>9615762812</v>
      </c>
      <c r="AB1652" t="str">
        <f>"9615762812"</f>
        <v>9615762812</v>
      </c>
      <c r="AC1652" t="str">
        <f>"9615762812"</f>
        <v>9615762812</v>
      </c>
      <c r="AD1652" t="str">
        <f>"9090930777"</f>
        <v>9090930777</v>
      </c>
      <c r="AE1652" t="str">
        <f>""</f>
        <v/>
      </c>
    </row>
    <row r="1653" spans="1:31" x14ac:dyDescent="0.45">
      <c r="A1653" t="str">
        <f>"АВДЕЕВ ЮРИЙ ГЕННАДЬЕВИЧ"</f>
        <v>АВДЕЕВ ЮРИЙ ГЕННАДЬЕВИЧ</v>
      </c>
      <c r="B1653" t="str">
        <f>"1980-12-28"</f>
        <v>1980-12-28</v>
      </c>
      <c r="C1653" t="str">
        <f>"80 02 878529"</f>
        <v>80 02 878529</v>
      </c>
      <c r="D1653" t="str">
        <f>"4279011665279926"</f>
        <v>4279011665279926</v>
      </c>
      <c r="E1653" t="str">
        <f t="shared" si="288"/>
        <v>2021-05-31</v>
      </c>
      <c r="F1653" t="str">
        <f>"+"</f>
        <v>+</v>
      </c>
      <c r="G1653" t="str">
        <f>"+"</f>
        <v>+</v>
      </c>
      <c r="H1653" t="str">
        <f>"40817810416991391524"</f>
        <v>40817810416991391524</v>
      </c>
      <c r="I1653" t="str">
        <f>"8598"</f>
        <v>8598</v>
      </c>
      <c r="J1653" t="str">
        <f>"0245"</f>
        <v>0245</v>
      </c>
      <c r="K1653" t="str">
        <f>"130000.00"</f>
        <v>130000.00</v>
      </c>
      <c r="L1653" t="str">
        <f>"450000 РЕСП БАШКОРТОСТАН   Г УФА   УЛ АКСАКОВА д. 59"</f>
        <v>450000 РЕСП БАШКОРТОСТАН   Г УФА   УЛ АКСАКОВА д. 59</v>
      </c>
      <c r="M1653" t="str">
        <f t="shared" si="276"/>
        <v>2019-08-24</v>
      </c>
      <c r="N1653" t="str">
        <f>"КВАЗАР"</f>
        <v>КВАЗАР</v>
      </c>
      <c r="O1653" t="str">
        <f>"450000"</f>
        <v>450000</v>
      </c>
      <c r="P1653" t="str">
        <f>"РЕСП БАШКОРТОСТАН"</f>
        <v>РЕСП БАШКОРТОСТАН</v>
      </c>
      <c r="Q1653" t="str">
        <f>""</f>
        <v/>
      </c>
      <c r="R1653" t="str">
        <f>"Г УФА"</f>
        <v>Г УФА</v>
      </c>
      <c r="S1653" t="str">
        <f>""</f>
        <v/>
      </c>
      <c r="T1653" t="str">
        <f>"УЛ СТЕПАНА КУВЫКИНА"</f>
        <v>УЛ СТЕПАНА КУВЫКИНА</v>
      </c>
      <c r="U1653" s="1" t="str">
        <f>"7"</f>
        <v>7</v>
      </c>
      <c r="V1653" s="1" t="str">
        <f>""</f>
        <v/>
      </c>
      <c r="W1653" s="1" t="str">
        <f>"2"</f>
        <v>2</v>
      </c>
      <c r="X1653" s="1" t="str">
        <f>""</f>
        <v/>
      </c>
      <c r="Y1653" s="1" t="str">
        <f>"8"</f>
        <v>8</v>
      </c>
      <c r="Z1653" t="str">
        <f>"913970"</f>
        <v>913970</v>
      </c>
      <c r="AA1653" t="str">
        <f>"9610509213"</f>
        <v>9610509213</v>
      </c>
      <c r="AB1653" t="str">
        <f>"9610509235"</f>
        <v>9610509235</v>
      </c>
      <c r="AC1653" t="str">
        <f>"9610509213"</f>
        <v>9610509213</v>
      </c>
      <c r="AD1653" t="str">
        <f>"9610509213"</f>
        <v>9610509213</v>
      </c>
      <c r="AE1653" t="str">
        <f>""</f>
        <v/>
      </c>
    </row>
    <row r="1654" spans="1:31" x14ac:dyDescent="0.45">
      <c r="A1654" t="str">
        <f>"НЕСТЕРОВА ЕВГЕНИЯ ВАДИМОВНА"</f>
        <v>НЕСТЕРОВА ЕВГЕНИЯ ВАДИМОВНА</v>
      </c>
      <c r="B1654" t="str">
        <f>"1984-12-18"</f>
        <v>1984-12-18</v>
      </c>
      <c r="C1654" t="str">
        <f>"65 16 313985"</f>
        <v>65 16 313985</v>
      </c>
      <c r="D1654" t="str">
        <f>"4279011683974128"</f>
        <v>4279011683974128</v>
      </c>
      <c r="E1654" t="str">
        <f t="shared" si="288"/>
        <v>2021-05-31</v>
      </c>
      <c r="F1654" t="str">
        <f>"Q"</f>
        <v>Q</v>
      </c>
      <c r="G1654" t="str">
        <f>"Q"</f>
        <v>Q</v>
      </c>
      <c r="H1654" t="str">
        <f>"40817810016991391526"</f>
        <v>40817810016991391526</v>
      </c>
      <c r="I1654" t="str">
        <f>"8597"</f>
        <v>8597</v>
      </c>
      <c r="J1654" t="str">
        <f>"0552"</f>
        <v>0552</v>
      </c>
      <c r="K1654" t="str">
        <f>"0.00"</f>
        <v>0.00</v>
      </c>
      <c r="L1654" t="str">
        <f>"454000 ОБЛ ЧЕЛЯБИНСКАЯ   Г СНЕЖИНСК   УЛ ЧКАЛОВСКАЯ д. 1"</f>
        <v>454000 ОБЛ ЧЕЛЯБИНСКАЯ   Г СНЕЖИНСК   УЛ ЧКАЛОВСКАЯ д. 1</v>
      </c>
      <c r="M1654" t="str">
        <f t="shared" si="276"/>
        <v>2019-08-24</v>
      </c>
      <c r="N1654" t="str">
        <f>"ВЧ 3468"</f>
        <v>ВЧ 3468</v>
      </c>
      <c r="O1654" t="str">
        <f>"620098"</f>
        <v>620098</v>
      </c>
      <c r="P1654" t="str">
        <f>"ОБЛ СВЕРДЛОВСКАЯ"</f>
        <v>ОБЛ СВЕРДЛОВСКАЯ</v>
      </c>
      <c r="Q1654" t="str">
        <f>""</f>
        <v/>
      </c>
      <c r="R1654" t="str">
        <f>"Г ЕКАТЕРИНБУРГ"</f>
        <v>Г ЕКАТЕРИНБУРГ</v>
      </c>
      <c r="S1654" t="str">
        <f>""</f>
        <v/>
      </c>
      <c r="T1654" t="str">
        <f>"УЛ КОММУНИСТИЧЕСКАЯ"</f>
        <v>УЛ КОММУНИСТИЧЕСКАЯ</v>
      </c>
      <c r="U1654" s="1" t="str">
        <f>"18"</f>
        <v>18</v>
      </c>
      <c r="V1654" s="1" t="str">
        <f>""</f>
        <v/>
      </c>
      <c r="W1654" s="1" t="str">
        <f>""</f>
        <v/>
      </c>
      <c r="X1654" s="1" t="str">
        <f>""</f>
        <v/>
      </c>
      <c r="Y1654" s="1" t="str">
        <f>"110"</f>
        <v>110</v>
      </c>
      <c r="Z1654" t="str">
        <f>"3433627052"</f>
        <v>3433627052</v>
      </c>
      <c r="AA1654" t="str">
        <f>"9120305859"</f>
        <v>9120305859</v>
      </c>
      <c r="AB1654" t="str">
        <f>"9120305859"</f>
        <v>9120305859</v>
      </c>
      <c r="AC1654" t="str">
        <f>"9120305859"</f>
        <v>9120305859</v>
      </c>
      <c r="AD1654" t="str">
        <f>"9120305859"</f>
        <v>9120305859</v>
      </c>
      <c r="AE1654" t="str">
        <f>""</f>
        <v/>
      </c>
    </row>
    <row r="1655" spans="1:31" x14ac:dyDescent="0.45">
      <c r="A1655" t="str">
        <f>"АФОНИНА ИРИНА ВИКТОРОВНА"</f>
        <v>АФОНИНА ИРИНА ВИКТОРОВНА</v>
      </c>
      <c r="B1655" t="str">
        <f>"1989-07-29"</f>
        <v>1989-07-29</v>
      </c>
      <c r="C1655" t="str">
        <f>"65 10 946488"</f>
        <v>65 10 946488</v>
      </c>
      <c r="D1655" t="str">
        <f>"4279011667919123"</f>
        <v>4279011667919123</v>
      </c>
      <c r="E1655" t="str">
        <f t="shared" si="288"/>
        <v>2021-05-31</v>
      </c>
      <c r="F1655" t="str">
        <f>"+"</f>
        <v>+</v>
      </c>
      <c r="G1655" t="str">
        <f>"W"</f>
        <v>W</v>
      </c>
      <c r="H1655" t="str">
        <f>"40817810316991391527"</f>
        <v>40817810316991391527</v>
      </c>
      <c r="I1655" t="str">
        <f>"7003"</f>
        <v>7003</v>
      </c>
      <c r="J1655" t="str">
        <f>"0799"</f>
        <v>0799</v>
      </c>
      <c r="K1655" t="str">
        <f>"17000.00"</f>
        <v>17000.00</v>
      </c>
      <c r="L1655" t="str">
        <f>"620000 ОБЛ СВЕРДЛОВСКАЯ   Г БЕРЕЗОВСКИЙ   УЛ ШИЛОВСКАЯ д. 15"</f>
        <v>620000 ОБЛ СВЕРДЛОВСКАЯ   Г БЕРЕЗОВСКИЙ   УЛ ШИЛОВСКАЯ д. 15</v>
      </c>
      <c r="M1655" t="str">
        <f t="shared" si="276"/>
        <v>2019-08-24</v>
      </c>
      <c r="N1655" t="str">
        <f>"ООО РАВИС ПТИЦЕФАБРИКА СОСНОВСКАЯ"</f>
        <v>ООО РАВИС ПТИЦЕФАБРИКА СОСНОВСКАЯ</v>
      </c>
      <c r="O1655" t="str">
        <f>"620000"</f>
        <v>620000</v>
      </c>
      <c r="P1655" t="str">
        <f>"ОБЛ СВЕРДЛОВСКАЯ"</f>
        <v>ОБЛ СВЕРДЛОВСКАЯ</v>
      </c>
      <c r="Q1655" t="str">
        <f>""</f>
        <v/>
      </c>
      <c r="R1655" t="str">
        <f>"Г БЕРЕЗОВСКИЙ"</f>
        <v>Г БЕРЕЗОВСКИЙ</v>
      </c>
      <c r="S1655" t="str">
        <f>"П ШИЛОВКА"</f>
        <v>П ШИЛОВКА</v>
      </c>
      <c r="T1655" t="str">
        <f>"УЛ НОВАЯ"</f>
        <v>УЛ НОВАЯ</v>
      </c>
      <c r="U1655" s="1" t="str">
        <f>"15"</f>
        <v>15</v>
      </c>
      <c r="V1655" s="1" t="str">
        <f>""</f>
        <v/>
      </c>
      <c r="W1655" s="1" t="str">
        <f>""</f>
        <v/>
      </c>
      <c r="X1655" s="1" t="str">
        <f>""</f>
        <v/>
      </c>
      <c r="Y1655" s="1" t="str">
        <f>"2"</f>
        <v>2</v>
      </c>
      <c r="Z1655" t="str">
        <f>""</f>
        <v/>
      </c>
      <c r="AA1655" t="str">
        <f>"9644861983"</f>
        <v>9644861983</v>
      </c>
      <c r="AB1655" t="str">
        <f>"9644861983"</f>
        <v>9644861983</v>
      </c>
      <c r="AC1655" t="str">
        <f>"9644861983"</f>
        <v>9644861983</v>
      </c>
      <c r="AD1655" t="str">
        <f>"9644861983"</f>
        <v>9644861983</v>
      </c>
      <c r="AE1655" t="str">
        <f>""</f>
        <v/>
      </c>
    </row>
    <row r="1656" spans="1:31" x14ac:dyDescent="0.45">
      <c r="A1656" t="str">
        <f>"ЖУСУПОВА НАДЕЖДА СЕРГЕЕВНА"</f>
        <v>ЖУСУПОВА НАДЕЖДА СЕРГЕЕВНА</v>
      </c>
      <c r="B1656" t="str">
        <f>"1986-10-27"</f>
        <v>1986-10-27</v>
      </c>
      <c r="C1656" t="str">
        <f>"37 09 368131"</f>
        <v>37 09 368131</v>
      </c>
      <c r="D1656" t="str">
        <f>"4279011683335916"</f>
        <v>4279011683335916</v>
      </c>
      <c r="E1656" t="str">
        <f t="shared" si="288"/>
        <v>2021-05-31</v>
      </c>
      <c r="F1656" t="str">
        <f>"+"</f>
        <v>+</v>
      </c>
      <c r="G1656" t="str">
        <f>"+"</f>
        <v>+</v>
      </c>
      <c r="H1656" t="str">
        <f>"40817810316991391530"</f>
        <v>40817810316991391530</v>
      </c>
      <c r="I1656" t="str">
        <f>"8599"</f>
        <v>8599</v>
      </c>
      <c r="J1656" t="str">
        <f>"0177"</f>
        <v>0177</v>
      </c>
      <c r="K1656" t="str">
        <f>"56000.00"</f>
        <v>56000.00</v>
      </c>
      <c r="L1656" t="str">
        <f>"641000 ОБЛ КУРГАНСКАЯ Р-Н ЦЕЛИННЫЙ   С ДУЛИНО УЛ ЦЕНТРАЛЬНАЯ д. 10"</f>
        <v>641000 ОБЛ КУРГАНСКАЯ Р-Н ЦЕЛИННЫЙ   С ДУЛИНО УЛ ЦЕНТРАЛЬНАЯ д. 10</v>
      </c>
      <c r="M1656" t="str">
        <f t="shared" si="276"/>
        <v>2019-08-24</v>
      </c>
      <c r="N1656" t="str">
        <f>"УПРАВЛЕНИЕ СОЦИАЛЬНОЙ ПОЛИТИКИ"</f>
        <v>УПРАВЛЕНИЕ СОЦИАЛЬНОЙ ПОЛИТИКИ</v>
      </c>
      <c r="O1656" t="str">
        <f>"641000"</f>
        <v>641000</v>
      </c>
      <c r="P1656" t="str">
        <f>"ОБЛ КУРГАНСКАЯ"</f>
        <v>ОБЛ КУРГАНСКАЯ</v>
      </c>
      <c r="Q1656" t="str">
        <f>"Р-Н ЦЕЛИННЫЙ"</f>
        <v>Р-Н ЦЕЛИННЫЙ</v>
      </c>
      <c r="R1656" t="str">
        <f>""</f>
        <v/>
      </c>
      <c r="S1656" t="str">
        <f>"С КОСОЛАПОВО"</f>
        <v>С КОСОЛАПОВО</v>
      </c>
      <c r="T1656" t="str">
        <f>"УЛ МОЛОДЕЖНАЯ"</f>
        <v>УЛ МОЛОДЕЖНАЯ</v>
      </c>
      <c r="U1656" s="1" t="str">
        <f>"6"</f>
        <v>6</v>
      </c>
      <c r="V1656" s="1" t="str">
        <f>""</f>
        <v/>
      </c>
      <c r="W1656" s="1" t="str">
        <f>""</f>
        <v/>
      </c>
      <c r="X1656" s="1" t="str">
        <f>""</f>
        <v/>
      </c>
      <c r="Y1656" s="1" t="str">
        <f>"1"</f>
        <v>1</v>
      </c>
      <c r="Z1656" t="str">
        <f>""</f>
        <v/>
      </c>
      <c r="AA1656" t="str">
        <f>"9091751475"</f>
        <v>9091751475</v>
      </c>
      <c r="AB1656" t="str">
        <f>"9091751475"</f>
        <v>9091751475</v>
      </c>
      <c r="AC1656" t="str">
        <f>"9091751475"</f>
        <v>9091751475</v>
      </c>
      <c r="AD1656" t="str">
        <f>"9091751475"</f>
        <v>9091751475</v>
      </c>
      <c r="AE1656" t="str">
        <f>""</f>
        <v/>
      </c>
    </row>
    <row r="1657" spans="1:31" x14ac:dyDescent="0.45">
      <c r="A1657" t="str">
        <f>"АНДРЕЕВ НИКОЛАЙ МИХАЙЛОВИЧ"</f>
        <v>АНДРЕЕВ НИКОЛАЙ МИХАЙЛОВИЧ</v>
      </c>
      <c r="B1657" t="str">
        <f>"1957-04-15"</f>
        <v>1957-04-15</v>
      </c>
      <c r="C1657" t="str">
        <f>"67 04 453292"</f>
        <v>67 04 453292</v>
      </c>
      <c r="D1657" t="str">
        <f>"4854630211213676"</f>
        <v>4854630211213676</v>
      </c>
      <c r="E1657" t="str">
        <f>"2021-04-30"</f>
        <v>2021-04-30</v>
      </c>
      <c r="F1657" t="str">
        <f>"+"</f>
        <v>+</v>
      </c>
      <c r="G1657" t="str">
        <f>"+"</f>
        <v>+</v>
      </c>
      <c r="H1657" t="str">
        <f>"40817810816992501052"</f>
        <v>40817810816992501052</v>
      </c>
      <c r="I1657" t="str">
        <f>"5940"</f>
        <v>5940</v>
      </c>
      <c r="J1657" t="str">
        <f>"0083"</f>
        <v>0083</v>
      </c>
      <c r="K1657" t="str">
        <f>"91000.00"</f>
        <v>91000.00</v>
      </c>
      <c r="L1657" t="str">
        <f>"628400 ОБЛ ТЮМЕНСКАЯ   Г СУРГУТ   УЛ ИГОРЯ КИРТБАЯ д. 19/1 кв. 84"</f>
        <v>628400 ОБЛ ТЮМЕНСКАЯ   Г СУРГУТ   УЛ ИГОРЯ КИРТБАЯ д. 19/1 кв. 84</v>
      </c>
      <c r="M1657" t="str">
        <f t="shared" si="276"/>
        <v>2019-08-24</v>
      </c>
      <c r="N1657" t="str">
        <f>"ПЕНСИОНЕР"</f>
        <v>ПЕНСИОНЕР</v>
      </c>
      <c r="O1657" t="str">
        <f>"628400"</f>
        <v>628400</v>
      </c>
      <c r="P1657" t="str">
        <f>"ОБЛ ТЮМЕНСКАЯ"</f>
        <v>ОБЛ ТЮМЕНСКАЯ</v>
      </c>
      <c r="Q1657" t="str">
        <f>"Р-Н СУРГУТСКИЙ"</f>
        <v>Р-Н СУРГУТСКИЙ</v>
      </c>
      <c r="R1657" t="str">
        <f>""</f>
        <v/>
      </c>
      <c r="S1657" t="str">
        <f>"П СОЛНЕЧНЫЙ"</f>
        <v>П СОЛНЕЧНЫЙ</v>
      </c>
      <c r="T1657" t="str">
        <f>"УЛ МОЛОДЕЖНАЯ"</f>
        <v>УЛ МОЛОДЕЖНАЯ</v>
      </c>
      <c r="U1657" s="1" t="str">
        <f>"7А"</f>
        <v>7А</v>
      </c>
      <c r="V1657" s="1" t="str">
        <f>""</f>
        <v/>
      </c>
      <c r="W1657" s="1" t="str">
        <f>""</f>
        <v/>
      </c>
      <c r="X1657" s="1" t="str">
        <f>""</f>
        <v/>
      </c>
      <c r="Y1657" s="1" t="str">
        <f>"5"</f>
        <v>5</v>
      </c>
      <c r="Z1657" t="str">
        <f>"9825040984"</f>
        <v>9825040984</v>
      </c>
      <c r="AA1657" t="str">
        <f>"9825040984"</f>
        <v>9825040984</v>
      </c>
      <c r="AB1657" t="str">
        <f>"9825040984"</f>
        <v>9825040984</v>
      </c>
      <c r="AC1657" t="str">
        <f>"3462231312"</f>
        <v>3462231312</v>
      </c>
      <c r="AD1657" t="str">
        <f>"9825040984"</f>
        <v>9825040984</v>
      </c>
      <c r="AE1657" t="str">
        <f>"3462231312"</f>
        <v>3462231312</v>
      </c>
    </row>
    <row r="1658" spans="1:31" x14ac:dyDescent="0.45">
      <c r="A1658" t="str">
        <f>"ШАРАФУТДИНОВ АЗАТ АХАТОВИЧ"</f>
        <v>ШАРАФУТДИНОВ АЗАТ АХАТОВИЧ</v>
      </c>
      <c r="B1658" t="str">
        <f>"1981-08-22"</f>
        <v>1981-08-22</v>
      </c>
      <c r="C1658" t="str">
        <f>"80 16 440626"</f>
        <v>80 16 440626</v>
      </c>
      <c r="D1658" t="str">
        <f>"4279011699909761"</f>
        <v>4279011699909761</v>
      </c>
      <c r="E1658" t="str">
        <f>"2021-06-30"</f>
        <v>2021-06-30</v>
      </c>
      <c r="F1658" t="str">
        <f>"+"</f>
        <v>+</v>
      </c>
      <c r="G1658" t="str">
        <f>"+"</f>
        <v>+</v>
      </c>
      <c r="H1658" t="str">
        <f>"40817810116991463228"</f>
        <v>40817810116991463228</v>
      </c>
      <c r="I1658" t="str">
        <f>"8598"</f>
        <v>8598</v>
      </c>
      <c r="J1658" t="str">
        <f>"0182"</f>
        <v>0182</v>
      </c>
      <c r="K1658" t="str">
        <f>"90000.00"</f>
        <v>90000.00</v>
      </c>
      <c r="L1658" t="str">
        <f>"450000 РЕСП БАШКОРТОСТАН   Г УФА   УЛ ЮБИЛЕЙНАЯ д. 21"</f>
        <v>450000 РЕСП БАШКОРТОСТАН   Г УФА   УЛ ЮБИЛЕЙНАЯ д. 21</v>
      </c>
      <c r="M1658" t="str">
        <f t="shared" si="276"/>
        <v>2019-08-24</v>
      </c>
      <c r="N1658" t="str">
        <f>"ООО УФААТОМХИММАШ"</f>
        <v>ООО УФААТОМХИММАШ</v>
      </c>
      <c r="O1658" t="str">
        <f>"450000"</f>
        <v>450000</v>
      </c>
      <c r="P1658" t="str">
        <f>"РЕСП БАШКОРТОСТАН"</f>
        <v>РЕСП БАШКОРТОСТАН</v>
      </c>
      <c r="Q1658" t="str">
        <f>""</f>
        <v/>
      </c>
      <c r="R1658" t="str">
        <f>"Г УФА"</f>
        <v>Г УФА</v>
      </c>
      <c r="S1658" t="str">
        <f>""</f>
        <v/>
      </c>
      <c r="T1658" t="str">
        <f>"УЛ ТИМАШЕВСКАЯ"</f>
        <v>УЛ ТИМАШЕВСКАЯ</v>
      </c>
      <c r="U1658" s="1" t="str">
        <f>"37"</f>
        <v>37</v>
      </c>
      <c r="V1658" s="1" t="str">
        <f>""</f>
        <v/>
      </c>
      <c r="W1658" s="1" t="str">
        <f>""</f>
        <v/>
      </c>
      <c r="X1658" s="1" t="str">
        <f>""</f>
        <v/>
      </c>
      <c r="Y1658" s="1" t="str">
        <f>""</f>
        <v/>
      </c>
      <c r="Z1658" t="str">
        <f>""</f>
        <v/>
      </c>
      <c r="AA1658" t="str">
        <f>"3472610493"</f>
        <v>3472610493</v>
      </c>
      <c r="AB1658" t="str">
        <f>"9174039237"</f>
        <v>9174039237</v>
      </c>
      <c r="AC1658" t="str">
        <f>"3472610493"</f>
        <v>3472610493</v>
      </c>
      <c r="AD1658" t="str">
        <f>"9174039237"</f>
        <v>9174039237</v>
      </c>
      <c r="AE1658" t="str">
        <f>""</f>
        <v/>
      </c>
    </row>
    <row r="1659" spans="1:31" x14ac:dyDescent="0.45">
      <c r="A1659" t="str">
        <f>"ГИНДУЛЛИН АНЗАР ВАСИЛОВИЧ"</f>
        <v>ГИНДУЛЛИН АНЗАР ВАСИЛОВИЧ</v>
      </c>
      <c r="B1659" t="str">
        <f>"1953-03-26"</f>
        <v>1953-03-26</v>
      </c>
      <c r="C1659" t="str">
        <f>"80 03 704067"</f>
        <v>80 03 704067</v>
      </c>
      <c r="D1659" t="str">
        <f>"4854630397386254"</f>
        <v>4854630397386254</v>
      </c>
      <c r="E1659" t="str">
        <f>"2020-11-30"</f>
        <v>2020-11-30</v>
      </c>
      <c r="F1659" t="str">
        <f>"Q"</f>
        <v>Q</v>
      </c>
      <c r="G1659" t="str">
        <f>"Q"</f>
        <v>Q</v>
      </c>
      <c r="H1659" t="str">
        <f>"40817810916991429873"</f>
        <v>40817810916991429873</v>
      </c>
      <c r="I1659" t="str">
        <f>"8598"</f>
        <v>8598</v>
      </c>
      <c r="J1659" t="str">
        <f>"0260"</f>
        <v>0260</v>
      </c>
      <c r="K1659" t="str">
        <f>"0.00"</f>
        <v>0.00</v>
      </c>
      <c r="L1659" t="str">
        <f>"450000 РЕСП БАШКОРТОСТАН Р-Н КИГИНСКИЙ   С ВЕРХНИЕ КИГИ УЛ САЛАВАТА д. 3"</f>
        <v>450000 РЕСП БАШКОРТОСТАН Р-Н КИГИНСКИЙ   С ВЕРХНИЕ КИГИ УЛ САЛАВАТА д. 3</v>
      </c>
      <c r="M1659" t="str">
        <f t="shared" si="276"/>
        <v>2019-08-24</v>
      </c>
      <c r="N1659" t="str">
        <f>"ПЕНСИОНЕР"</f>
        <v>ПЕНСИОНЕР</v>
      </c>
      <c r="O1659" t="str">
        <f>"450000"</f>
        <v>450000</v>
      </c>
      <c r="P1659" t="str">
        <f>"РЕСП БАШКОРТОСТАН"</f>
        <v>РЕСП БАШКОРТОСТАН</v>
      </c>
      <c r="Q1659" t="str">
        <f>"Р-Н КИГИНСКИЙ"</f>
        <v>Р-Н КИГИНСКИЙ</v>
      </c>
      <c r="R1659" t="str">
        <f>""</f>
        <v/>
      </c>
      <c r="S1659" t="str">
        <f>"С ВЕРХНИЕ КИГИ"</f>
        <v>С ВЕРХНИЕ КИГИ</v>
      </c>
      <c r="T1659" t="str">
        <f>"УЛ СТРОИТЕЛЬНАЯ"</f>
        <v>УЛ СТРОИТЕЛЬНАЯ</v>
      </c>
      <c r="U1659" s="1" t="str">
        <f>"41"</f>
        <v>41</v>
      </c>
      <c r="V1659" s="1" t="str">
        <f>""</f>
        <v/>
      </c>
      <c r="W1659" s="1" t="str">
        <f>""</f>
        <v/>
      </c>
      <c r="X1659" s="1" t="str">
        <f>""</f>
        <v/>
      </c>
      <c r="Y1659" s="1" t="str">
        <f>""</f>
        <v/>
      </c>
      <c r="Z1659" t="str">
        <f>""</f>
        <v/>
      </c>
      <c r="AA1659" t="str">
        <f>"3474830000"</f>
        <v>3474830000</v>
      </c>
      <c r="AB1659" t="str">
        <f>"9659481476"</f>
        <v>9659481476</v>
      </c>
      <c r="AC1659" t="str">
        <f>"3474830000"</f>
        <v>3474830000</v>
      </c>
      <c r="AD1659" t="str">
        <f>"9659481476"</f>
        <v>9659481476</v>
      </c>
      <c r="AE1659" t="str">
        <f>""</f>
        <v/>
      </c>
    </row>
    <row r="1660" spans="1:31" x14ac:dyDescent="0.45">
      <c r="A1660" t="str">
        <f>"ПАЧГАНОВ АЛЕКСАНДР ЕФИМОВИЧ"</f>
        <v>ПАЧГАНОВ АЛЕКСАНДР ЕФИМОВИЧ</v>
      </c>
      <c r="B1660" t="str">
        <f>"1963-04-13"</f>
        <v>1963-04-13</v>
      </c>
      <c r="C1660" t="str">
        <f>"67 07 764089"</f>
        <v>67 07 764089</v>
      </c>
      <c r="D1660" t="str">
        <f>"4279016726680749"</f>
        <v>4279016726680749</v>
      </c>
      <c r="E1660" t="str">
        <f t="shared" ref="E1660:E1666" si="289">"2021-05-31"</f>
        <v>2021-05-31</v>
      </c>
      <c r="F1660" t="str">
        <f>"+"</f>
        <v>+</v>
      </c>
      <c r="G1660" t="str">
        <f>"+"</f>
        <v>+</v>
      </c>
      <c r="H1660" t="str">
        <f>"40817810416992242960"</f>
        <v>40817810416992242960</v>
      </c>
      <c r="I1660" t="str">
        <f>"5940"</f>
        <v>5940</v>
      </c>
      <c r="J1660" t="str">
        <f>"0100"</f>
        <v>0100</v>
      </c>
      <c r="K1660" t="str">
        <f>"120000.00"</f>
        <v>120000.00</v>
      </c>
      <c r="L1660" t="str">
        <f>"628300 ОБЛ ТЮМЕНСКАЯ   Г НЕФТЕЮГАНСК   МКР 12 д. 42 кв. 33"</f>
        <v>628300 ОБЛ ТЮМЕНСКАЯ   Г НЕФТЕЮГАНСК   МКР 12 д. 42 кв. 33</v>
      </c>
      <c r="M1660" t="str">
        <f t="shared" si="276"/>
        <v>2019-08-24</v>
      </c>
      <c r="N1660" t="str">
        <f>"ПЕНСИОНЕР"</f>
        <v>ПЕНСИОНЕР</v>
      </c>
      <c r="O1660" t="str">
        <f>"628300"</f>
        <v>628300</v>
      </c>
      <c r="P1660" t="str">
        <f t="shared" ref="P1660:P1665" si="290">"ОБЛ ТЮМЕНСКАЯ"</f>
        <v>ОБЛ ТЮМЕНСКАЯ</v>
      </c>
      <c r="Q1660" t="str">
        <f>""</f>
        <v/>
      </c>
      <c r="R1660" t="str">
        <f>"Г НЕФТЕЮГАНСК"</f>
        <v>Г НЕФТЕЮГАНСК</v>
      </c>
      <c r="S1660" t="str">
        <f>""</f>
        <v/>
      </c>
      <c r="T1660" t="str">
        <f>"МКР 12"</f>
        <v>МКР 12</v>
      </c>
      <c r="U1660" s="1" t="str">
        <f>"42"</f>
        <v>42</v>
      </c>
      <c r="V1660" s="1" t="str">
        <f>""</f>
        <v/>
      </c>
      <c r="W1660" s="1" t="str">
        <f>""</f>
        <v/>
      </c>
      <c r="X1660" s="1" t="str">
        <f>""</f>
        <v/>
      </c>
      <c r="Y1660" s="1" t="str">
        <f>"33"</f>
        <v>33</v>
      </c>
      <c r="Z1660" t="str">
        <f>"9224429241"</f>
        <v>9224429241</v>
      </c>
      <c r="AA1660" t="str">
        <f>"9224429241"</f>
        <v>9224429241</v>
      </c>
      <c r="AB1660" t="str">
        <f>"9226587364"</f>
        <v>9226587364</v>
      </c>
      <c r="AC1660" t="str">
        <f>"9224429241"</f>
        <v>9224429241</v>
      </c>
      <c r="AD1660" t="str">
        <f>"9226587364"</f>
        <v>9226587364</v>
      </c>
      <c r="AE1660" t="str">
        <f>"9224429241"</f>
        <v>9224429241</v>
      </c>
    </row>
    <row r="1661" spans="1:31" x14ac:dyDescent="0.45">
      <c r="A1661" t="str">
        <f>"АЛФЕРОВА ВЕРА ВАСИЛЬЕВНА"</f>
        <v>АЛФЕРОВА ВЕРА ВАСИЛЬЕВНА</v>
      </c>
      <c r="B1661" t="str">
        <f>"1960-04-07"</f>
        <v>1960-04-07</v>
      </c>
      <c r="C1661" t="str">
        <f>"71 14 088978"</f>
        <v>71 14 088978</v>
      </c>
      <c r="D1661" t="str">
        <f>"4279016708261088"</f>
        <v>4279016708261088</v>
      </c>
      <c r="E1661" t="str">
        <f t="shared" si="289"/>
        <v>2021-05-31</v>
      </c>
      <c r="F1661" t="str">
        <f>"+"</f>
        <v>+</v>
      </c>
      <c r="G1661" t="str">
        <f>"+"</f>
        <v>+</v>
      </c>
      <c r="H1661" t="str">
        <f>"40817810516992241625"</f>
        <v>40817810516992241625</v>
      </c>
      <c r="I1661" t="str">
        <f>"8647"</f>
        <v>8647</v>
      </c>
      <c r="J1661" t="str">
        <f>"0207"</f>
        <v>0207</v>
      </c>
      <c r="K1661" t="str">
        <f>"16000.00"</f>
        <v>16000.00</v>
      </c>
      <c r="L1661" t="str">
        <f>"627610 ОБЛ ТЮМЕНСКАЯ Р-Н СЛАДКОВСКИЙ   С СЛАДКОВО УЛ ЗАКОРКИНА д. 3 кв. 2"</f>
        <v>627610 ОБЛ ТЮМЕНСКАЯ Р-Н СЛАДКОВСКИЙ   С СЛАДКОВО УЛ ЗАКОРКИНА д. 3 кв. 2</v>
      </c>
      <c r="M1661" t="str">
        <f t="shared" si="276"/>
        <v>2019-08-24</v>
      </c>
      <c r="N1661" t="str">
        <f>"ПЕНСИОНЕР"</f>
        <v>ПЕНСИОНЕР</v>
      </c>
      <c r="O1661" t="str">
        <f>"627610"</f>
        <v>627610</v>
      </c>
      <c r="P1661" t="str">
        <f t="shared" si="290"/>
        <v>ОБЛ ТЮМЕНСКАЯ</v>
      </c>
      <c r="Q1661" t="str">
        <f>"Р-Н СЛАДКОВСКИЙ"</f>
        <v>Р-Н СЛАДКОВСКИЙ</v>
      </c>
      <c r="R1661" t="str">
        <f>""</f>
        <v/>
      </c>
      <c r="S1661" t="str">
        <f>"С СЛАДКОВО"</f>
        <v>С СЛАДКОВО</v>
      </c>
      <c r="T1661" t="str">
        <f>"УЛ ЗАКОРКИНА"</f>
        <v>УЛ ЗАКОРКИНА</v>
      </c>
      <c r="U1661" s="1" t="str">
        <f>"3"</f>
        <v>3</v>
      </c>
      <c r="V1661" s="1" t="str">
        <f>""</f>
        <v/>
      </c>
      <c r="W1661" s="1" t="str">
        <f>""</f>
        <v/>
      </c>
      <c r="X1661" s="1" t="str">
        <f>""</f>
        <v/>
      </c>
      <c r="Y1661" s="1" t="str">
        <f>"2"</f>
        <v>2</v>
      </c>
      <c r="Z1661" t="str">
        <f>""</f>
        <v/>
      </c>
      <c r="AA1661" t="str">
        <f>"3455523290"</f>
        <v>3455523290</v>
      </c>
      <c r="AB1661" t="str">
        <f>"9526871944"</f>
        <v>9526871944</v>
      </c>
      <c r="AC1661" t="str">
        <f>"3455523290"</f>
        <v>3455523290</v>
      </c>
      <c r="AD1661" t="str">
        <f>"9526871944"</f>
        <v>9526871944</v>
      </c>
      <c r="AE1661" t="str">
        <f>""</f>
        <v/>
      </c>
    </row>
    <row r="1662" spans="1:31" x14ac:dyDescent="0.45">
      <c r="A1662" t="str">
        <f>"ПЕТЕЛИН АЛЕКСАНДР ВЛАДИМИРОВИЧ"</f>
        <v>ПЕТЕЛИН АЛЕКСАНДР ВЛАДИМИРОВИЧ</v>
      </c>
      <c r="B1662" t="str">
        <f>"1987-02-13"</f>
        <v>1987-02-13</v>
      </c>
      <c r="C1662" t="str">
        <f>"52 06 414741"</f>
        <v>52 06 414741</v>
      </c>
      <c r="D1662" t="str">
        <f>"4279016731878825"</f>
        <v>4279016731878825</v>
      </c>
      <c r="E1662" t="str">
        <f t="shared" si="289"/>
        <v>2021-05-31</v>
      </c>
      <c r="F1662" t="str">
        <f>"K"</f>
        <v>K</v>
      </c>
      <c r="G1662" t="str">
        <f>"+"</f>
        <v>+</v>
      </c>
      <c r="H1662" t="str">
        <f>"40817810116992242561"</f>
        <v>40817810116992242561</v>
      </c>
      <c r="I1662" t="str">
        <f>"8647"</f>
        <v>8647</v>
      </c>
      <c r="J1662" t="str">
        <f>"0308"</f>
        <v>0308</v>
      </c>
      <c r="K1662" t="str">
        <f>"94000.00"</f>
        <v>94000.00</v>
      </c>
      <c r="L1662" t="str">
        <f>"626240 ОБЛ ТЮМЕНСКАЯ Р-Н ВАГАЙСКИЙ   С ВАГАЙ УЛ ЗЕЛЕНАЯ д. 9"</f>
        <v>626240 ОБЛ ТЮМЕНСКАЯ Р-Н ВАГАЙСКИЙ   С ВАГАЙ УЛ ЗЕЛЕНАЯ д. 9</v>
      </c>
      <c r="M1662" t="str">
        <f t="shared" si="276"/>
        <v>2019-08-24</v>
      </c>
      <c r="N1662" t="str">
        <f>"ГБУЗ ТО ОБЛАСТНАЯ БОЛЬНИЦА №9"</f>
        <v>ГБУЗ ТО ОБЛАСТНАЯ БОЛЬНИЦА №9</v>
      </c>
      <c r="O1662" t="str">
        <f>"626240"</f>
        <v>626240</v>
      </c>
      <c r="P1662" t="str">
        <f t="shared" si="290"/>
        <v>ОБЛ ТЮМЕНСКАЯ</v>
      </c>
      <c r="Q1662" t="str">
        <f>"Р-Н ВАГАЙСКИЙ"</f>
        <v>Р-Н ВАГАЙСКИЙ</v>
      </c>
      <c r="R1662" t="str">
        <f>""</f>
        <v/>
      </c>
      <c r="S1662" t="str">
        <f>"С ВАГАЙ"</f>
        <v>С ВАГАЙ</v>
      </c>
      <c r="T1662" t="str">
        <f>"ПЕР БЕРЕГОВОЙ"</f>
        <v>ПЕР БЕРЕГОВОЙ</v>
      </c>
      <c r="U1662" s="1" t="str">
        <f>"4"</f>
        <v>4</v>
      </c>
      <c r="V1662" s="1" t="str">
        <f>""</f>
        <v/>
      </c>
      <c r="W1662" s="1" t="str">
        <f>""</f>
        <v/>
      </c>
      <c r="X1662" s="1" t="str">
        <f>""</f>
        <v/>
      </c>
      <c r="Y1662" s="1" t="str">
        <f>"1"</f>
        <v>1</v>
      </c>
      <c r="Z1662" t="str">
        <f>""</f>
        <v/>
      </c>
      <c r="AA1662" t="str">
        <f>"3815024516"</f>
        <v>3815024516</v>
      </c>
      <c r="AB1662" t="str">
        <f>"9088713043"</f>
        <v>9088713043</v>
      </c>
      <c r="AC1662" t="str">
        <f>"9526858647"</f>
        <v>9526858647</v>
      </c>
      <c r="AD1662" t="str">
        <f>"9088713043"</f>
        <v>9088713043</v>
      </c>
      <c r="AE1662" t="str">
        <f>""</f>
        <v/>
      </c>
    </row>
    <row r="1663" spans="1:31" x14ac:dyDescent="0.45">
      <c r="A1663" t="str">
        <f>"МАМОНТОВ НИКОЛАЙ ВЛАДИМИРОВИЧ"</f>
        <v>МАМОНТОВ НИКОЛАЙ ВЛАДИМИРОВИЧ</v>
      </c>
      <c r="B1663" t="str">
        <f>"1988-11-21"</f>
        <v>1988-11-21</v>
      </c>
      <c r="C1663" t="str">
        <f>"71 09 729173"</f>
        <v>71 09 729173</v>
      </c>
      <c r="D1663" t="str">
        <f>"4276016713258890"</f>
        <v>4276016713258890</v>
      </c>
      <c r="E1663" t="str">
        <f t="shared" si="289"/>
        <v>2021-05-31</v>
      </c>
      <c r="F1663" t="str">
        <f>"K"</f>
        <v>K</v>
      </c>
      <c r="G1663" t="str">
        <f>"+"</f>
        <v>+</v>
      </c>
      <c r="H1663" t="str">
        <f>"40817810416992243150"</f>
        <v>40817810416992243150</v>
      </c>
      <c r="I1663" t="str">
        <f>"8647"</f>
        <v>8647</v>
      </c>
      <c r="J1663" t="str">
        <f>"0056"</f>
        <v>0056</v>
      </c>
      <c r="K1663" t="str">
        <f>"50000.00"</f>
        <v>50000.00</v>
      </c>
      <c r="L1663" t="str">
        <f>"625000 ОБЛ ТЮМЕНСКАЯ   Г ТЮМЕНЬ   УЛ СТАРОТОБОЛЬСКИЙ ТРАКТ д. 8 корп. 1"</f>
        <v>625000 ОБЛ ТЮМЕНСКАЯ   Г ТЮМЕНЬ   УЛ СТАРОТОБОЛЬСКИЙ ТРАКТ д. 8 корп. 1</v>
      </c>
      <c r="M1663" t="str">
        <f t="shared" si="276"/>
        <v>2019-08-24</v>
      </c>
      <c r="N1663" t="str">
        <f>"ООО АГРЕКО ЕВРАЗИЯ"</f>
        <v>ООО АГРЕКО ЕВРАЗИЯ</v>
      </c>
      <c r="O1663" t="str">
        <f>"640049"</f>
        <v>640049</v>
      </c>
      <c r="P1663" t="str">
        <f t="shared" si="290"/>
        <v>ОБЛ ТЮМЕНСКАЯ</v>
      </c>
      <c r="Q1663" t="str">
        <f>""</f>
        <v/>
      </c>
      <c r="R1663" t="str">
        <f>"Г ТЮМЕНЬ"</f>
        <v>Г ТЮМЕНЬ</v>
      </c>
      <c r="S1663" t="str">
        <f>""</f>
        <v/>
      </c>
      <c r="T1663" t="str">
        <f>"УЛ МОТОРОСТРОИТЕЛЕЙ"</f>
        <v>УЛ МОТОРОСТРОИТЕЛЕЙ</v>
      </c>
      <c r="U1663" s="1" t="str">
        <f>"5"</f>
        <v>5</v>
      </c>
      <c r="V1663" s="1" t="str">
        <f>""</f>
        <v/>
      </c>
      <c r="W1663" s="1" t="str">
        <f>""</f>
        <v/>
      </c>
      <c r="X1663" s="1" t="str">
        <f>""</f>
        <v/>
      </c>
      <c r="Y1663" s="1" t="str">
        <f>"248"</f>
        <v>248</v>
      </c>
      <c r="Z1663" t="str">
        <f>"4957854870"</f>
        <v>4957854870</v>
      </c>
      <c r="AA1663" t="str">
        <f>""</f>
        <v/>
      </c>
      <c r="AB1663" t="str">
        <f>"9829801428"</f>
        <v>9829801428</v>
      </c>
      <c r="AC1663" t="str">
        <f>""</f>
        <v/>
      </c>
      <c r="AD1663" t="str">
        <f>"9829801428"</f>
        <v>9829801428</v>
      </c>
      <c r="AE1663" t="str">
        <f>"4957854870"</f>
        <v>4957854870</v>
      </c>
    </row>
    <row r="1664" spans="1:31" x14ac:dyDescent="0.45">
      <c r="A1664" t="str">
        <f>"СИГИЛЬЕТОВА РИММА ПРОХОРОВНА"</f>
        <v>СИГИЛЬЕТОВА РИММА ПРОХОРОВНА</v>
      </c>
      <c r="B1664" t="str">
        <f>"1958-03-05"</f>
        <v>1958-03-05</v>
      </c>
      <c r="C1664" t="str">
        <f>"67 04 074745"</f>
        <v>67 04 074745</v>
      </c>
      <c r="D1664" t="str">
        <f>"5484016704922350"</f>
        <v>5484016704922350</v>
      </c>
      <c r="E1664" t="str">
        <f t="shared" si="289"/>
        <v>2021-05-31</v>
      </c>
      <c r="F1664" t="str">
        <f>"Q"</f>
        <v>Q</v>
      </c>
      <c r="G1664" t="str">
        <f>"Q"</f>
        <v>Q</v>
      </c>
      <c r="H1664" t="str">
        <f>"40817810367720698797"</f>
        <v>40817810367720698797</v>
      </c>
      <c r="I1664" t="str">
        <f>"5940"</f>
        <v>5940</v>
      </c>
      <c r="J1664" t="str">
        <f>"7772"</f>
        <v>7772</v>
      </c>
      <c r="K1664" t="str">
        <f>"0.00"</f>
        <v>0.00</v>
      </c>
      <c r="L1664" t="str">
        <f>"628600 ОБЛ ТЮМЕНСКАЯ   Г НИЖНЕВАРТОВСК   УЛ МИРА д. 13 А"</f>
        <v>628600 ОБЛ ТЮМЕНСКАЯ   Г НИЖНЕВАРТОВСК   УЛ МИРА д. 13 А</v>
      </c>
      <c r="M1664" t="str">
        <f t="shared" si="276"/>
        <v>2019-08-24</v>
      </c>
      <c r="N1664" t="str">
        <f>"ШКОЛА 18"</f>
        <v>ШКОЛА 18</v>
      </c>
      <c r="O1664" t="str">
        <f>"628600"</f>
        <v>628600</v>
      </c>
      <c r="P1664" t="str">
        <f t="shared" si="290"/>
        <v>ОБЛ ТЮМЕНСКАЯ</v>
      </c>
      <c r="Q1664" t="str">
        <f>"АО ХМАО"</f>
        <v>АО ХМАО</v>
      </c>
      <c r="R1664" t="str">
        <f>"Г НИЖНЕВАРТОВСК"</f>
        <v>Г НИЖНЕВАРТОВСК</v>
      </c>
      <c r="S1664" t="str">
        <f>""</f>
        <v/>
      </c>
      <c r="T1664" t="str">
        <f>"УЛ МИРА"</f>
        <v>УЛ МИРА</v>
      </c>
      <c r="U1664" s="1" t="str">
        <f>"60"</f>
        <v>60</v>
      </c>
      <c r="V1664" s="1" t="str">
        <f>""</f>
        <v/>
      </c>
      <c r="W1664" s="1" t="str">
        <f>"4"</f>
        <v>4</v>
      </c>
      <c r="X1664" s="1" t="str">
        <f>""</f>
        <v/>
      </c>
      <c r="Y1664" s="1" t="str">
        <f>"14"</f>
        <v>14</v>
      </c>
      <c r="Z1664" t="str">
        <f>"3466272240"</f>
        <v>3466272240</v>
      </c>
      <c r="AA1664" t="str">
        <f>"9227837672"</f>
        <v>9227837672</v>
      </c>
      <c r="AB1664" t="str">
        <f>"9224179795"</f>
        <v>9224179795</v>
      </c>
      <c r="AC1664" t="str">
        <f>"9227837672"</f>
        <v>9227837672</v>
      </c>
      <c r="AD1664" t="str">
        <f>"9227837672"</f>
        <v>9227837672</v>
      </c>
      <c r="AE1664" t="str">
        <f>"3466412801"</f>
        <v>3466412801</v>
      </c>
    </row>
    <row r="1665" spans="1:31" x14ac:dyDescent="0.45">
      <c r="A1665" t="str">
        <f>"ЛАТЫПОВА РАЗИЯ СУЛТАНГАЛИЕВНА"</f>
        <v>ЛАТЫПОВА РАЗИЯ СУЛТАНГАЛИЕВНА</v>
      </c>
      <c r="B1665" t="str">
        <f>"1955-01-12"</f>
        <v>1955-01-12</v>
      </c>
      <c r="C1665" t="str">
        <f>"67 04 103559"</f>
        <v>67 04 103559</v>
      </c>
      <c r="D1665" t="str">
        <f>"5484016707847455"</f>
        <v>5484016707847455</v>
      </c>
      <c r="E1665" t="str">
        <f t="shared" si="289"/>
        <v>2021-05-31</v>
      </c>
      <c r="F1665" t="str">
        <f t="shared" ref="F1665:G1674" si="291">"+"</f>
        <v>+</v>
      </c>
      <c r="G1665" t="str">
        <f t="shared" si="291"/>
        <v>+</v>
      </c>
      <c r="H1665" t="str">
        <f>"40817810816992243190"</f>
        <v>40817810816992243190</v>
      </c>
      <c r="I1665" t="str">
        <f>"5940"</f>
        <v>5940</v>
      </c>
      <c r="J1665" t="str">
        <f>"7772"</f>
        <v>7772</v>
      </c>
      <c r="K1665" t="str">
        <f>"50000.00"</f>
        <v>50000.00</v>
      </c>
      <c r="L1665" t="str">
        <f>"628600 ОБЛ ТЮМЕНСКАЯ АО ХМАО Г НИЖНЕВАРТОВСК   УЛ МИРА д. 13А"</f>
        <v>628600 ОБЛ ТЮМЕНСКАЯ АО ХМАО Г НИЖНЕВАРТОВСК   УЛ МИРА д. 13А</v>
      </c>
      <c r="M1665" t="str">
        <f t="shared" si="276"/>
        <v>2019-08-24</v>
      </c>
      <c r="N1665" t="str">
        <f>"СОШ 18"</f>
        <v>СОШ 18</v>
      </c>
      <c r="O1665" t="str">
        <f>"628600"</f>
        <v>628600</v>
      </c>
      <c r="P1665" t="str">
        <f t="shared" si="290"/>
        <v>ОБЛ ТЮМЕНСКАЯ</v>
      </c>
      <c r="Q1665" t="str">
        <f>"АО ХМАО"</f>
        <v>АО ХМАО</v>
      </c>
      <c r="R1665" t="str">
        <f>"Г НИЖНЕВАРТОВСК"</f>
        <v>Г НИЖНЕВАРТОВСК</v>
      </c>
      <c r="S1665" t="str">
        <f>""</f>
        <v/>
      </c>
      <c r="T1665" t="str">
        <f>"УЛ МИРА"</f>
        <v>УЛ МИРА</v>
      </c>
      <c r="U1665" s="1" t="str">
        <f>"28"</f>
        <v>28</v>
      </c>
      <c r="V1665" s="1" t="str">
        <f>""</f>
        <v/>
      </c>
      <c r="W1665" s="1" t="str">
        <f>""</f>
        <v/>
      </c>
      <c r="X1665" s="1" t="str">
        <f>""</f>
        <v/>
      </c>
      <c r="Y1665" s="1" t="str">
        <f>"11"</f>
        <v>11</v>
      </c>
      <c r="Z1665" t="str">
        <f>"3466412704"</f>
        <v>3466412704</v>
      </c>
      <c r="AA1665" t="str">
        <f>"9120894217"</f>
        <v>9120894217</v>
      </c>
      <c r="AB1665" t="str">
        <f>"9120894217"</f>
        <v>9120894217</v>
      </c>
      <c r="AC1665" t="str">
        <f>"9120894217"</f>
        <v>9120894217</v>
      </c>
      <c r="AD1665" t="str">
        <f>"9120894217"</f>
        <v>9120894217</v>
      </c>
      <c r="AE1665" t="str">
        <f>"3466412704"</f>
        <v>3466412704</v>
      </c>
    </row>
    <row r="1666" spans="1:31" x14ac:dyDescent="0.45">
      <c r="A1666" t="str">
        <f>"КУТУЗОВА НАТАЛИЯ ВИКТОРОВНА"</f>
        <v>КУТУЗОВА НАТАЛИЯ ВИКТОРОВНА</v>
      </c>
      <c r="B1666" t="str">
        <f>"1990-09-09"</f>
        <v>1990-09-09</v>
      </c>
      <c r="C1666" t="str">
        <f>"25 10 418363"</f>
        <v>25 10 418363</v>
      </c>
      <c r="D1666" t="str">
        <f>"5484016701979346"</f>
        <v>5484016701979346</v>
      </c>
      <c r="E1666" t="str">
        <f t="shared" si="289"/>
        <v>2021-05-31</v>
      </c>
      <c r="F1666" t="str">
        <f t="shared" si="291"/>
        <v>+</v>
      </c>
      <c r="G1666" t="str">
        <f t="shared" si="291"/>
        <v>+</v>
      </c>
      <c r="H1666" t="str">
        <f>"40817810516992301646"</f>
        <v>40817810516992301646</v>
      </c>
      <c r="I1666" t="str">
        <f>"5940"</f>
        <v>5940</v>
      </c>
      <c r="J1666" t="str">
        <f>"7772"</f>
        <v>7772</v>
      </c>
      <c r="K1666" t="str">
        <f>"30000.00"</f>
        <v>30000.00</v>
      </c>
      <c r="L1666" t="str">
        <f>"628600 ОБЛ ТЮМЕНСКАЯ АО ХМАО Г НИЖНЕВАРТОВСК   УЛ МИРА д. 13А"</f>
        <v>628600 ОБЛ ТЮМЕНСКАЯ АО ХМАО Г НИЖНЕВАРТОВСК   УЛ МИРА д. 13А</v>
      </c>
      <c r="M1666" t="str">
        <f t="shared" ref="M1666:M1729" si="292">"2019-08-24"</f>
        <v>2019-08-24</v>
      </c>
      <c r="N1666" t="str">
        <f>"СОШ 18"</f>
        <v>СОШ 18</v>
      </c>
      <c r="O1666" t="str">
        <f>"064001"</f>
        <v>064001</v>
      </c>
      <c r="P1666" t="str">
        <f>"ОБЛ ИРКУТСКАЯ"</f>
        <v>ОБЛ ИРКУТСКАЯ</v>
      </c>
      <c r="Q1666" t="str">
        <f>""</f>
        <v/>
      </c>
      <c r="R1666" t="str">
        <f>"Г ИРКУТСК"</f>
        <v>Г ИРКУТСК</v>
      </c>
      <c r="S1666" t="str">
        <f>""</f>
        <v/>
      </c>
      <c r="T1666" t="str">
        <f>"УЛ БАУМАНА"</f>
        <v>УЛ БАУМАНА</v>
      </c>
      <c r="U1666" s="1" t="str">
        <f>"183"</f>
        <v>183</v>
      </c>
      <c r="V1666" s="1" t="str">
        <f>""</f>
        <v/>
      </c>
      <c r="W1666" s="1" t="str">
        <f>""</f>
        <v/>
      </c>
      <c r="X1666" s="1" t="str">
        <f>""</f>
        <v/>
      </c>
      <c r="Y1666" s="1" t="str">
        <f>"6"</f>
        <v>6</v>
      </c>
      <c r="Z1666" t="str">
        <f>"3466412701"</f>
        <v>3466412701</v>
      </c>
      <c r="AA1666" t="str">
        <f>"9832448535"</f>
        <v>9832448535</v>
      </c>
      <c r="AB1666" t="str">
        <f>"9832448535"</f>
        <v>9832448535</v>
      </c>
      <c r="AC1666" t="str">
        <f>"9832448535"</f>
        <v>9832448535</v>
      </c>
      <c r="AD1666" t="str">
        <f>"9832448535"</f>
        <v>9832448535</v>
      </c>
      <c r="AE1666" t="str">
        <f>"3466412701"</f>
        <v>3466412701</v>
      </c>
    </row>
    <row r="1667" spans="1:31" x14ac:dyDescent="0.45">
      <c r="A1667" t="str">
        <f>"КУНГУРЦЕВ ЛЕОНИД ВЛАДИМИРОВИЧ"</f>
        <v>КУНГУРЦЕВ ЛЕОНИД ВЛАДИМИРОВИЧ</v>
      </c>
      <c r="B1667" t="str">
        <f>"1960-01-04"</f>
        <v>1960-01-04</v>
      </c>
      <c r="C1667" t="str">
        <f>"37 05 016462"</f>
        <v>37 05 016462</v>
      </c>
      <c r="D1667" t="str">
        <f>"4854630400295013"</f>
        <v>4854630400295013</v>
      </c>
      <c r="E1667" t="str">
        <f>"2021-04-30"</f>
        <v>2021-04-30</v>
      </c>
      <c r="F1667" t="str">
        <f t="shared" si="291"/>
        <v>+</v>
      </c>
      <c r="G1667" t="str">
        <f t="shared" si="291"/>
        <v>+</v>
      </c>
      <c r="H1667" t="str">
        <f>"40817810316991460872"</f>
        <v>40817810316991460872</v>
      </c>
      <c r="I1667" t="str">
        <f>"7003"</f>
        <v>7003</v>
      </c>
      <c r="J1667" t="str">
        <f>"0405"</f>
        <v>0405</v>
      </c>
      <c r="K1667" t="str">
        <f>"400000.00"</f>
        <v>400000.00</v>
      </c>
      <c r="L1667" t="str">
        <f>"620000 ОБЛ СВЕРДЛОВСКАЯ   Г ЕКАТЕРИНБУРГ   УЛ ТКАЧЕЙ д. 25 офис 402"</f>
        <v>620000 ОБЛ СВЕРДЛОВСКАЯ   Г ЕКАТЕРИНБУРГ   УЛ ТКАЧЕЙ д. 25 офис 402</v>
      </c>
      <c r="M1667" t="str">
        <f t="shared" si="292"/>
        <v>2019-08-24</v>
      </c>
      <c r="N1667" t="str">
        <f>"ООО АЛЬФА СТРОЙ"</f>
        <v>ООО АЛЬФА СТРОЙ</v>
      </c>
      <c r="O1667" t="str">
        <f>"641000"</f>
        <v>641000</v>
      </c>
      <c r="P1667" t="str">
        <f>"ОБЛ КУРГАНСКАЯ"</f>
        <v>ОБЛ КУРГАНСКАЯ</v>
      </c>
      <c r="Q1667" t="str">
        <f>""</f>
        <v/>
      </c>
      <c r="R1667" t="str">
        <f>""</f>
        <v/>
      </c>
      <c r="S1667" t="str">
        <f>"ПГТ ВАРГАШИ"</f>
        <v>ПГТ ВАРГАШИ</v>
      </c>
      <c r="T1667" t="str">
        <f>"УЛ СОЦИАЛИСТИЧЕСКАЯ"</f>
        <v>УЛ СОЦИАЛИСТИЧЕСКАЯ</v>
      </c>
      <c r="U1667" s="1" t="str">
        <f>"36"</f>
        <v>36</v>
      </c>
      <c r="V1667" s="1" t="str">
        <f>""</f>
        <v/>
      </c>
      <c r="W1667" s="1" t="str">
        <f>""</f>
        <v/>
      </c>
      <c r="X1667" s="1" t="str">
        <f>""</f>
        <v/>
      </c>
      <c r="Y1667" s="1" t="str">
        <f>""</f>
        <v/>
      </c>
      <c r="Z1667" t="str">
        <f>"3432882277"</f>
        <v>3432882277</v>
      </c>
      <c r="AA1667" t="str">
        <f>"9122807774"</f>
        <v>9122807774</v>
      </c>
      <c r="AB1667" t="str">
        <f>"9122807774"</f>
        <v>9122807774</v>
      </c>
      <c r="AC1667" t="str">
        <f>"9122807774"</f>
        <v>9122807774</v>
      </c>
      <c r="AD1667" t="str">
        <f>"9122807774"</f>
        <v>9122807774</v>
      </c>
      <c r="AE1667" t="str">
        <f>""</f>
        <v/>
      </c>
    </row>
    <row r="1668" spans="1:31" x14ac:dyDescent="0.45">
      <c r="A1668" t="str">
        <f>"САУТИНА СВЕТЛАНА ВИКТОРОВНА"</f>
        <v>САУТИНА СВЕТЛАНА ВИКТОРОВНА</v>
      </c>
      <c r="B1668" t="str">
        <f>"1984-07-14"</f>
        <v>1984-07-14</v>
      </c>
      <c r="C1668" t="str">
        <f>"71 07 587211"</f>
        <v>71 07 587211</v>
      </c>
      <c r="D1668" t="str">
        <f>"5484016702445065"</f>
        <v>5484016702445065</v>
      </c>
      <c r="E1668" t="str">
        <f>"2021-05-31"</f>
        <v>2021-05-31</v>
      </c>
      <c r="F1668" t="str">
        <f t="shared" si="291"/>
        <v>+</v>
      </c>
      <c r="G1668" t="str">
        <f t="shared" si="291"/>
        <v>+</v>
      </c>
      <c r="H1668" t="str">
        <f>"40817810016992300820"</f>
        <v>40817810016992300820</v>
      </c>
      <c r="I1668" t="str">
        <f>"8647"</f>
        <v>8647</v>
      </c>
      <c r="J1668" t="str">
        <f>"7770"</f>
        <v>7770</v>
      </c>
      <c r="K1668" t="str">
        <f>"130000.00"</f>
        <v>130000.00</v>
      </c>
      <c r="L1668" t="str">
        <f>"625000 ОБЛ ТЮМЕНСКАЯ   Г ТЮМЕНЬ   УЛ ЮРИЯ СЕМОВСКИХ д. 10"</f>
        <v>625000 ОБЛ ТЮМЕНСКАЯ   Г ТЮМЕНЬ   УЛ ЮРИЯ СЕМОВСКИХ д. 10</v>
      </c>
      <c r="M1668" t="str">
        <f t="shared" si="292"/>
        <v>2019-08-24</v>
      </c>
      <c r="N1668" t="str">
        <f>"ОКБ №1"</f>
        <v>ОКБ №1</v>
      </c>
      <c r="O1668" t="str">
        <f>"625519"</f>
        <v>625519</v>
      </c>
      <c r="P1668" t="str">
        <f>"ОБЛ ТЮМЕНСКАЯ"</f>
        <v>ОБЛ ТЮМЕНСКАЯ</v>
      </c>
      <c r="Q1668" t="str">
        <f>"Р-Н ТЮМЕНСКИЙ"</f>
        <v>Р-Н ТЮМЕНСКИЙ</v>
      </c>
      <c r="R1668" t="str">
        <f>""</f>
        <v/>
      </c>
      <c r="S1668" t="str">
        <f>"С ЧЕРВИШЕВО"</f>
        <v>С ЧЕРВИШЕВО</v>
      </c>
      <c r="T1668" t="str">
        <f>"УЛ МОСТОВАЯ"</f>
        <v>УЛ МОСТОВАЯ</v>
      </c>
      <c r="U1668" s="1" t="str">
        <f>"23"</f>
        <v>23</v>
      </c>
      <c r="V1668" s="1" t="str">
        <f>""</f>
        <v/>
      </c>
      <c r="W1668" s="1" t="str">
        <f>""</f>
        <v/>
      </c>
      <c r="X1668" s="1" t="str">
        <f>""</f>
        <v/>
      </c>
      <c r="Y1668" s="1" t="str">
        <f>""</f>
        <v/>
      </c>
      <c r="Z1668" t="str">
        <f>"3452294052"</f>
        <v>3452294052</v>
      </c>
      <c r="AA1668" t="str">
        <f>"9829478810"</f>
        <v>9829478810</v>
      </c>
      <c r="AB1668" t="str">
        <f>"9829478810"</f>
        <v>9829478810</v>
      </c>
      <c r="AC1668" t="str">
        <f>"9829478810"</f>
        <v>9829478810</v>
      </c>
      <c r="AD1668" t="str">
        <f>"9829478810"</f>
        <v>9829478810</v>
      </c>
      <c r="AE1668" t="str">
        <f>"3452294052"</f>
        <v>3452294052</v>
      </c>
    </row>
    <row r="1669" spans="1:31" x14ac:dyDescent="0.45">
      <c r="A1669" t="str">
        <f>"ПАНЬКОВА ДАРЬЯ СЕРГЕЕВНА"</f>
        <v>ПАНЬКОВА ДАРЬЯ СЕРГЕЕВНА</v>
      </c>
      <c r="B1669" t="str">
        <f>"1989-07-02"</f>
        <v>1989-07-02</v>
      </c>
      <c r="C1669" t="str">
        <f>"65 09 657852"</f>
        <v>65 09 657852</v>
      </c>
      <c r="D1669" t="str">
        <f>"4854630234965674"</f>
        <v>4854630234965674</v>
      </c>
      <c r="E1669" t="str">
        <f>"2021-04-30"</f>
        <v>2021-04-30</v>
      </c>
      <c r="F1669" t="str">
        <f t="shared" si="291"/>
        <v>+</v>
      </c>
      <c r="G1669" t="str">
        <f t="shared" si="291"/>
        <v>+</v>
      </c>
      <c r="H1669" t="str">
        <f>"40817810016991416171"</f>
        <v>40817810016991416171</v>
      </c>
      <c r="I1669" t="str">
        <f>"7003"</f>
        <v>7003</v>
      </c>
      <c r="J1669" t="str">
        <f>"0897"</f>
        <v>0897</v>
      </c>
      <c r="K1669" t="str">
        <f>"15000.00"</f>
        <v>15000.00</v>
      </c>
      <c r="L1669" t="str">
        <f>"620000 ОБЛ СВЕРДЛОВСКАЯ   Г ЕКАТЕРИНБУРГ   УЛ ГОРЬКОГО  д. 7А"</f>
        <v>620000 ОБЛ СВЕРДЛОВСКАЯ   Г ЕКАТЕРИНБУРГ   УЛ ГОРЬКОГО  д. 7А</v>
      </c>
      <c r="M1669" t="str">
        <f t="shared" si="292"/>
        <v>2019-08-24</v>
      </c>
      <c r="N1669" t="str">
        <f>"16540899"</f>
        <v>16540899</v>
      </c>
      <c r="O1669" t="str">
        <f>"620000"</f>
        <v>620000</v>
      </c>
      <c r="P1669" t="str">
        <f>"ОБЛ СВЕРДЛОВСКАЯ"</f>
        <v>ОБЛ СВЕРДЛОВСКАЯ</v>
      </c>
      <c r="Q1669" t="str">
        <f>""</f>
        <v/>
      </c>
      <c r="R1669" t="str">
        <f>"Г ЕКАТЕРИНБУРГ"</f>
        <v>Г ЕКАТЕРИНБУРГ</v>
      </c>
      <c r="S1669" t="str">
        <f>""</f>
        <v/>
      </c>
      <c r="T1669" t="str">
        <f>"УЛ ЭНГЕЛЬСА"</f>
        <v>УЛ ЭНГЕЛЬСА</v>
      </c>
      <c r="U1669" s="1" t="str">
        <f>"38"</f>
        <v>38</v>
      </c>
      <c r="V1669" s="1" t="str">
        <f>""</f>
        <v/>
      </c>
      <c r="W1669" s="1" t="str">
        <f>""</f>
        <v/>
      </c>
      <c r="X1669" s="1" t="str">
        <f>""</f>
        <v/>
      </c>
      <c r="Y1669" s="1" t="str">
        <f>"152"</f>
        <v>152</v>
      </c>
      <c r="Z1669" t="str">
        <f>"9222257991"</f>
        <v>9222257991</v>
      </c>
      <c r="AA1669" t="str">
        <f>"9222257991"</f>
        <v>9222257991</v>
      </c>
      <c r="AB1669" t="str">
        <f>"9222257991"</f>
        <v>9222257991</v>
      </c>
      <c r="AC1669" t="str">
        <f>"9222257991"</f>
        <v>9222257991</v>
      </c>
      <c r="AD1669" t="str">
        <f>"9222257991"</f>
        <v>9222257991</v>
      </c>
      <c r="AE1669" t="str">
        <f>"9222257991"</f>
        <v>9222257991</v>
      </c>
    </row>
    <row r="1670" spans="1:31" x14ac:dyDescent="0.45">
      <c r="A1670" t="str">
        <f>"ЕРМИЛОВ КИРИЛЛ СЕРГЕЕВИЧ"</f>
        <v>ЕРМИЛОВ КИРИЛЛ СЕРГЕЕВИЧ</v>
      </c>
      <c r="B1670" t="str">
        <f>"1995-01-24"</f>
        <v>1995-01-24</v>
      </c>
      <c r="C1670" t="str">
        <f>"67 13 323746"</f>
        <v>67 13 323746</v>
      </c>
      <c r="D1670" t="str">
        <f>"4279016736459241"</f>
        <v>4279016736459241</v>
      </c>
      <c r="E1670" t="str">
        <f t="shared" ref="E1670:E1675" si="293">"2021-05-31"</f>
        <v>2021-05-31</v>
      </c>
      <c r="F1670" t="str">
        <f t="shared" si="291"/>
        <v>+</v>
      </c>
      <c r="G1670" t="str">
        <f t="shared" si="291"/>
        <v>+</v>
      </c>
      <c r="H1670" t="str">
        <f>"40817810216992097713"</f>
        <v>40817810216992097713</v>
      </c>
      <c r="I1670" t="str">
        <f>"8647"</f>
        <v>8647</v>
      </c>
      <c r="J1670" t="str">
        <f>"0178"</f>
        <v>0178</v>
      </c>
      <c r="K1670" t="str">
        <f>"50000.00"</f>
        <v>50000.00</v>
      </c>
      <c r="L1670" t="str">
        <f>"628162 ОБЛ ТЮМЕНСКАЯ АО ХАНТЫ-МАНСИЙСКИЙ Г БЕЛОЯРСКИЙ   УЛ ЛЫСЮКОВА д. 8"</f>
        <v>628162 ОБЛ ТЮМЕНСКАЯ АО ХАНТЫ-МАНСИЙСКИЙ Г БЕЛОЯРСКИЙ   УЛ ЛЫСЮКОВА д. 8</v>
      </c>
      <c r="M1670" t="str">
        <f t="shared" si="292"/>
        <v>2019-08-24</v>
      </c>
      <c r="N1670" t="str">
        <f>"ОАО БЕЛОЯРСКОЕ УАВР"</f>
        <v>ОАО БЕЛОЯРСКОЕ УАВР</v>
      </c>
      <c r="O1670" t="str">
        <f>"625022"</f>
        <v>625022</v>
      </c>
      <c r="P1670" t="str">
        <f>"ОБЛ ТЮМЕНСКАЯ"</f>
        <v>ОБЛ ТЮМЕНСКАЯ</v>
      </c>
      <c r="Q1670" t="str">
        <f>""</f>
        <v/>
      </c>
      <c r="R1670" t="str">
        <f>"Г ТЮМЕНЬ"</f>
        <v>Г ТЮМЕНЬ</v>
      </c>
      <c r="S1670" t="str">
        <f>""</f>
        <v/>
      </c>
      <c r="T1670" t="str">
        <f>"УЛ Ю.-Р.Г. ЭРВЬЕ"</f>
        <v>УЛ Ю.-Р.Г. ЭРВЬЕ</v>
      </c>
      <c r="U1670" s="1" t="str">
        <f>"24"</f>
        <v>24</v>
      </c>
      <c r="V1670" s="1" t="str">
        <f>""</f>
        <v/>
      </c>
      <c r="W1670" s="1" t="str">
        <f>"3"</f>
        <v>3</v>
      </c>
      <c r="X1670" s="1" t="str">
        <f>""</f>
        <v/>
      </c>
      <c r="Y1670" s="1" t="str">
        <f>"112"</f>
        <v>112</v>
      </c>
      <c r="Z1670" t="str">
        <f>""</f>
        <v/>
      </c>
      <c r="AA1670" t="str">
        <f>"9220013121"</f>
        <v>9220013121</v>
      </c>
      <c r="AB1670" t="str">
        <f>"9323256329"</f>
        <v>9323256329</v>
      </c>
      <c r="AC1670" t="str">
        <f>"9220013121"</f>
        <v>9220013121</v>
      </c>
      <c r="AD1670" t="str">
        <f>"9323256329"</f>
        <v>9323256329</v>
      </c>
      <c r="AE1670" t="str">
        <f>""</f>
        <v/>
      </c>
    </row>
    <row r="1671" spans="1:31" x14ac:dyDescent="0.45">
      <c r="A1671" t="str">
        <f>"СЕЙЛЬБАХ ЕКАТЕРИНА ЯКОВЛЕВНА"</f>
        <v>СЕЙЛЬБАХ ЕКАТЕРИНА ЯКОВЛЕВНА</v>
      </c>
      <c r="B1671" t="str">
        <f>"1983-11-22"</f>
        <v>1983-11-22</v>
      </c>
      <c r="C1671" t="str">
        <f>"71 04 045455"</f>
        <v>71 04 045455</v>
      </c>
      <c r="D1671" t="str">
        <f>"5484016703462630"</f>
        <v>5484016703462630</v>
      </c>
      <c r="E1671" t="str">
        <f t="shared" si="293"/>
        <v>2021-05-31</v>
      </c>
      <c r="F1671" t="str">
        <f t="shared" si="291"/>
        <v>+</v>
      </c>
      <c r="G1671" t="str">
        <f t="shared" si="291"/>
        <v>+</v>
      </c>
      <c r="H1671" t="str">
        <f>"40817810016992301816"</f>
        <v>40817810016992301816</v>
      </c>
      <c r="I1671" t="str">
        <f>"8647"</f>
        <v>8647</v>
      </c>
      <c r="J1671" t="str">
        <f>"7770"</f>
        <v>7770</v>
      </c>
      <c r="K1671" t="str">
        <f>"105000.00"</f>
        <v>105000.00</v>
      </c>
      <c r="L1671" t="str">
        <f>"625013 ОБЛ ТЮМЕНСКАЯ   Г ТЮМЕНЬ   УЛ ЭНЕРГЕТИКОВ д. 26"</f>
        <v>625013 ОБЛ ТЮМЕНСКАЯ   Г ТЮМЕНЬ   УЛ ЭНЕРГЕТИКОВ д. 26</v>
      </c>
      <c r="M1671" t="str">
        <f t="shared" si="292"/>
        <v>2019-08-24</v>
      </c>
      <c r="N1671" t="str">
        <f>"ОКБ 1"</f>
        <v>ОКБ 1</v>
      </c>
      <c r="O1671" t="str">
        <f>"625000"</f>
        <v>625000</v>
      </c>
      <c r="P1671" t="str">
        <f>"ОБЛ ТЮМЕНСКАЯ"</f>
        <v>ОБЛ ТЮМЕНСКАЯ</v>
      </c>
      <c r="Q1671" t="str">
        <f>""</f>
        <v/>
      </c>
      <c r="R1671" t="str">
        <f>"Г ТЮМЕНЬ"</f>
        <v>Г ТЮМЕНЬ</v>
      </c>
      <c r="S1671" t="str">
        <f>""</f>
        <v/>
      </c>
      <c r="T1671" t="str">
        <f>"УЛ МЕЛЬНИКАЙТЕ"</f>
        <v>УЛ МЕЛЬНИКАЙТЕ</v>
      </c>
      <c r="U1671" s="1" t="str">
        <f>"120"</f>
        <v>120</v>
      </c>
      <c r="V1671" s="1" t="str">
        <f>""</f>
        <v/>
      </c>
      <c r="W1671" s="1" t="str">
        <f>""</f>
        <v/>
      </c>
      <c r="X1671" s="1" t="str">
        <f>""</f>
        <v/>
      </c>
      <c r="Y1671" s="1" t="str">
        <f>"150"</f>
        <v>150</v>
      </c>
      <c r="Z1671" t="str">
        <f>"3452560010"</f>
        <v>3452560010</v>
      </c>
      <c r="AA1671" t="str">
        <f>"9058205888"</f>
        <v>9058205888</v>
      </c>
      <c r="AB1671" t="str">
        <f>"9058205888"</f>
        <v>9058205888</v>
      </c>
      <c r="AC1671" t="str">
        <f>"9058205888"</f>
        <v>9058205888</v>
      </c>
      <c r="AD1671" t="str">
        <f>"9058205888"</f>
        <v>9058205888</v>
      </c>
      <c r="AE1671" t="str">
        <f>"3452560010"</f>
        <v>3452560010</v>
      </c>
    </row>
    <row r="1672" spans="1:31" x14ac:dyDescent="0.45">
      <c r="A1672" t="str">
        <f>"СЕЛЯКОВА ТАТЬЯНА БУЛАТОВНА"</f>
        <v>СЕЛЯКОВА ТАТЬЯНА БУЛАТОВНА</v>
      </c>
      <c r="B1672" t="str">
        <f>"1974-03-16"</f>
        <v>1974-03-16</v>
      </c>
      <c r="C1672" t="str">
        <f>"71 99 099096"</f>
        <v>71 99 099096</v>
      </c>
      <c r="D1672" t="str">
        <f>"5484016708100375"</f>
        <v>5484016708100375</v>
      </c>
      <c r="E1672" t="str">
        <f t="shared" si="293"/>
        <v>2021-05-31</v>
      </c>
      <c r="F1672" t="str">
        <f t="shared" si="291"/>
        <v>+</v>
      </c>
      <c r="G1672" t="str">
        <f t="shared" si="291"/>
        <v>+</v>
      </c>
      <c r="H1672" t="str">
        <f>"40817810116992301907"</f>
        <v>40817810116992301907</v>
      </c>
      <c r="I1672" t="str">
        <f>"8647"</f>
        <v>8647</v>
      </c>
      <c r="J1672" t="str">
        <f>"7770"</f>
        <v>7770</v>
      </c>
      <c r="K1672" t="str">
        <f>"32000.00"</f>
        <v>32000.00</v>
      </c>
      <c r="L1672" t="str">
        <f>"625000 ОБЛ ТЮМЕНСКАЯ   Г ТЮМЕНЬ   УЛ КОТОВСКОГО д. 55"</f>
        <v>625000 ОБЛ ТЮМЕНСКАЯ   Г ТЮМЕНЬ   УЛ КОТОВСКОГО д. 55</v>
      </c>
      <c r="M1672" t="str">
        <f t="shared" si="292"/>
        <v>2019-08-24</v>
      </c>
      <c r="N1672" t="str">
        <f>"ОКБ 1"</f>
        <v>ОКБ 1</v>
      </c>
      <c r="O1672" t="str">
        <f>"625000"</f>
        <v>625000</v>
      </c>
      <c r="P1672" t="str">
        <f>"ОБЛ ТЮМЕНСКАЯ"</f>
        <v>ОБЛ ТЮМЕНСКАЯ</v>
      </c>
      <c r="Q1672" t="str">
        <f>""</f>
        <v/>
      </c>
      <c r="R1672" t="str">
        <f>"Г ТЮМЕНЬ"</f>
        <v>Г ТЮМЕНЬ</v>
      </c>
      <c r="S1672" t="str">
        <f>""</f>
        <v/>
      </c>
      <c r="T1672" t="str">
        <f>"УЛ МИНСКАЯ"</f>
        <v>УЛ МИНСКАЯ</v>
      </c>
      <c r="U1672" s="1" t="str">
        <f>"5"</f>
        <v>5</v>
      </c>
      <c r="V1672" s="1" t="str">
        <f>""</f>
        <v/>
      </c>
      <c r="W1672" s="1" t="str">
        <f>""</f>
        <v/>
      </c>
      <c r="X1672" s="1" t="str">
        <f>""</f>
        <v/>
      </c>
      <c r="Y1672" s="1" t="str">
        <f>"413"</f>
        <v>413</v>
      </c>
      <c r="Z1672" t="str">
        <f>"3452287625"</f>
        <v>3452287625</v>
      </c>
      <c r="AA1672" t="str">
        <f>"9222695670"</f>
        <v>9222695670</v>
      </c>
      <c r="AB1672" t="str">
        <f>"9222695670"</f>
        <v>9222695670</v>
      </c>
      <c r="AC1672" t="str">
        <f>"9222695670"</f>
        <v>9222695670</v>
      </c>
      <c r="AD1672" t="str">
        <f>"9222695670"</f>
        <v>9222695670</v>
      </c>
      <c r="AE1672" t="str">
        <f>"3452287625"</f>
        <v>3452287625</v>
      </c>
    </row>
    <row r="1673" spans="1:31" x14ac:dyDescent="0.45">
      <c r="A1673" t="str">
        <f>"КЕСОВА НАТЕЛА ГЕОРГИЕВНА"</f>
        <v>КЕСОВА НАТЕЛА ГЕОРГИЕВНА</v>
      </c>
      <c r="B1673" t="str">
        <f>"1989-05-27"</f>
        <v>1989-05-27</v>
      </c>
      <c r="C1673" t="str">
        <f>"71 09 701678"</f>
        <v>71 09 701678</v>
      </c>
      <c r="D1673" t="str">
        <f>"5484016704258805"</f>
        <v>5484016704258805</v>
      </c>
      <c r="E1673" t="str">
        <f t="shared" si="293"/>
        <v>2021-05-31</v>
      </c>
      <c r="F1673" t="str">
        <f t="shared" si="291"/>
        <v>+</v>
      </c>
      <c r="G1673" t="str">
        <f t="shared" si="291"/>
        <v>+</v>
      </c>
      <c r="H1673" t="str">
        <f>"40817810916992302070"</f>
        <v>40817810916992302070</v>
      </c>
      <c r="I1673" t="str">
        <f>"8647"</f>
        <v>8647</v>
      </c>
      <c r="J1673" t="str">
        <f>"7770"</f>
        <v>7770</v>
      </c>
      <c r="K1673" t="str">
        <f>"23000.00"</f>
        <v>23000.00</v>
      </c>
      <c r="L1673" t="str">
        <f>"625000 ОБЛ ТЮМЕНСКАЯ   Г ТЮМЕНЬ   УЛ ЮРИЯ СЕМОВСКИХ д. 10"</f>
        <v>625000 ОБЛ ТЮМЕНСКАЯ   Г ТЮМЕНЬ   УЛ ЮРИЯ СЕМОВСКИХ д. 10</v>
      </c>
      <c r="M1673" t="str">
        <f t="shared" si="292"/>
        <v>2019-08-24</v>
      </c>
      <c r="N1673" t="str">
        <f>"ОКБ №1"</f>
        <v>ОКБ №1</v>
      </c>
      <c r="O1673" t="str">
        <f>"625022"</f>
        <v>625022</v>
      </c>
      <c r="P1673" t="str">
        <f>"ОБЛ ТЮМЕНСКАЯ"</f>
        <v>ОБЛ ТЮМЕНСКАЯ</v>
      </c>
      <c r="Q1673" t="str">
        <f>""</f>
        <v/>
      </c>
      <c r="R1673" t="str">
        <f>"Г ТЮМЕНЬ"</f>
        <v>Г ТЮМЕНЬ</v>
      </c>
      <c r="S1673" t="str">
        <f>""</f>
        <v/>
      </c>
      <c r="T1673" t="str">
        <f>"УЛ ГАЗОВИКОВ"</f>
        <v>УЛ ГАЗОВИКОВ</v>
      </c>
      <c r="U1673" s="1" t="str">
        <f>"30"</f>
        <v>30</v>
      </c>
      <c r="V1673" s="1" t="str">
        <f>""</f>
        <v/>
      </c>
      <c r="W1673" s="1" t="str">
        <f>""</f>
        <v/>
      </c>
      <c r="X1673" s="1" t="str">
        <f>""</f>
        <v/>
      </c>
      <c r="Y1673" s="1" t="str">
        <f>"167"</f>
        <v>167</v>
      </c>
      <c r="Z1673" t="str">
        <f>"3452294052"</f>
        <v>3452294052</v>
      </c>
      <c r="AA1673" t="str">
        <f>"9068203366"</f>
        <v>9068203366</v>
      </c>
      <c r="AB1673" t="str">
        <f>"9068203366"</f>
        <v>9068203366</v>
      </c>
      <c r="AC1673" t="str">
        <f>"9068203366"</f>
        <v>9068203366</v>
      </c>
      <c r="AD1673" t="str">
        <f>"9068203366"</f>
        <v>9068203366</v>
      </c>
      <c r="AE1673" t="str">
        <f>"3452294052"</f>
        <v>3452294052</v>
      </c>
    </row>
    <row r="1674" spans="1:31" x14ac:dyDescent="0.45">
      <c r="A1674" t="str">
        <f>"БЕЛОВА ЕЛЕНА ДМИТРИЕВНА"</f>
        <v>БЕЛОВА ЕЛЕНА ДМИТРИЕВНА</v>
      </c>
      <c r="B1674" t="str">
        <f>"1977-06-28"</f>
        <v>1977-06-28</v>
      </c>
      <c r="C1674" t="str">
        <f>"14 12 302884"</f>
        <v>14 12 302884</v>
      </c>
      <c r="D1674" t="str">
        <f>"5484016702912460"</f>
        <v>5484016702912460</v>
      </c>
      <c r="E1674" t="str">
        <f t="shared" si="293"/>
        <v>2021-05-31</v>
      </c>
      <c r="F1674" t="str">
        <f t="shared" si="291"/>
        <v>+</v>
      </c>
      <c r="G1674" t="str">
        <f t="shared" si="291"/>
        <v>+</v>
      </c>
      <c r="H1674" t="str">
        <f>"40817810616992401323"</f>
        <v>40817810616992401323</v>
      </c>
      <c r="I1674" t="str">
        <f>"5940"</f>
        <v>5940</v>
      </c>
      <c r="J1674" t="str">
        <f>"7770"</f>
        <v>7770</v>
      </c>
      <c r="K1674" t="str">
        <f>"145000.00"</f>
        <v>145000.00</v>
      </c>
      <c r="L1674" t="str">
        <f>"628400 ОБЛ ТЮМЕНСКАЯ   Г СУРГУТ   ПРОЕЗД СОВЕТОВ д. 4"</f>
        <v>628400 ОБЛ ТЮМЕНСКАЯ   Г СУРГУТ   ПРОЕЗД СОВЕТОВ д. 4</v>
      </c>
      <c r="M1674" t="str">
        <f t="shared" si="292"/>
        <v>2019-08-24</v>
      </c>
      <c r="N1674" t="str">
        <f>"МКУ ЦООД"</f>
        <v>МКУ ЦООД</v>
      </c>
      <c r="O1674" t="str">
        <f>"308501"</f>
        <v>308501</v>
      </c>
      <c r="P1674" t="str">
        <f>"ОБЛ БЕЛГОРОДСКАЯ"</f>
        <v>ОБЛ БЕЛГОРОДСКАЯ</v>
      </c>
      <c r="Q1674" t="str">
        <f>"Р-Н БЕЛГОРОДСКИЙ"</f>
        <v>Р-Н БЕЛГОРОДСКИЙ</v>
      </c>
      <c r="R1674" t="str">
        <f>"С/П ТАВРОВО"</f>
        <v>С/П ТАВРОВО</v>
      </c>
      <c r="S1674" t="str">
        <f>"МКР ТАВРОВО 2"</f>
        <v>МКР ТАВРОВО 2</v>
      </c>
      <c r="T1674" t="str">
        <f>"УЛ ПРИВОЛЬНАЯ"</f>
        <v>УЛ ПРИВОЛЬНАЯ</v>
      </c>
      <c r="U1674" s="1" t="str">
        <f>"28"</f>
        <v>28</v>
      </c>
      <c r="V1674" s="1" t="str">
        <f>""</f>
        <v/>
      </c>
      <c r="W1674" s="1" t="str">
        <f>""</f>
        <v/>
      </c>
      <c r="X1674" s="1" t="str">
        <f>""</f>
        <v/>
      </c>
      <c r="Y1674" s="1" t="str">
        <f>""</f>
        <v/>
      </c>
      <c r="Z1674" t="str">
        <f>"3462230936"</f>
        <v>3462230936</v>
      </c>
      <c r="AA1674" t="str">
        <f>"9155795532"</f>
        <v>9155795532</v>
      </c>
      <c r="AB1674" t="str">
        <f>"9155795532"</f>
        <v>9155795532</v>
      </c>
      <c r="AC1674" t="str">
        <f>"9155795532"</f>
        <v>9155795532</v>
      </c>
      <c r="AD1674" t="str">
        <f>"9155795532"</f>
        <v>9155795532</v>
      </c>
      <c r="AE1674" t="str">
        <f>"3462230931"</f>
        <v>3462230931</v>
      </c>
    </row>
    <row r="1675" spans="1:31" x14ac:dyDescent="0.45">
      <c r="A1675" t="str">
        <f>"ЧАНДАРОВА СВЕТЛАНА АЛЕКСАНДРОВНА"</f>
        <v>ЧАНДАРОВА СВЕТЛАНА АЛЕКСАНДРОВНА</v>
      </c>
      <c r="B1675" t="str">
        <f>"1964-04-27"</f>
        <v>1964-04-27</v>
      </c>
      <c r="C1675" t="str">
        <f>"67 17 705228"</f>
        <v>67 17 705228</v>
      </c>
      <c r="D1675" t="str">
        <f>"4276016711049309"</f>
        <v>4276016711049309</v>
      </c>
      <c r="E1675" t="str">
        <f t="shared" si="293"/>
        <v>2021-05-31</v>
      </c>
      <c r="F1675" t="str">
        <f>"Q"</f>
        <v>Q</v>
      </c>
      <c r="G1675" t="str">
        <f>"Q"</f>
        <v>Q</v>
      </c>
      <c r="H1675" t="str">
        <f>"40817810016992401460"</f>
        <v>40817810016992401460</v>
      </c>
      <c r="I1675" t="str">
        <f>"5940"</f>
        <v>5940</v>
      </c>
      <c r="J1675" t="str">
        <f>"0114"</f>
        <v>0114</v>
      </c>
      <c r="K1675" t="str">
        <f>"0.00"</f>
        <v>0.00</v>
      </c>
      <c r="L1675" t="str">
        <f>"628600 АО ХАНТЫ-МАНСИЙСКИЙ   Г НИЖНЕВАРТОВСК   УЛ МИРА д. 27 корп. З"</f>
        <v>628600 АО ХАНТЫ-МАНСИЙСКИЙ   Г НИЖНЕВАРТОВСК   УЛ МИРА д. 27 корп. З</v>
      </c>
      <c r="M1675" t="str">
        <f t="shared" si="292"/>
        <v>2019-08-24</v>
      </c>
      <c r="N1675" t="str">
        <f>"ИП ЧЕБУТЕНКО ВИКТОР ВЛАДИМИРОВИЧ"</f>
        <v>ИП ЧЕБУТЕНКО ВИКТОР ВЛАДИМИРОВИЧ</v>
      </c>
      <c r="O1675" t="str">
        <f>"628600"</f>
        <v>628600</v>
      </c>
      <c r="P1675" t="str">
        <f>"ОБЛ ТЮМЕНСКАЯ"</f>
        <v>ОБЛ ТЮМЕНСКАЯ</v>
      </c>
      <c r="Q1675" t="str">
        <f>""</f>
        <v/>
      </c>
      <c r="R1675" t="str">
        <f>"Г НИЖНЕВАРТОВСК"</f>
        <v>Г НИЖНЕВАРТОВСК</v>
      </c>
      <c r="S1675" t="str">
        <f>""</f>
        <v/>
      </c>
      <c r="T1675" t="str">
        <f>"УЛ ЛЕНИНА"</f>
        <v>УЛ ЛЕНИНА</v>
      </c>
      <c r="U1675" s="1" t="str">
        <f>"31"</f>
        <v>31</v>
      </c>
      <c r="V1675" s="1" t="str">
        <f>""</f>
        <v/>
      </c>
      <c r="W1675" s="1" t="str">
        <f>""</f>
        <v/>
      </c>
      <c r="X1675" s="1" t="str">
        <f>""</f>
        <v/>
      </c>
      <c r="Y1675" s="1" t="str">
        <f>"97"</f>
        <v>97</v>
      </c>
      <c r="Z1675" t="str">
        <f>""</f>
        <v/>
      </c>
      <c r="AA1675" t="str">
        <f>""</f>
        <v/>
      </c>
      <c r="AB1675" t="str">
        <f>"9825870962"</f>
        <v>9825870962</v>
      </c>
      <c r="AC1675" t="str">
        <f>""</f>
        <v/>
      </c>
      <c r="AD1675" t="str">
        <f>"9825870962"</f>
        <v>9825870962</v>
      </c>
      <c r="AE1675" t="str">
        <f>""</f>
        <v/>
      </c>
    </row>
    <row r="1676" spans="1:31" x14ac:dyDescent="0.45">
      <c r="A1676" t="str">
        <f>"ОСОТКИН ЮРИЙ ФЁДОРОВИЧ"</f>
        <v>ОСОТКИН ЮРИЙ ФЁДОРОВИЧ</v>
      </c>
      <c r="B1676" t="str">
        <f>"1967-04-24"</f>
        <v>1967-04-24</v>
      </c>
      <c r="C1676" t="str">
        <f>"71 13 015590"</f>
        <v>71 13 015590</v>
      </c>
      <c r="D1676" t="str">
        <f>"4854630244253251"</f>
        <v>4854630244253251</v>
      </c>
      <c r="E1676" t="str">
        <f>"2019-12-31"</f>
        <v>2019-12-31</v>
      </c>
      <c r="F1676" t="str">
        <f t="shared" ref="F1676:G1680" si="294">"+"</f>
        <v>+</v>
      </c>
      <c r="G1676" t="str">
        <f t="shared" si="294"/>
        <v>+</v>
      </c>
      <c r="H1676" t="str">
        <f>"40817810616992450714"</f>
        <v>40817810616992450714</v>
      </c>
      <c r="I1676" t="str">
        <f>"8647"</f>
        <v>8647</v>
      </c>
      <c r="J1676" t="str">
        <f>"0074"</f>
        <v>0074</v>
      </c>
      <c r="K1676" t="str">
        <f>"15000.00"</f>
        <v>15000.00</v>
      </c>
      <c r="L1676" t="str">
        <f>"625000 ОБЛ ТЮМЕНСКАЯ   Г ТЮМЕНЬ   УЛ ОДЕССКАЯ д. 27"</f>
        <v>625000 ОБЛ ТЮМЕНСКАЯ   Г ТЮМЕНЬ   УЛ ОДЕССКАЯ д. 27</v>
      </c>
      <c r="M1676" t="str">
        <f t="shared" si="292"/>
        <v>2019-08-24</v>
      </c>
      <c r="N1676" t="str">
        <f>"ФГБУ ЦЛАТИ ПО УФО"</f>
        <v>ФГБУ ЦЛАТИ ПО УФО</v>
      </c>
      <c r="O1676" t="str">
        <f>"625000"</f>
        <v>625000</v>
      </c>
      <c r="P1676" t="str">
        <f>"ОБЛ ТЮМЕНСКАЯ"</f>
        <v>ОБЛ ТЮМЕНСКАЯ</v>
      </c>
      <c r="Q1676" t="str">
        <f>"Р-Н ЯРКОВСКИЙ"</f>
        <v>Р-Н ЯРКОВСКИЙ</v>
      </c>
      <c r="R1676" t="str">
        <f>""</f>
        <v/>
      </c>
      <c r="S1676" t="str">
        <f>"С ЩЕТКОВО"</f>
        <v>С ЩЕТКОВО</v>
      </c>
      <c r="T1676" t="str">
        <f>"УЛ БЕРЕГОВАЯ"</f>
        <v>УЛ БЕРЕГОВАЯ</v>
      </c>
      <c r="U1676" s="1" t="str">
        <f>"2А"</f>
        <v>2А</v>
      </c>
      <c r="V1676" s="1" t="str">
        <f>""</f>
        <v/>
      </c>
      <c r="W1676" s="1" t="str">
        <f>""</f>
        <v/>
      </c>
      <c r="X1676" s="1" t="str">
        <f>""</f>
        <v/>
      </c>
      <c r="Y1676" s="1" t="str">
        <f>""</f>
        <v/>
      </c>
      <c r="Z1676" t="str">
        <f>""</f>
        <v/>
      </c>
      <c r="AA1676" t="str">
        <f>"9058254328"</f>
        <v>9058254328</v>
      </c>
      <c r="AB1676" t="str">
        <f>"9324812111"</f>
        <v>9324812111</v>
      </c>
      <c r="AC1676" t="str">
        <f>"9058254328"</f>
        <v>9058254328</v>
      </c>
      <c r="AD1676" t="str">
        <f>"9324812111"</f>
        <v>9324812111</v>
      </c>
      <c r="AE1676" t="str">
        <f>""</f>
        <v/>
      </c>
    </row>
    <row r="1677" spans="1:31" x14ac:dyDescent="0.45">
      <c r="A1677" t="str">
        <f>"ИГНАТЬЕВА ЕЛЕНА ГЕННАДИЕВНА"</f>
        <v>ИГНАТЬЕВА ЕЛЕНА ГЕННАДИЕВНА</v>
      </c>
      <c r="B1677" t="str">
        <f>"1968-08-08"</f>
        <v>1968-08-08</v>
      </c>
      <c r="C1677" t="str">
        <f>"80 13 763865"</f>
        <v>80 13 763865</v>
      </c>
      <c r="D1677" t="str">
        <f>"4854630378503232"</f>
        <v>4854630378503232</v>
      </c>
      <c r="E1677" t="str">
        <f>"2020-11-30"</f>
        <v>2020-11-30</v>
      </c>
      <c r="F1677" t="str">
        <f t="shared" si="294"/>
        <v>+</v>
      </c>
      <c r="G1677" t="str">
        <f t="shared" si="294"/>
        <v>+</v>
      </c>
      <c r="H1677" t="str">
        <f>"40817810016991391296"</f>
        <v>40817810016991391296</v>
      </c>
      <c r="I1677" t="str">
        <f>"8598"</f>
        <v>8598</v>
      </c>
      <c r="J1677" t="str">
        <f>"0034"</f>
        <v>0034</v>
      </c>
      <c r="K1677" t="str">
        <f>"20000.00"</f>
        <v>20000.00</v>
      </c>
      <c r="L1677" t="str">
        <f>"450000 РЕСП БАШКОРТОСТАН   Г УФА   УЛ РОЗЫ ЛЮКСЕМБУРГ д. 120"</f>
        <v>450000 РЕСП БАШКОРТОСТАН   Г УФА   УЛ РОЗЫ ЛЮКСЕМБУРГ д. 120</v>
      </c>
      <c r="M1677" t="str">
        <f t="shared" si="292"/>
        <v>2019-08-24</v>
      </c>
      <c r="N1677" t="str">
        <f>"ДОМРАБОТНИЦА"</f>
        <v>ДОМРАБОТНИЦА</v>
      </c>
      <c r="O1677" t="str">
        <f>"450000"</f>
        <v>450000</v>
      </c>
      <c r="P1677" t="str">
        <f>"РЕСП БАШКОРТОСТАН"</f>
        <v>РЕСП БАШКОРТОСТАН</v>
      </c>
      <c r="Q1677" t="str">
        <f>""</f>
        <v/>
      </c>
      <c r="R1677" t="str">
        <f>"Г УФА"</f>
        <v>Г УФА</v>
      </c>
      <c r="S1677" t="str">
        <f>""</f>
        <v/>
      </c>
      <c r="T1677" t="str">
        <f>"УЛ РОЗЫ ЛЮКСЕМБУРГ"</f>
        <v>УЛ РОЗЫ ЛЮКСЕМБУРГ</v>
      </c>
      <c r="U1677" s="1" t="str">
        <f>"120"</f>
        <v>120</v>
      </c>
      <c r="V1677" s="1" t="str">
        <f>""</f>
        <v/>
      </c>
      <c r="W1677" s="1" t="str">
        <f>""</f>
        <v/>
      </c>
      <c r="X1677" s="1" t="str">
        <f>""</f>
        <v/>
      </c>
      <c r="Y1677" s="1" t="str">
        <f>""</f>
        <v/>
      </c>
      <c r="Z1677" t="str">
        <f>""</f>
        <v/>
      </c>
      <c r="AA1677" t="str">
        <f>"9191507315"</f>
        <v>9191507315</v>
      </c>
      <c r="AB1677" t="str">
        <f>"9191507315"</f>
        <v>9191507315</v>
      </c>
      <c r="AC1677" t="str">
        <f>"9191507315"</f>
        <v>9191507315</v>
      </c>
      <c r="AD1677" t="str">
        <f>"9191507315"</f>
        <v>9191507315</v>
      </c>
      <c r="AE1677" t="str">
        <f>""</f>
        <v/>
      </c>
    </row>
    <row r="1678" spans="1:31" x14ac:dyDescent="0.45">
      <c r="A1678" t="str">
        <f>"ЕРМАКОВ АЛЕКСЕЙ ПАВЛОВИЧ"</f>
        <v>ЕРМАКОВ АЛЕКСЕЙ ПАВЛОВИЧ</v>
      </c>
      <c r="B1678" t="str">
        <f>"1991-01-31"</f>
        <v>1991-01-31</v>
      </c>
      <c r="C1678" t="str">
        <f>"67 10 082743"</f>
        <v>67 10 082743</v>
      </c>
      <c r="D1678" t="str">
        <f>"4854630389409528"</f>
        <v>4854630389409528</v>
      </c>
      <c r="E1678" t="str">
        <f>"2020-09-30"</f>
        <v>2020-09-30</v>
      </c>
      <c r="F1678" t="str">
        <f t="shared" si="294"/>
        <v>+</v>
      </c>
      <c r="G1678" t="str">
        <f t="shared" si="294"/>
        <v>+</v>
      </c>
      <c r="H1678" t="str">
        <f>"40817810316991391297"</f>
        <v>40817810316991391297</v>
      </c>
      <c r="I1678" t="str">
        <f>"8599"</f>
        <v>8599</v>
      </c>
      <c r="J1678" t="str">
        <f>"0001"</f>
        <v>0001</v>
      </c>
      <c r="K1678" t="str">
        <f>"50000.00"</f>
        <v>50000.00</v>
      </c>
      <c r="L1678" t="str">
        <f>"620000 ОБЛ ТЮМЕНСКАЯ   Г СУРГУТ   УЛ ТЕХНОЛОГИЧЕСКАЯ д. 5"</f>
        <v>620000 ОБЛ ТЮМЕНСКАЯ   Г СУРГУТ   УЛ ТЕХНОЛОГИЧЕСКАЯ д. 5</v>
      </c>
      <c r="M1678" t="str">
        <f t="shared" si="292"/>
        <v>2019-08-24</v>
      </c>
      <c r="N1678" t="str">
        <f>"ОАО СУРГУТНЕФТЕГАЗ"</f>
        <v>ОАО СУРГУТНЕФТЕГАЗ</v>
      </c>
      <c r="O1678" t="str">
        <f>"620072"</f>
        <v>620072</v>
      </c>
      <c r="P1678" t="str">
        <f>"ОБЛ СВЕРДЛОВСКАЯ"</f>
        <v>ОБЛ СВЕРДЛОВСКАЯ</v>
      </c>
      <c r="Q1678" t="str">
        <f>"Р-Н КИРОВСКИЙ"</f>
        <v>Р-Н КИРОВСКИЙ</v>
      </c>
      <c r="R1678" t="str">
        <f>"Г ЕКАТЕРЕНБУРГ"</f>
        <v>Г ЕКАТЕРЕНБУРГ</v>
      </c>
      <c r="S1678" t="str">
        <f>""</f>
        <v/>
      </c>
      <c r="T1678" t="str">
        <f>"УЛ В ВЫСОЦСКОГО"</f>
        <v>УЛ В ВЫСОЦСКОГО</v>
      </c>
      <c r="U1678" s="1" t="str">
        <f>"6"</f>
        <v>6</v>
      </c>
      <c r="V1678" s="1" t="str">
        <f>""</f>
        <v/>
      </c>
      <c r="W1678" s="1" t="str">
        <f>""</f>
        <v/>
      </c>
      <c r="X1678" s="1" t="str">
        <f>""</f>
        <v/>
      </c>
      <c r="Y1678" s="1" t="str">
        <f>"212"</f>
        <v>212</v>
      </c>
      <c r="Z1678" t="str">
        <f>"9129055540"</f>
        <v>9129055540</v>
      </c>
      <c r="AA1678" t="str">
        <f>"9129055540"</f>
        <v>9129055540</v>
      </c>
      <c r="AB1678" t="str">
        <f>"9129055540"</f>
        <v>9129055540</v>
      </c>
      <c r="AC1678" t="str">
        <f>"9129055540"</f>
        <v>9129055540</v>
      </c>
      <c r="AD1678" t="str">
        <f>"9129055540"</f>
        <v>9129055540</v>
      </c>
      <c r="AE1678" t="str">
        <f>"9129055540"</f>
        <v>9129055540</v>
      </c>
    </row>
    <row r="1679" spans="1:31" x14ac:dyDescent="0.45">
      <c r="A1679" t="str">
        <f>"АЗНАЕВА ЛИЛИЯ ФЕЛИКСОВНА"</f>
        <v>АЗНАЕВА ЛИЛИЯ ФЕЛИКСОВНА</v>
      </c>
      <c r="B1679" t="str">
        <f>"1973-02-16"</f>
        <v>1973-02-16</v>
      </c>
      <c r="C1679" t="str">
        <f>"80 18 732148"</f>
        <v>80 18 732148</v>
      </c>
      <c r="D1679" t="str">
        <f>"4854630189873261"</f>
        <v>4854630189873261</v>
      </c>
      <c r="E1679" t="str">
        <f>"2020-11-30"</f>
        <v>2020-11-30</v>
      </c>
      <c r="F1679" t="str">
        <f t="shared" si="294"/>
        <v>+</v>
      </c>
      <c r="G1679" t="str">
        <f t="shared" si="294"/>
        <v>+</v>
      </c>
      <c r="H1679" t="str">
        <f>"40817810116991391316"</f>
        <v>40817810116991391316</v>
      </c>
      <c r="I1679" t="str">
        <f>"8598"</f>
        <v>8598</v>
      </c>
      <c r="J1679" t="str">
        <f>"0720"</f>
        <v>0720</v>
      </c>
      <c r="K1679" t="str">
        <f>"175000.00"</f>
        <v>175000.00</v>
      </c>
      <c r="L1679" t="str">
        <f>"453211 РЕСП БАШКОРТОСТАН   Г ИШИМБАЙ   УЛ МОЛОДЕЖНАЯ д. 4"</f>
        <v>453211 РЕСП БАШКОРТОСТАН   Г ИШИМБАЙ   УЛ МОЛОДЕЖНАЯ д. 4</v>
      </c>
      <c r="M1679" t="str">
        <f t="shared" si="292"/>
        <v>2019-08-24</v>
      </c>
      <c r="N1679" t="str">
        <f>"ООО АЛЬФА-ДЕНТ"</f>
        <v>ООО АЛЬФА-ДЕНТ</v>
      </c>
      <c r="O1679" t="str">
        <f>"453211"</f>
        <v>453211</v>
      </c>
      <c r="P1679" t="str">
        <f>"РЕСП БАШКОРТОСТАН"</f>
        <v>РЕСП БАШКОРТОСТАН</v>
      </c>
      <c r="Q1679" t="str">
        <f>""</f>
        <v/>
      </c>
      <c r="R1679" t="str">
        <f>"Г ИШИМБАЙ"</f>
        <v>Г ИШИМБАЙ</v>
      </c>
      <c r="S1679" t="str">
        <f>""</f>
        <v/>
      </c>
      <c r="T1679" t="str">
        <f>"УЛ ДОКУЧАЕВА"</f>
        <v>УЛ ДОКУЧАЕВА</v>
      </c>
      <c r="U1679" s="1" t="str">
        <f>"22"</f>
        <v>22</v>
      </c>
      <c r="V1679" s="1" t="str">
        <f>""</f>
        <v/>
      </c>
      <c r="W1679" s="1" t="str">
        <f>""</f>
        <v/>
      </c>
      <c r="X1679" s="1" t="str">
        <f>""</f>
        <v/>
      </c>
      <c r="Y1679" s="1" t="str">
        <f>"53"</f>
        <v>53</v>
      </c>
      <c r="Z1679" t="str">
        <f>""</f>
        <v/>
      </c>
      <c r="AA1679" t="str">
        <f>"9279265356"</f>
        <v>9279265356</v>
      </c>
      <c r="AB1679" t="str">
        <f>"9279265356"</f>
        <v>9279265356</v>
      </c>
      <c r="AC1679" t="str">
        <f>"9279265356"</f>
        <v>9279265356</v>
      </c>
      <c r="AD1679" t="str">
        <f>"9174181407"</f>
        <v>9174181407</v>
      </c>
      <c r="AE1679" t="str">
        <f>""</f>
        <v/>
      </c>
    </row>
    <row r="1680" spans="1:31" x14ac:dyDescent="0.45">
      <c r="A1680" t="str">
        <f>"КРУТОВ СЕРГЕЙ ГЕННАДЬЕВИЧ"</f>
        <v>КРУТОВ СЕРГЕЙ ГЕННАДЬЕВИЧ</v>
      </c>
      <c r="B1680" t="str">
        <f>"1957-08-19"</f>
        <v>1957-08-19</v>
      </c>
      <c r="C1680" t="str">
        <f>"75 19 347205"</f>
        <v>75 19 347205</v>
      </c>
      <c r="D1680" t="str">
        <f>"5469011605606748"</f>
        <v>5469011605606748</v>
      </c>
      <c r="E1680" t="str">
        <f>"2022-03-31"</f>
        <v>2022-03-31</v>
      </c>
      <c r="F1680" t="str">
        <f t="shared" si="294"/>
        <v>+</v>
      </c>
      <c r="G1680" t="str">
        <f t="shared" si="294"/>
        <v>+</v>
      </c>
      <c r="H1680" t="str">
        <f>"40817810916991391338"</f>
        <v>40817810916991391338</v>
      </c>
      <c r="I1680" t="str">
        <f>"8597"</f>
        <v>8597</v>
      </c>
      <c r="J1680" t="str">
        <f>"0446"</f>
        <v>0446</v>
      </c>
      <c r="K1680" t="str">
        <f>"330000.00"</f>
        <v>330000.00</v>
      </c>
      <c r="L1680" t="str">
        <f>"454000 ОБЛ ЧЕЛЯБИНСКАЯ   Г ОЗЕРСК   ПР-КТ ЛЕНИНА д. 30"</f>
        <v>454000 ОБЛ ЧЕЛЯБИНСКАЯ   Г ОЗЕРСК   ПР-КТ ЛЕНИНА д. 30</v>
      </c>
      <c r="M1680" t="str">
        <f t="shared" si="292"/>
        <v>2019-08-24</v>
      </c>
      <c r="N1680" t="str">
        <f>"72376008"</f>
        <v>72376008</v>
      </c>
      <c r="O1680" t="str">
        <f>"454000"</f>
        <v>454000</v>
      </c>
      <c r="P1680" t="str">
        <f>"ОБЛ ЧЕЛЯБИНСКАЯ"</f>
        <v>ОБЛ ЧЕЛЯБИНСКАЯ</v>
      </c>
      <c r="Q1680" t="str">
        <f>""</f>
        <v/>
      </c>
      <c r="R1680" t="str">
        <f>"Г ОЗЕРСК"</f>
        <v>Г ОЗЕРСК</v>
      </c>
      <c r="S1680" t="str">
        <f>""</f>
        <v/>
      </c>
      <c r="T1680" t="str">
        <f>"УЛ КОСМОНАВТОВ"</f>
        <v>УЛ КОСМОНАВТОВ</v>
      </c>
      <c r="U1680" s="1" t="str">
        <f>"8"</f>
        <v>8</v>
      </c>
      <c r="V1680" s="1" t="str">
        <f>""</f>
        <v/>
      </c>
      <c r="W1680" s="1" t="str">
        <f>""</f>
        <v/>
      </c>
      <c r="X1680" s="1" t="str">
        <f>""</f>
        <v/>
      </c>
      <c r="Y1680" s="1" t="str">
        <f>"18"</f>
        <v>18</v>
      </c>
      <c r="Z1680" t="str">
        <f>"3513067171"</f>
        <v>3513067171</v>
      </c>
      <c r="AA1680" t="str">
        <f>"3513091271"</f>
        <v>3513091271</v>
      </c>
      <c r="AB1680" t="str">
        <f>"9823085918"</f>
        <v>9823085918</v>
      </c>
      <c r="AC1680" t="str">
        <f>"9823085918"</f>
        <v>9823085918</v>
      </c>
      <c r="AD1680" t="str">
        <f>"9823085918"</f>
        <v>9823085918</v>
      </c>
      <c r="AE1680" t="str">
        <f>""</f>
        <v/>
      </c>
    </row>
    <row r="1681" spans="1:31" x14ac:dyDescent="0.45">
      <c r="A1681" t="str">
        <f>"ПОДОЛЬНЫЙ ДМИТРИЙ СЕРГЕЕВИЧ"</f>
        <v>ПОДОЛЬНЫЙ ДМИТРИЙ СЕРГЕЕВИЧ</v>
      </c>
      <c r="B1681" t="str">
        <f>"1977-03-13"</f>
        <v>1977-03-13</v>
      </c>
      <c r="C1681" t="str">
        <f>"65 04 338130"</f>
        <v>65 04 338130</v>
      </c>
      <c r="D1681" t="str">
        <f>"4279011632564319"</f>
        <v>4279011632564319</v>
      </c>
      <c r="E1681" t="str">
        <f t="shared" ref="E1681:E1698" si="295">"2021-05-31"</f>
        <v>2021-05-31</v>
      </c>
      <c r="F1681" t="str">
        <f>"Y"</f>
        <v>Y</v>
      </c>
      <c r="G1681" t="str">
        <f>"+"</f>
        <v>+</v>
      </c>
      <c r="H1681" t="str">
        <f>"40817810516991391356"</f>
        <v>40817810516991391356</v>
      </c>
      <c r="I1681" t="str">
        <f>"7003"</f>
        <v>7003</v>
      </c>
      <c r="J1681" t="str">
        <f>"0813"</f>
        <v>0813</v>
      </c>
      <c r="K1681" t="str">
        <f>"100000.00"</f>
        <v>100000.00</v>
      </c>
      <c r="L1681" t="str">
        <f>"624480 ОБЛ СВЕРДЛОВСКАЯ   Г СЕВЕРОУРАЛЬСК   УЛ КАРЖАВИНА"</f>
        <v>624480 ОБЛ СВЕРДЛОВСКАЯ   Г СЕВЕРОУРАЛЬСК   УЛ КАРЖАВИНА</v>
      </c>
      <c r="M1681" t="str">
        <f t="shared" si="292"/>
        <v>2019-08-24</v>
      </c>
      <c r="N1681" t="str">
        <f>"МАУ СГО ХЭК"</f>
        <v>МАУ СГО ХЭК</v>
      </c>
      <c r="O1681" t="str">
        <f>"624480"</f>
        <v>624480</v>
      </c>
      <c r="P1681" t="str">
        <f>"ОБЛ СВЕРДЛОВСКАЯ"</f>
        <v>ОБЛ СВЕРДЛОВСКАЯ</v>
      </c>
      <c r="Q1681" t="str">
        <f>""</f>
        <v/>
      </c>
      <c r="R1681" t="str">
        <f>"Г СЕВЕРОУРАЛЬСК"</f>
        <v>Г СЕВЕРОУРАЛЬСК</v>
      </c>
      <c r="S1681" t="str">
        <f>""</f>
        <v/>
      </c>
      <c r="T1681" t="str">
        <f>"УЛ ЛЕНИНА"</f>
        <v>УЛ ЛЕНИНА</v>
      </c>
      <c r="U1681" s="1" t="str">
        <f>"42"</f>
        <v>42</v>
      </c>
      <c r="V1681" s="1" t="str">
        <f>""</f>
        <v/>
      </c>
      <c r="W1681" s="1" t="str">
        <f>""</f>
        <v/>
      </c>
      <c r="X1681" s="1" t="str">
        <f>""</f>
        <v/>
      </c>
      <c r="Y1681" s="1" t="str">
        <f>"171"</f>
        <v>171</v>
      </c>
      <c r="Z1681" t="str">
        <f>"3438043271"</f>
        <v>3438043271</v>
      </c>
      <c r="AA1681" t="str">
        <f>"9043887109"</f>
        <v>9043887109</v>
      </c>
      <c r="AB1681" t="str">
        <f>"9043887109"</f>
        <v>9043887109</v>
      </c>
      <c r="AC1681" t="str">
        <f>"9043887109"</f>
        <v>9043887109</v>
      </c>
      <c r="AD1681" t="str">
        <f>"9043887109"</f>
        <v>9043887109</v>
      </c>
      <c r="AE1681" t="str">
        <f>""</f>
        <v/>
      </c>
    </row>
    <row r="1682" spans="1:31" x14ac:dyDescent="0.45">
      <c r="A1682" t="str">
        <f>"ХАЗИМУХАМЕТОВА ИННА АЛЕКСАНДРОВНА"</f>
        <v>ХАЗИМУХАМЕТОВА ИННА АЛЕКСАНДРОВНА</v>
      </c>
      <c r="B1682" t="str">
        <f>"1994-12-15"</f>
        <v>1994-12-15</v>
      </c>
      <c r="C1682" t="str">
        <f>"80 17 628809"</f>
        <v>80 17 628809</v>
      </c>
      <c r="D1682" t="str">
        <f>"4279011693066394"</f>
        <v>4279011693066394</v>
      </c>
      <c r="E1682" t="str">
        <f t="shared" si="295"/>
        <v>2021-05-31</v>
      </c>
      <c r="F1682" t="str">
        <f>"Q"</f>
        <v>Q</v>
      </c>
      <c r="G1682" t="str">
        <f>"Q"</f>
        <v>Q</v>
      </c>
      <c r="H1682" t="str">
        <f>"40817810116991391413"</f>
        <v>40817810116991391413</v>
      </c>
      <c r="I1682" t="str">
        <f>"8598"</f>
        <v>8598</v>
      </c>
      <c r="J1682" t="str">
        <f>"0217"</f>
        <v>0217</v>
      </c>
      <c r="K1682" t="str">
        <f>"0.00"</f>
        <v>0.00</v>
      </c>
      <c r="L1682" t="str">
        <f>"450000 РЕСП БАШКОРТОСТАН   Г УФА   УЛ ИНТЕРНАЦИОНАЛЬНАЯ д. 113"</f>
        <v>450000 РЕСП БАШКОРТОСТАН   Г УФА   УЛ ИНТЕРНАЦИОНАЛЬНАЯ д. 113</v>
      </c>
      <c r="M1682" t="str">
        <f t="shared" si="292"/>
        <v>2019-08-24</v>
      </c>
      <c r="N1682" t="str">
        <f>"РГАУ МФЦ"</f>
        <v>РГАУ МФЦ</v>
      </c>
      <c r="O1682" t="str">
        <f>"450000"</f>
        <v>450000</v>
      </c>
      <c r="P1682" t="str">
        <f>"РЕСП БАШКОРТОСТАН"</f>
        <v>РЕСП БАШКОРТОСТАН</v>
      </c>
      <c r="Q1682" t="str">
        <f>""</f>
        <v/>
      </c>
      <c r="R1682" t="str">
        <f>"Г УФА"</f>
        <v>Г УФА</v>
      </c>
      <c r="S1682" t="str">
        <f>""</f>
        <v/>
      </c>
      <c r="T1682" t="str">
        <f>"УЛ ГЕОРГИЯ МУШНИКОВА"</f>
        <v>УЛ ГЕОРГИЯ МУШНИКОВА</v>
      </c>
      <c r="U1682" s="1" t="str">
        <f>"5"</f>
        <v>5</v>
      </c>
      <c r="V1682" s="1" t="str">
        <f>""</f>
        <v/>
      </c>
      <c r="W1682" s="1" t="str">
        <f>"3"</f>
        <v>3</v>
      </c>
      <c r="X1682" s="1" t="str">
        <f>""</f>
        <v/>
      </c>
      <c r="Y1682" s="1" t="str">
        <f>"52"</f>
        <v>52</v>
      </c>
      <c r="Z1682" t="str">
        <f>""</f>
        <v/>
      </c>
      <c r="AA1682" t="str">
        <f>"9656500051"</f>
        <v>9656500051</v>
      </c>
      <c r="AB1682" t="str">
        <f>"9656500051"</f>
        <v>9656500051</v>
      </c>
      <c r="AC1682" t="str">
        <f>"9656500051"</f>
        <v>9656500051</v>
      </c>
      <c r="AD1682" t="str">
        <f>"9656500051"</f>
        <v>9656500051</v>
      </c>
      <c r="AE1682" t="str">
        <f>""</f>
        <v/>
      </c>
    </row>
    <row r="1683" spans="1:31" x14ac:dyDescent="0.45">
      <c r="A1683" t="str">
        <f>"ТУРОВА МАРИЯ НИКОЛАЕВНА"</f>
        <v>ТУРОВА МАРИЯ НИКОЛАЕВНА</v>
      </c>
      <c r="B1683" t="str">
        <f>"1991-08-29"</f>
        <v>1991-08-29</v>
      </c>
      <c r="C1683" t="str">
        <f>"65 11 214058"</f>
        <v>65 11 214058</v>
      </c>
      <c r="D1683" t="str">
        <f>"4279011639954992"</f>
        <v>4279011639954992</v>
      </c>
      <c r="E1683" t="str">
        <f t="shared" si="295"/>
        <v>2021-05-31</v>
      </c>
      <c r="F1683" t="str">
        <f t="shared" ref="F1683:G1698" si="296">"+"</f>
        <v>+</v>
      </c>
      <c r="G1683" t="str">
        <f t="shared" si="296"/>
        <v>+</v>
      </c>
      <c r="H1683" t="str">
        <f>"40817810416991391414"</f>
        <v>40817810416991391414</v>
      </c>
      <c r="I1683" t="str">
        <f>"7003"</f>
        <v>7003</v>
      </c>
      <c r="J1683" t="str">
        <f>"0886"</f>
        <v>0886</v>
      </c>
      <c r="K1683" t="str">
        <f>"360000.00"</f>
        <v>360000.00</v>
      </c>
      <c r="L1683" t="str">
        <f>"620000 ОБЛ СВЕРДЛОВСКАЯ   Г ПЕРВОУРАЛЬСК   УЛ НА ЮГО ВОСТОК ОТ ДОМА д. 136"</f>
        <v>620000 ОБЛ СВЕРДЛОВСКАЯ   Г ПЕРВОУРАЛЬСК   УЛ НА ЮГО ВОСТОК ОТ ДОМА д. 136</v>
      </c>
      <c r="M1683" t="str">
        <f t="shared" si="292"/>
        <v>2019-08-24</v>
      </c>
      <c r="N1683" t="str">
        <f>"АО ТАНДЕР"</f>
        <v>АО ТАНДЕР</v>
      </c>
      <c r="O1683" t="str">
        <f>"620000"</f>
        <v>620000</v>
      </c>
      <c r="P1683" t="str">
        <f>"ОБЛ СВЕРДЛОВСКАЯ"</f>
        <v>ОБЛ СВЕРДЛОВСКАЯ</v>
      </c>
      <c r="Q1683" t="str">
        <f>""</f>
        <v/>
      </c>
      <c r="R1683" t="str">
        <f>"Г ПЕРВОУРАЛЬСК"</f>
        <v>Г ПЕРВОУРАЛЬСК</v>
      </c>
      <c r="S1683" t="str">
        <f>""</f>
        <v/>
      </c>
      <c r="T1683" t="str">
        <f>"УЛ САККО И ВАНЦЕТТИ"</f>
        <v>УЛ САККО И ВАНЦЕТТИ</v>
      </c>
      <c r="U1683" s="1" t="str">
        <f>"2"</f>
        <v>2</v>
      </c>
      <c r="V1683" s="1" t="str">
        <f>""</f>
        <v/>
      </c>
      <c r="W1683" s="1" t="str">
        <f>""</f>
        <v/>
      </c>
      <c r="X1683" s="1" t="str">
        <f>""</f>
        <v/>
      </c>
      <c r="Y1683" s="1" t="str">
        <f>"9"</f>
        <v>9</v>
      </c>
      <c r="Z1683" t="str">
        <f>""</f>
        <v/>
      </c>
      <c r="AA1683" t="str">
        <f>"9222133188"</f>
        <v>9222133188</v>
      </c>
      <c r="AB1683" t="str">
        <f>"9221271312"</f>
        <v>9221271312</v>
      </c>
      <c r="AC1683" t="str">
        <f>"9222133188"</f>
        <v>9222133188</v>
      </c>
      <c r="AD1683" t="str">
        <f>"9221271312"</f>
        <v>9221271312</v>
      </c>
      <c r="AE1683" t="str">
        <f>""</f>
        <v/>
      </c>
    </row>
    <row r="1684" spans="1:31" x14ac:dyDescent="0.45">
      <c r="A1684" t="str">
        <f>"МИНАСЯН АМАЛЯ ВЛАДИМИРОВНА"</f>
        <v>МИНАСЯН АМАЛЯ ВЛАДИМИРОВНА</v>
      </c>
      <c r="B1684" t="str">
        <f>"1962-01-15"</f>
        <v>1962-01-15</v>
      </c>
      <c r="C1684" t="str">
        <f>"65 07 070632"</f>
        <v>65 07 070632</v>
      </c>
      <c r="D1684" t="str">
        <f>"4279011647234379"</f>
        <v>4279011647234379</v>
      </c>
      <c r="E1684" t="str">
        <f t="shared" si="295"/>
        <v>2021-05-31</v>
      </c>
      <c r="F1684" t="str">
        <f t="shared" si="296"/>
        <v>+</v>
      </c>
      <c r="G1684" t="str">
        <f t="shared" si="296"/>
        <v>+</v>
      </c>
      <c r="H1684" t="str">
        <f>"40817810716991391415"</f>
        <v>40817810716991391415</v>
      </c>
      <c r="I1684" t="str">
        <f>"7003"</f>
        <v>7003</v>
      </c>
      <c r="J1684" t="str">
        <f>"0420"</f>
        <v>0420</v>
      </c>
      <c r="K1684" t="str">
        <f>"195000.00"</f>
        <v>195000.00</v>
      </c>
      <c r="L1684" t="str">
        <f>"620000 ОБЛ СВЕРДЛОВСКАЯ   Г ЕКАТЕРИНБУРГ   УЛ КРЫЛОВА д. 29 кв. 33"</f>
        <v>620000 ОБЛ СВЕРДЛОВСКАЯ   Г ЕКАТЕРИНБУРГ   УЛ КРЫЛОВА д. 29 кв. 33</v>
      </c>
      <c r="M1684" t="str">
        <f t="shared" si="292"/>
        <v>2019-08-24</v>
      </c>
      <c r="N1684" t="str">
        <f>"ПФР"</f>
        <v>ПФР</v>
      </c>
      <c r="O1684" t="str">
        <f>"620000"</f>
        <v>620000</v>
      </c>
      <c r="P1684" t="str">
        <f>"ОБЛ СВЕРДЛОВСКАЯ"</f>
        <v>ОБЛ СВЕРДЛОВСКАЯ</v>
      </c>
      <c r="Q1684" t="str">
        <f>""</f>
        <v/>
      </c>
      <c r="R1684" t="str">
        <f>"Г ЕКАТЕРИНБУРГ"</f>
        <v>Г ЕКАТЕРИНБУРГ</v>
      </c>
      <c r="S1684" t="str">
        <f>""</f>
        <v/>
      </c>
      <c r="T1684" t="str">
        <f>"УЛ КРЫЛОВА"</f>
        <v>УЛ КРЫЛОВА</v>
      </c>
      <c r="U1684" s="1" t="str">
        <f>"29"</f>
        <v>29</v>
      </c>
      <c r="V1684" s="1" t="str">
        <f>""</f>
        <v/>
      </c>
      <c r="W1684" s="1" t="str">
        <f>""</f>
        <v/>
      </c>
      <c r="X1684" s="1" t="str">
        <f>""</f>
        <v/>
      </c>
      <c r="Y1684" s="1" t="str">
        <f>"33"</f>
        <v>33</v>
      </c>
      <c r="Z1684" t="str">
        <f>""</f>
        <v/>
      </c>
      <c r="AA1684" t="str">
        <f>"2469888"</f>
        <v>2469888</v>
      </c>
      <c r="AB1684" t="str">
        <f>"9122230002"</f>
        <v>9122230002</v>
      </c>
      <c r="AC1684" t="str">
        <f>"9122230002"</f>
        <v>9122230002</v>
      </c>
      <c r="AD1684" t="str">
        <f>"9122230002"</f>
        <v>9122230002</v>
      </c>
      <c r="AE1684" t="str">
        <f>""</f>
        <v/>
      </c>
    </row>
    <row r="1685" spans="1:31" x14ac:dyDescent="0.45">
      <c r="A1685" t="str">
        <f>"ФИНЕЕВА ЯНА СЕРГЕЕВНА"</f>
        <v>ФИНЕЕВА ЯНА СЕРГЕЕВНА</v>
      </c>
      <c r="B1685" t="str">
        <f>"1995-03-16"</f>
        <v>1995-03-16</v>
      </c>
      <c r="C1685" t="str">
        <f>"65 17 572830"</f>
        <v>65 17 572830</v>
      </c>
      <c r="D1685" t="str">
        <f>"4279011665290378"</f>
        <v>4279011665290378</v>
      </c>
      <c r="E1685" t="str">
        <f t="shared" si="295"/>
        <v>2021-05-31</v>
      </c>
      <c r="F1685" t="str">
        <f t="shared" si="296"/>
        <v>+</v>
      </c>
      <c r="G1685" t="str">
        <f t="shared" si="296"/>
        <v>+</v>
      </c>
      <c r="H1685" t="str">
        <f>"40817810316991391417"</f>
        <v>40817810316991391417</v>
      </c>
      <c r="I1685" t="str">
        <f>"7003"</f>
        <v>7003</v>
      </c>
      <c r="J1685" t="str">
        <f>"0740"</f>
        <v>0740</v>
      </c>
      <c r="K1685" t="str">
        <f>"15000.00"</f>
        <v>15000.00</v>
      </c>
      <c r="L1685" t="str">
        <f>"620000 ОБЛ СВЕРДЛОВСКАЯ   Г НИЖНИЙ ТАГИЛ   УЛ БАЖОВА д. 3 стр. А"</f>
        <v>620000 ОБЛ СВЕРДЛОВСКАЯ   Г НИЖНИЙ ТАГИЛ   УЛ БАЖОВА д. 3 стр. А</v>
      </c>
      <c r="M1685" t="str">
        <f t="shared" si="292"/>
        <v>2019-08-24</v>
      </c>
      <c r="N1685" t="str">
        <f>"ООО ЧОО ВИМПЕЛ А"</f>
        <v>ООО ЧОО ВИМПЕЛ А</v>
      </c>
      <c r="O1685" t="str">
        <f>"620000"</f>
        <v>620000</v>
      </c>
      <c r="P1685" t="str">
        <f>"ОБЛ СВЕРДЛОВСКАЯ"</f>
        <v>ОБЛ СВЕРДЛОВСКАЯ</v>
      </c>
      <c r="Q1685" t="str">
        <f>""</f>
        <v/>
      </c>
      <c r="R1685" t="str">
        <f>"Г НИЖНИЙ ТАГИЛ"</f>
        <v>Г НИЖНИЙ ТАГИЛ</v>
      </c>
      <c r="S1685" t="str">
        <f>""</f>
        <v/>
      </c>
      <c r="T1685" t="str">
        <f>"УЛ ПИХТОВАЯ"</f>
        <v>УЛ ПИХТОВАЯ</v>
      </c>
      <c r="U1685" s="1" t="str">
        <f>"40"</f>
        <v>40</v>
      </c>
      <c r="V1685" s="1" t="str">
        <f>""</f>
        <v/>
      </c>
      <c r="W1685" s="1" t="str">
        <f>""</f>
        <v/>
      </c>
      <c r="X1685" s="1" t="str">
        <f>""</f>
        <v/>
      </c>
      <c r="Y1685" s="1" t="str">
        <f>"63"</f>
        <v>63</v>
      </c>
      <c r="Z1685" t="str">
        <f>"+7 (3435) 380100"</f>
        <v>+7 (3435) 380100</v>
      </c>
      <c r="AA1685" t="str">
        <f>"9634437819"</f>
        <v>9634437819</v>
      </c>
      <c r="AB1685" t="str">
        <f>"9634437819"</f>
        <v>9634437819</v>
      </c>
      <c r="AC1685" t="str">
        <f>"9827510590"</f>
        <v>9827510590</v>
      </c>
      <c r="AD1685" t="str">
        <f>"9634437819"</f>
        <v>9634437819</v>
      </c>
      <c r="AE1685" t="str">
        <f>""</f>
        <v/>
      </c>
    </row>
    <row r="1686" spans="1:31" x14ac:dyDescent="0.45">
      <c r="A1686" t="str">
        <f>"АЛЕШКИНА ЕВГЕНИЯ ВЛАДИМИРОВНА"</f>
        <v>АЛЕШКИНА ЕВГЕНИЯ ВЛАДИМИРОВНА</v>
      </c>
      <c r="B1686" t="str">
        <f>"1979-01-02"</f>
        <v>1979-01-02</v>
      </c>
      <c r="C1686" t="str">
        <f>"65 08 428017"</f>
        <v>65 08 428017</v>
      </c>
      <c r="D1686" t="str">
        <f>"4279011637095962"</f>
        <v>4279011637095962</v>
      </c>
      <c r="E1686" t="str">
        <f t="shared" si="295"/>
        <v>2021-05-31</v>
      </c>
      <c r="F1686" t="str">
        <f t="shared" si="296"/>
        <v>+</v>
      </c>
      <c r="G1686" t="str">
        <f t="shared" si="296"/>
        <v>+</v>
      </c>
      <c r="H1686" t="str">
        <f>"40817810616991391418"</f>
        <v>40817810616991391418</v>
      </c>
      <c r="I1686" t="str">
        <f>"7003"</f>
        <v>7003</v>
      </c>
      <c r="J1686" t="str">
        <f>"0457"</f>
        <v>0457</v>
      </c>
      <c r="K1686" t="str">
        <f>"180000.00"</f>
        <v>180000.00</v>
      </c>
      <c r="L1686" t="str">
        <f>"620000 ОБЛ СВЕРДЛОВСКАЯ   Г ЕКАТЕРИНБУРГ   УЛ ЩЕРБАКОВА д. 141 корп. Б кв. 16"</f>
        <v>620000 ОБЛ СВЕРДЛОВСКАЯ   Г ЕКАТЕРИНБУРГ   УЛ ЩЕРБАКОВА д. 141 корп. Б кв. 16</v>
      </c>
      <c r="M1686" t="str">
        <f t="shared" si="292"/>
        <v>2019-08-24</v>
      </c>
      <c r="N1686" t="str">
        <f>"В ДЕКРЕТЕ"</f>
        <v>В ДЕКРЕТЕ</v>
      </c>
      <c r="O1686" t="str">
        <f>"620000"</f>
        <v>620000</v>
      </c>
      <c r="P1686" t="str">
        <f>"ОБЛ СВЕРДЛОВСКАЯ"</f>
        <v>ОБЛ СВЕРДЛОВСКАЯ</v>
      </c>
      <c r="Q1686" t="str">
        <f>""</f>
        <v/>
      </c>
      <c r="R1686" t="str">
        <f>"Г ЕКАТЕРИНБУРГ"</f>
        <v>Г ЕКАТЕРИНБУРГ</v>
      </c>
      <c r="S1686" t="str">
        <f>""</f>
        <v/>
      </c>
      <c r="T1686" t="str">
        <f>"УЛ ЩЕРБАКОВА"</f>
        <v>УЛ ЩЕРБАКОВА</v>
      </c>
      <c r="U1686" s="1" t="str">
        <f>"141"</f>
        <v>141</v>
      </c>
      <c r="V1686" s="1" t="str">
        <f>""</f>
        <v/>
      </c>
      <c r="W1686" s="1" t="str">
        <f>"Б"</f>
        <v>Б</v>
      </c>
      <c r="X1686" s="1" t="str">
        <f>""</f>
        <v/>
      </c>
      <c r="Y1686" s="1" t="str">
        <f>"16"</f>
        <v>16</v>
      </c>
      <c r="Z1686" t="str">
        <f>"9193644003"</f>
        <v>9193644003</v>
      </c>
      <c r="AA1686" t="str">
        <f>"9193644003"</f>
        <v>9193644003</v>
      </c>
      <c r="AB1686" t="str">
        <f>"9193644003"</f>
        <v>9193644003</v>
      </c>
      <c r="AC1686" t="str">
        <f>"9193644003"</f>
        <v>9193644003</v>
      </c>
      <c r="AD1686" t="str">
        <f>"9193644003"</f>
        <v>9193644003</v>
      </c>
      <c r="AE1686" t="str">
        <f>"9193644003"</f>
        <v>9193644003</v>
      </c>
    </row>
    <row r="1687" spans="1:31" x14ac:dyDescent="0.45">
      <c r="A1687" t="str">
        <f>"ХОРОШАВИН АЛЕКСАНДР АНАТОЛЬЕВИЧ"</f>
        <v>ХОРОШАВИН АЛЕКСАНДР АНАТОЛЬЕВИЧ</v>
      </c>
      <c r="B1687" t="str">
        <f>"1975-11-26"</f>
        <v>1975-11-26</v>
      </c>
      <c r="C1687" t="str">
        <f>"65 03 283335"</f>
        <v>65 03 283335</v>
      </c>
      <c r="D1687" t="str">
        <f>"4279011614169517"</f>
        <v>4279011614169517</v>
      </c>
      <c r="E1687" t="str">
        <f t="shared" si="295"/>
        <v>2021-05-31</v>
      </c>
      <c r="F1687" t="str">
        <f t="shared" si="296"/>
        <v>+</v>
      </c>
      <c r="G1687" t="str">
        <f>"W"</f>
        <v>W</v>
      </c>
      <c r="H1687" t="str">
        <f>"40817810616991391528"</f>
        <v>40817810616991391528</v>
      </c>
      <c r="I1687" t="str">
        <f>"7003"</f>
        <v>7003</v>
      </c>
      <c r="J1687" t="str">
        <f>"0434"</f>
        <v>0434</v>
      </c>
      <c r="K1687" t="str">
        <f>"87000.00"</f>
        <v>87000.00</v>
      </c>
      <c r="L1687" t="str">
        <f>"620089 ОБЛ СВЕРДЛОВСКАЯ   Г ЕКАТЕРИНБУРГ   Б-Р ТБИЛИССКИЙ д. 11 кв. 99"</f>
        <v>620089 ОБЛ СВЕРДЛОВСКАЯ   Г ЕКАТЕРИНБУРГ   Б-Р ТБИЛИССКИЙ д. 11 кв. 99</v>
      </c>
      <c r="M1687" t="str">
        <f t="shared" si="292"/>
        <v>2019-08-24</v>
      </c>
      <c r="N1687" t="str">
        <f>"ВРЕМЕННО НЕ РАБОТАЕТ"</f>
        <v>ВРЕМЕННО НЕ РАБОТАЕТ</v>
      </c>
      <c r="O1687" t="str">
        <f>"620089"</f>
        <v>620089</v>
      </c>
      <c r="P1687" t="str">
        <f>"ОБЛ СВЕРДЛОВСКАЯ"</f>
        <v>ОБЛ СВЕРДЛОВСКАЯ</v>
      </c>
      <c r="Q1687" t="str">
        <f>""</f>
        <v/>
      </c>
      <c r="R1687" t="str">
        <f>"Г ЕКАТЕРИНБУРГ"</f>
        <v>Г ЕКАТЕРИНБУРГ</v>
      </c>
      <c r="S1687" t="str">
        <f>""</f>
        <v/>
      </c>
      <c r="T1687" t="str">
        <f>"Б-Р ТБИЛИССКИЙ"</f>
        <v>Б-Р ТБИЛИССКИЙ</v>
      </c>
      <c r="U1687" s="1" t="str">
        <f>"11"</f>
        <v>11</v>
      </c>
      <c r="V1687" s="1" t="str">
        <f>""</f>
        <v/>
      </c>
      <c r="W1687" s="1" t="str">
        <f>""</f>
        <v/>
      </c>
      <c r="X1687" s="1" t="str">
        <f>""</f>
        <v/>
      </c>
      <c r="Y1687" s="1" t="str">
        <f>"99"</f>
        <v>99</v>
      </c>
      <c r="Z1687" t="str">
        <f>""</f>
        <v/>
      </c>
      <c r="AA1687" t="str">
        <f>"9089059229"</f>
        <v>9089059229</v>
      </c>
      <c r="AB1687" t="str">
        <f>"9089059229"</f>
        <v>9089059229</v>
      </c>
      <c r="AC1687" t="str">
        <f>"9089059229"</f>
        <v>9089059229</v>
      </c>
      <c r="AD1687" t="str">
        <f>"9089059229"</f>
        <v>9089059229</v>
      </c>
      <c r="AE1687" t="str">
        <f>""</f>
        <v/>
      </c>
    </row>
    <row r="1688" spans="1:31" x14ac:dyDescent="0.45">
      <c r="A1688" t="str">
        <f>"АХУНЗЯНОВА НАИЛЯ РАШИТОВНА"</f>
        <v>АХУНЗЯНОВА НАИЛЯ РАШИТОВНА</v>
      </c>
      <c r="B1688" t="str">
        <f>"1980-11-30"</f>
        <v>1980-11-30</v>
      </c>
      <c r="C1688" t="str">
        <f>"80 13 761574"</f>
        <v>80 13 761574</v>
      </c>
      <c r="D1688" t="str">
        <f>"4279011642363918"</f>
        <v>4279011642363918</v>
      </c>
      <c r="E1688" t="str">
        <f t="shared" si="295"/>
        <v>2021-05-31</v>
      </c>
      <c r="F1688" t="str">
        <f t="shared" si="296"/>
        <v>+</v>
      </c>
      <c r="G1688" t="str">
        <f t="shared" si="296"/>
        <v>+</v>
      </c>
      <c r="H1688" t="str">
        <f>"40817810616991391531"</f>
        <v>40817810616991391531</v>
      </c>
      <c r="I1688" t="str">
        <f>"8598"</f>
        <v>8598</v>
      </c>
      <c r="J1688" t="str">
        <f>"0764"</f>
        <v>0764</v>
      </c>
      <c r="K1688" t="str">
        <f>"62000.00"</f>
        <v>62000.00</v>
      </c>
      <c r="L1688" t="str">
        <f>"450000 РЕСП БАШКОРТОСТАН   Г МЕЛЕУЗ   УЛ ЛЕНИНА д. 142"</f>
        <v>450000 РЕСП БАШКОРТОСТАН   Г МЕЛЕУЗ   УЛ ЛЕНИНА д. 142</v>
      </c>
      <c r="M1688" t="str">
        <f t="shared" si="292"/>
        <v>2019-08-24</v>
      </c>
      <c r="N1688" t="str">
        <f>"ВГУ РЦСПН Г МЕЛЕУЗ"</f>
        <v>ВГУ РЦСПН Г МЕЛЕУЗ</v>
      </c>
      <c r="O1688" t="str">
        <f>"450000"</f>
        <v>450000</v>
      </c>
      <c r="P1688" t="str">
        <f>"РЕСП БАШКОРТОСТАН"</f>
        <v>РЕСП БАШКОРТОСТАН</v>
      </c>
      <c r="Q1688" t="str">
        <f>""</f>
        <v/>
      </c>
      <c r="R1688" t="str">
        <f>"Г МЕЛЕУЗ"</f>
        <v>Г МЕЛЕУЗ</v>
      </c>
      <c r="S1688" t="str">
        <f>""</f>
        <v/>
      </c>
      <c r="T1688" t="str">
        <f>"МКР 32"</f>
        <v>МКР 32</v>
      </c>
      <c r="U1688" s="1" t="str">
        <f>"21"</f>
        <v>21</v>
      </c>
      <c r="V1688" s="1" t="str">
        <f>""</f>
        <v/>
      </c>
      <c r="W1688" s="1" t="str">
        <f>""</f>
        <v/>
      </c>
      <c r="X1688" s="1" t="str">
        <f>""</f>
        <v/>
      </c>
      <c r="Y1688" s="1" t="str">
        <f>"63"</f>
        <v>63</v>
      </c>
      <c r="Z1688" t="str">
        <f>"3476400000"</f>
        <v>3476400000</v>
      </c>
      <c r="AA1688" t="str">
        <f>"9373326142"</f>
        <v>9373326142</v>
      </c>
      <c r="AB1688" t="str">
        <f>"9373326142"</f>
        <v>9373326142</v>
      </c>
      <c r="AC1688" t="str">
        <f>"9373326142"</f>
        <v>9373326142</v>
      </c>
      <c r="AD1688" t="str">
        <f>"9373326142"</f>
        <v>9373326142</v>
      </c>
      <c r="AE1688" t="str">
        <f>""</f>
        <v/>
      </c>
    </row>
    <row r="1689" spans="1:31" x14ac:dyDescent="0.45">
      <c r="A1689" t="str">
        <f>"ЛУЗИНА АНЖЕЛИКА ВЛАДИСЛАВОВНА"</f>
        <v>ЛУЗИНА АНЖЕЛИКА ВЛАДИСЛАВОВНА</v>
      </c>
      <c r="B1689" t="str">
        <f>"1997-01-13"</f>
        <v>1997-01-13</v>
      </c>
      <c r="C1689" t="str">
        <f>"65 16 373938"</f>
        <v>65 16 373938</v>
      </c>
      <c r="D1689" t="str">
        <f>"4279011645003115"</f>
        <v>4279011645003115</v>
      </c>
      <c r="E1689" t="str">
        <f t="shared" si="295"/>
        <v>2021-05-31</v>
      </c>
      <c r="F1689" t="str">
        <f t="shared" si="296"/>
        <v>+</v>
      </c>
      <c r="G1689" t="str">
        <f t="shared" si="296"/>
        <v>+</v>
      </c>
      <c r="H1689" t="str">
        <f>"40817810816991391535"</f>
        <v>40817810816991391535</v>
      </c>
      <c r="I1689" t="str">
        <f>"7003"</f>
        <v>7003</v>
      </c>
      <c r="J1689" t="str">
        <f>"0536"</f>
        <v>0536</v>
      </c>
      <c r="K1689" t="str">
        <f>"50000.00"</f>
        <v>50000.00</v>
      </c>
      <c r="L1689" t="str">
        <f>"620000 ОБЛ СВЕРДЛОВСКАЯ Р-Н АЛАПАЕВСКИЙ   П МАХНЕВО УЛ ПОБЕДЫ д. 32"</f>
        <v>620000 ОБЛ СВЕРДЛОВСКАЯ Р-Н АЛАПАЕВСКИЙ   П МАХНЕВО УЛ ПОБЕДЫ д. 32</v>
      </c>
      <c r="M1689" t="str">
        <f t="shared" si="292"/>
        <v>2019-08-24</v>
      </c>
      <c r="N1689" t="str">
        <f>"МАХНЕВСКИЙ КДЦ"</f>
        <v>МАХНЕВСКИЙ КДЦ</v>
      </c>
      <c r="O1689" t="str">
        <f>"620000"</f>
        <v>620000</v>
      </c>
      <c r="P1689" t="str">
        <f>"ОБЛ СВЕРДЛОВСКАЯ"</f>
        <v>ОБЛ СВЕРДЛОВСКАЯ</v>
      </c>
      <c r="Q1689" t="str">
        <f>"Р-Н ТАЛИЦКИЙ"</f>
        <v>Р-Н ТАЛИЦКИЙ</v>
      </c>
      <c r="R1689" t="str">
        <f>""</f>
        <v/>
      </c>
      <c r="S1689" t="str">
        <f>"П КУЗНЕЦОВСКИЙ"</f>
        <v>П КУЗНЕЦОВСКИЙ</v>
      </c>
      <c r="T1689" t="str">
        <f>"УЛ ЛЕНИНА"</f>
        <v>УЛ ЛЕНИНА</v>
      </c>
      <c r="U1689" s="1" t="str">
        <f>"4"</f>
        <v>4</v>
      </c>
      <c r="V1689" s="1" t="str">
        <f>""</f>
        <v/>
      </c>
      <c r="W1689" s="1" t="str">
        <f>""</f>
        <v/>
      </c>
      <c r="X1689" s="1" t="str">
        <f>""</f>
        <v/>
      </c>
      <c r="Y1689" s="1" t="str">
        <f>"1"</f>
        <v>1</v>
      </c>
      <c r="Z1689" t="str">
        <f>""</f>
        <v/>
      </c>
      <c r="AA1689" t="str">
        <f>"9001990244"</f>
        <v>9001990244</v>
      </c>
      <c r="AB1689" t="str">
        <f>"9001990244"</f>
        <v>9001990244</v>
      </c>
      <c r="AC1689" t="str">
        <f>"9001990244"</f>
        <v>9001990244</v>
      </c>
      <c r="AD1689" t="str">
        <f>"9001990244"</f>
        <v>9001990244</v>
      </c>
      <c r="AE1689" t="str">
        <f>""</f>
        <v/>
      </c>
    </row>
    <row r="1690" spans="1:31" x14ac:dyDescent="0.45">
      <c r="A1690" t="str">
        <f>"КАРИМОВА ЕЛЕНА ГАФУРЬЯНОВНА"</f>
        <v>КАРИМОВА ЕЛЕНА ГАФУРЬЯНОВНА</v>
      </c>
      <c r="B1690" t="str">
        <f>"1978-11-29"</f>
        <v>1978-11-29</v>
      </c>
      <c r="C1690" t="str">
        <f>"67 02 658868"</f>
        <v>67 02 658868</v>
      </c>
      <c r="D1690" t="str">
        <f>"4279011624726306"</f>
        <v>4279011624726306</v>
      </c>
      <c r="E1690" t="str">
        <f t="shared" si="295"/>
        <v>2021-05-31</v>
      </c>
      <c r="F1690" t="str">
        <f t="shared" si="296"/>
        <v>+</v>
      </c>
      <c r="G1690" t="str">
        <f t="shared" si="296"/>
        <v>+</v>
      </c>
      <c r="H1690" t="str">
        <f>"40817810516991391534"</f>
        <v>40817810516991391534</v>
      </c>
      <c r="I1690" t="str">
        <f>"7003"</f>
        <v>7003</v>
      </c>
      <c r="J1690" t="str">
        <f>"0406"</f>
        <v>0406</v>
      </c>
      <c r="K1690" t="str">
        <f>"265000.00"</f>
        <v>265000.00</v>
      </c>
      <c r="L1690" t="str">
        <f>"620000 ОБЛ СВЕРДЛОВСКАЯ   Г ЕКАТЕРИНБУРГ   УЛ БОЛЬШИКОВА д. 17 кв. 262"</f>
        <v>620000 ОБЛ СВЕРДЛОВСКАЯ   Г ЕКАТЕРИНБУРГ   УЛ БОЛЬШИКОВА д. 17 кв. 262</v>
      </c>
      <c r="M1690" t="str">
        <f t="shared" si="292"/>
        <v>2019-08-24</v>
      </c>
      <c r="N1690" t="str">
        <f>"ООО ЛИНКОМ"</f>
        <v>ООО ЛИНКОМ</v>
      </c>
      <c r="O1690" t="str">
        <f>"628311"</f>
        <v>628311</v>
      </c>
      <c r="P1690" t="str">
        <f>"ОБЛ ТЮМЕНСКАЯ"</f>
        <v>ОБЛ ТЮМЕНСКАЯ</v>
      </c>
      <c r="Q1690" t="str">
        <f>""</f>
        <v/>
      </c>
      <c r="R1690" t="str">
        <f>"Г НЕФТЕЮГАНСК"</f>
        <v>Г НЕФТЕЮГАНСК</v>
      </c>
      <c r="S1690" t="str">
        <f>""</f>
        <v/>
      </c>
      <c r="T1690" t="str">
        <f>"УЛ 16АМКР-Н"</f>
        <v>УЛ 16АМКР-Н</v>
      </c>
      <c r="U1690" s="1" t="str">
        <f>"78"</f>
        <v>78</v>
      </c>
      <c r="V1690" s="1" t="str">
        <f>""</f>
        <v/>
      </c>
      <c r="W1690" s="1" t="str">
        <f>""</f>
        <v/>
      </c>
      <c r="X1690" s="1" t="str">
        <f>""</f>
        <v/>
      </c>
      <c r="Y1690" s="1" t="str">
        <f>"32"</f>
        <v>32</v>
      </c>
      <c r="Z1690" t="str">
        <f>""</f>
        <v/>
      </c>
      <c r="AA1690" t="str">
        <f>"9827037805"</f>
        <v>9827037805</v>
      </c>
      <c r="AB1690" t="str">
        <f>"9827037805"</f>
        <v>9827037805</v>
      </c>
      <c r="AC1690" t="str">
        <f>"9827037805"</f>
        <v>9827037805</v>
      </c>
      <c r="AD1690" t="str">
        <f>"9827037805"</f>
        <v>9827037805</v>
      </c>
      <c r="AE1690" t="str">
        <f>""</f>
        <v/>
      </c>
    </row>
    <row r="1691" spans="1:31" x14ac:dyDescent="0.45">
      <c r="A1691" t="str">
        <f>"ИВАНОВА НАДЕЖДА НИКОЛАЕВНА"</f>
        <v>ИВАНОВА НАДЕЖДА НИКОЛАЕВНА</v>
      </c>
      <c r="B1691" t="str">
        <f>"1975-08-23"</f>
        <v>1975-08-23</v>
      </c>
      <c r="C1691" t="str">
        <f>"80 02 534094"</f>
        <v>80 02 534094</v>
      </c>
      <c r="D1691" t="str">
        <f>"4279011681115104"</f>
        <v>4279011681115104</v>
      </c>
      <c r="E1691" t="str">
        <f t="shared" si="295"/>
        <v>2021-05-31</v>
      </c>
      <c r="F1691" t="str">
        <f t="shared" si="296"/>
        <v>+</v>
      </c>
      <c r="G1691" t="str">
        <f t="shared" si="296"/>
        <v>+</v>
      </c>
      <c r="H1691" t="str">
        <f>"40817810016991391539"</f>
        <v>40817810016991391539</v>
      </c>
      <c r="I1691" t="str">
        <f>"8598"</f>
        <v>8598</v>
      </c>
      <c r="J1691" t="str">
        <f>"0183"</f>
        <v>0183</v>
      </c>
      <c r="K1691" t="str">
        <f>"92000.00"</f>
        <v>92000.00</v>
      </c>
      <c r="L1691" t="str">
        <f>"450000 РЕСП БАШКОРТОСТАН   Г УФА   УЛ НОВОЧЕРКАСКАЯ д. 11"</f>
        <v>450000 РЕСП БАШКОРТОСТАН   Г УФА   УЛ НОВОЧЕРКАСКАЯ д. 11</v>
      </c>
      <c r="M1691" t="str">
        <f t="shared" si="292"/>
        <v>2019-08-24</v>
      </c>
      <c r="N1691" t="str">
        <f>"МКУ ЦБ"</f>
        <v>МКУ ЦБ</v>
      </c>
      <c r="O1691" t="str">
        <f>"450000"</f>
        <v>450000</v>
      </c>
      <c r="P1691" t="str">
        <f>"РЕСП БАШКОРТОСТАН"</f>
        <v>РЕСП БАШКОРТОСТАН</v>
      </c>
      <c r="Q1691" t="str">
        <f>""</f>
        <v/>
      </c>
      <c r="R1691" t="str">
        <f>"Г УФА"</f>
        <v>Г УФА</v>
      </c>
      <c r="S1691" t="str">
        <f>""</f>
        <v/>
      </c>
      <c r="T1691" t="str">
        <f>"УЛ МАКСИМА РЫЛЬСКОГО"</f>
        <v>УЛ МАКСИМА РЫЛЬСКОГО</v>
      </c>
      <c r="U1691" s="1" t="str">
        <f>"19"</f>
        <v>19</v>
      </c>
      <c r="V1691" s="1" t="str">
        <f>""</f>
        <v/>
      </c>
      <c r="W1691" s="1" t="str">
        <f>""</f>
        <v/>
      </c>
      <c r="X1691" s="1" t="str">
        <f>""</f>
        <v/>
      </c>
      <c r="Y1691" s="1" t="str">
        <f>"73"</f>
        <v>73</v>
      </c>
      <c r="Z1691" t="str">
        <f>""</f>
        <v/>
      </c>
      <c r="AA1691" t="str">
        <f>"9191540887"</f>
        <v>9191540887</v>
      </c>
      <c r="AB1691" t="str">
        <f>"9191540887"</f>
        <v>9191540887</v>
      </c>
      <c r="AC1691" t="str">
        <f>"9191540887"</f>
        <v>9191540887</v>
      </c>
      <c r="AD1691" t="str">
        <f>"9191540887"</f>
        <v>9191540887</v>
      </c>
      <c r="AE1691" t="str">
        <f>""</f>
        <v/>
      </c>
    </row>
    <row r="1692" spans="1:31" x14ac:dyDescent="0.45">
      <c r="A1692" t="str">
        <f>"ТАРАСОВ ВЛАДИМИР СЕРГЕЕВИЧ"</f>
        <v>ТАРАСОВ ВЛАДИМИР СЕРГЕЕВИЧ</v>
      </c>
      <c r="B1692" t="str">
        <f>"1991-03-13"</f>
        <v>1991-03-13</v>
      </c>
      <c r="C1692" t="str">
        <f>"65 11 144417"</f>
        <v>65 11 144417</v>
      </c>
      <c r="D1692" t="str">
        <f>"4279011666116689"</f>
        <v>4279011666116689</v>
      </c>
      <c r="E1692" t="str">
        <f t="shared" si="295"/>
        <v>2021-05-31</v>
      </c>
      <c r="F1692" t="str">
        <f t="shared" si="296"/>
        <v>+</v>
      </c>
      <c r="G1692" t="str">
        <f t="shared" si="296"/>
        <v>+</v>
      </c>
      <c r="H1692" t="str">
        <f>"40817810416991391537"</f>
        <v>40817810416991391537</v>
      </c>
      <c r="I1692" t="str">
        <f>"7003"</f>
        <v>7003</v>
      </c>
      <c r="J1692" t="str">
        <f>"0878"</f>
        <v>0878</v>
      </c>
      <c r="K1692" t="str">
        <f>"35000.00"</f>
        <v>35000.00</v>
      </c>
      <c r="L1692" t="str">
        <f>"620000 ОБЛ СВЕРДЛОВСКАЯ   Г ЕКАТЕРИНБУРГ   УЛ ФРОНТОВЫХ БРИГАД д. 31"</f>
        <v>620000 ОБЛ СВЕРДЛОВСКАЯ   Г ЕКАТЕРИНБУРГ   УЛ ФРОНТОВЫХ БРИГАД д. 31</v>
      </c>
      <c r="M1692" t="str">
        <f t="shared" si="292"/>
        <v>2019-08-24</v>
      </c>
      <c r="N1692" t="str">
        <f>"ООО СТРОЙ-РЕГИОН КОНСАЛТИНГ"</f>
        <v>ООО СТРОЙ-РЕГИОН КОНСАЛТИНГ</v>
      </c>
      <c r="O1692" t="str">
        <f>"620000"</f>
        <v>620000</v>
      </c>
      <c r="P1692" t="str">
        <f>"ОБЛ СВЕРДЛОВСКАЯ"</f>
        <v>ОБЛ СВЕРДЛОВСКАЯ</v>
      </c>
      <c r="Q1692" t="str">
        <f>""</f>
        <v/>
      </c>
      <c r="R1692" t="str">
        <f>"Г ЕКАТЕРИНБУРГ"</f>
        <v>Г ЕКАТЕРИНБУРГ</v>
      </c>
      <c r="S1692" t="str">
        <f>""</f>
        <v/>
      </c>
      <c r="T1692" t="str">
        <f>"УЛ АНАТОЛИЯ МУРАНОВА"</f>
        <v>УЛ АНАТОЛИЯ МУРАНОВА</v>
      </c>
      <c r="U1692" s="1" t="str">
        <f>"18"</f>
        <v>18</v>
      </c>
      <c r="V1692" s="1" t="str">
        <f>""</f>
        <v/>
      </c>
      <c r="W1692" s="1" t="str">
        <f>""</f>
        <v/>
      </c>
      <c r="X1692" s="1" t="str">
        <f>""</f>
        <v/>
      </c>
      <c r="Y1692" s="1" t="str">
        <f>"133"</f>
        <v>133</v>
      </c>
      <c r="Z1692" t="str">
        <f>""</f>
        <v/>
      </c>
      <c r="AA1692" t="str">
        <f>"9527250723"</f>
        <v>9527250723</v>
      </c>
      <c r="AB1692" t="str">
        <f>"9527250723"</f>
        <v>9527250723</v>
      </c>
      <c r="AC1692" t="str">
        <f>"9090249795"</f>
        <v>9090249795</v>
      </c>
      <c r="AD1692" t="str">
        <f>"9527250723"</f>
        <v>9527250723</v>
      </c>
      <c r="AE1692" t="str">
        <f>""</f>
        <v/>
      </c>
    </row>
    <row r="1693" spans="1:31" x14ac:dyDescent="0.45">
      <c r="A1693" t="str">
        <f>"ИШИМОВА ЛИЛИЯ МАРСОВНА"</f>
        <v>ИШИМОВА ЛИЛИЯ МАРСОВНА</v>
      </c>
      <c r="B1693" t="str">
        <f>"1987-12-05"</f>
        <v>1987-12-05</v>
      </c>
      <c r="C1693" t="str">
        <f>"75 08 256150"</f>
        <v>75 08 256150</v>
      </c>
      <c r="D1693" t="str">
        <f>"4279011653339070"</f>
        <v>4279011653339070</v>
      </c>
      <c r="E1693" t="str">
        <f t="shared" si="295"/>
        <v>2021-05-31</v>
      </c>
      <c r="F1693" t="str">
        <f t="shared" si="296"/>
        <v>+</v>
      </c>
      <c r="G1693" t="str">
        <f t="shared" si="296"/>
        <v>+</v>
      </c>
      <c r="H1693" t="str">
        <f>"40817810716991391541"</f>
        <v>40817810716991391541</v>
      </c>
      <c r="I1693" t="str">
        <f>"8597"</f>
        <v>8597</v>
      </c>
      <c r="J1693" t="str">
        <f>"0345"</f>
        <v>0345</v>
      </c>
      <c r="K1693" t="str">
        <f>"10000.00"</f>
        <v>10000.00</v>
      </c>
      <c r="L1693" t="str">
        <f>"455000 ОБЛ ЧЕЛЯБИНСКАЯ   Г МАГНИТОГОРСК   УЛ АВТОМОБИЛИСТОВ д. 8 стр. Б"</f>
        <v>455000 ОБЛ ЧЕЛЯБИНСКАЯ   Г МАГНИТОГОРСК   УЛ АВТОМОБИЛИСТОВ д. 8 стр. Б</v>
      </c>
      <c r="M1693" t="str">
        <f t="shared" si="292"/>
        <v>2019-08-24</v>
      </c>
      <c r="N1693" t="s">
        <v>96</v>
      </c>
      <c r="O1693" t="str">
        <f>"456720"</f>
        <v>456720</v>
      </c>
      <c r="P1693" t="str">
        <f>"ОБЛ ЧЕЛЯБИНСКАЯ"</f>
        <v>ОБЛ ЧЕЛЯБИНСКАЯ</v>
      </c>
      <c r="Q1693" t="str">
        <f>"Р-Н КУНАШАКСКИЙ"</f>
        <v>Р-Н КУНАШАКСКИЙ</v>
      </c>
      <c r="R1693" t="str">
        <f>""</f>
        <v/>
      </c>
      <c r="S1693" t="str">
        <f>"Ж/Д_СТ МУСЛЮМОВО"</f>
        <v>Ж/Д_СТ МУСЛЮМОВО</v>
      </c>
      <c r="T1693" t="str">
        <f>"УЛ САЛАВАТА ЮЛАЕВА"</f>
        <v>УЛ САЛАВАТА ЮЛАЕВА</v>
      </c>
      <c r="U1693" s="1" t="str">
        <f>"3"</f>
        <v>3</v>
      </c>
      <c r="V1693" s="1" t="str">
        <f>""</f>
        <v/>
      </c>
      <c r="W1693" s="1" t="str">
        <f>""</f>
        <v/>
      </c>
      <c r="X1693" s="1" t="str">
        <f>""</f>
        <v/>
      </c>
      <c r="Y1693" s="1" t="str">
        <f>""</f>
        <v/>
      </c>
      <c r="Z1693" t="str">
        <f>""</f>
        <v/>
      </c>
      <c r="AA1693" t="str">
        <f>"9512480550"</f>
        <v>9512480550</v>
      </c>
      <c r="AB1693" t="str">
        <f>"9518175798"</f>
        <v>9518175798</v>
      </c>
      <c r="AC1693" t="str">
        <f>"9512480550"</f>
        <v>9512480550</v>
      </c>
      <c r="AD1693" t="str">
        <f>"9512480550"</f>
        <v>9512480550</v>
      </c>
      <c r="AE1693" t="str">
        <f>""</f>
        <v/>
      </c>
    </row>
    <row r="1694" spans="1:31" x14ac:dyDescent="0.45">
      <c r="A1694" t="str">
        <f>"СМОЛЬНИКОВА НЕЛЛИ АЛЕКСАНДРОВНА"</f>
        <v>СМОЛЬНИКОВА НЕЛЛИ АЛЕКСАНДРОВНА</v>
      </c>
      <c r="B1694" t="str">
        <f>"1987-01-21"</f>
        <v>1987-01-21</v>
      </c>
      <c r="C1694" t="str">
        <f>"75 13 419589"</f>
        <v>75 13 419589</v>
      </c>
      <c r="D1694" t="str">
        <f>"5484011605375881"</f>
        <v>5484011605375881</v>
      </c>
      <c r="E1694" t="str">
        <f t="shared" si="295"/>
        <v>2021-05-31</v>
      </c>
      <c r="F1694" t="str">
        <f t="shared" si="296"/>
        <v>+</v>
      </c>
      <c r="G1694" t="str">
        <f t="shared" si="296"/>
        <v>+</v>
      </c>
      <c r="H1694" t="str">
        <f>"40817810216991391559"</f>
        <v>40817810216991391559</v>
      </c>
      <c r="I1694" t="str">
        <f>"7003"</f>
        <v>7003</v>
      </c>
      <c r="J1694" t="str">
        <f>"6201"</f>
        <v>6201</v>
      </c>
      <c r="K1694" t="str">
        <f>"450000.00"</f>
        <v>450000.00</v>
      </c>
      <c r="L1694" t="str">
        <f>"620000 ОБЛ СВЕРДЛОВСКАЯ   Г ЕКАТЕРИНБУРГА   УЛ КРАСНОАРМЕЙСКАЯ д. 10 офис 1401"</f>
        <v>620000 ОБЛ СВЕРДЛОВСКАЯ   Г ЕКАТЕРИНБУРГА   УЛ КРАСНОАРМЕЙСКАЯ д. 10 офис 1401</v>
      </c>
      <c r="M1694" t="str">
        <f t="shared" si="292"/>
        <v>2019-08-24</v>
      </c>
      <c r="N1694" t="str">
        <f>"АО ЭПР"</f>
        <v>АО ЭПР</v>
      </c>
      <c r="O1694" t="str">
        <f>"454000"</f>
        <v>454000</v>
      </c>
      <c r="P1694" t="str">
        <f>"ОБЛ ЧЕЛЯБИНСКАЯ"</f>
        <v>ОБЛ ЧЕЛЯБИНСКАЯ</v>
      </c>
      <c r="Q1694" t="str">
        <f>""</f>
        <v/>
      </c>
      <c r="R1694" t="str">
        <f>"Г ЧЕЛЯБИНСК"</f>
        <v>Г ЧЕЛЯБИНСК</v>
      </c>
      <c r="S1694" t="str">
        <f>""</f>
        <v/>
      </c>
      <c r="T1694" t="str">
        <f>"УЛ 250-ЛЕТИЯ ЧЕЛЯБИНСКА"</f>
        <v>УЛ 250-ЛЕТИЯ ЧЕЛЯБИНСКА</v>
      </c>
      <c r="U1694" s="1" t="str">
        <f>"1А"</f>
        <v>1А</v>
      </c>
      <c r="V1694" s="1" t="str">
        <f>""</f>
        <v/>
      </c>
      <c r="W1694" s="1" t="str">
        <f>""</f>
        <v/>
      </c>
      <c r="X1694" s="1" t="str">
        <f>""</f>
        <v/>
      </c>
      <c r="Y1694" s="1" t="str">
        <f>"27"</f>
        <v>27</v>
      </c>
      <c r="Z1694" t="str">
        <f>"3433795739"</f>
        <v>3433795739</v>
      </c>
      <c r="AA1694" t="str">
        <f>"3517790317"</f>
        <v>3517790317</v>
      </c>
      <c r="AB1694" t="str">
        <f>"9221342111"</f>
        <v>9221342111</v>
      </c>
      <c r="AC1694" t="str">
        <f>"9221342111"</f>
        <v>9221342111</v>
      </c>
      <c r="AD1694" t="str">
        <f>"9221342111"</f>
        <v>9221342111</v>
      </c>
      <c r="AE1694" t="str">
        <f>"9221342111"</f>
        <v>9221342111</v>
      </c>
    </row>
    <row r="1695" spans="1:31" x14ac:dyDescent="0.45">
      <c r="A1695" t="str">
        <f>"УЛЬЯНОВА НАТАЛЬЯ БОРИСОВНА"</f>
        <v>УЛЬЯНОВА НАТАЛЬЯ БОРИСОВНА</v>
      </c>
      <c r="B1695" t="str">
        <f>"1978-10-10"</f>
        <v>1978-10-10</v>
      </c>
      <c r="C1695" t="str">
        <f>"75 18 176089"</f>
        <v>75 18 176089</v>
      </c>
      <c r="D1695" t="str">
        <f>"4279011680186270"</f>
        <v>4279011680186270</v>
      </c>
      <c r="E1695" t="str">
        <f t="shared" si="295"/>
        <v>2021-05-31</v>
      </c>
      <c r="F1695" t="str">
        <f t="shared" si="296"/>
        <v>+</v>
      </c>
      <c r="G1695" t="str">
        <f t="shared" si="296"/>
        <v>+</v>
      </c>
      <c r="H1695" t="str">
        <f>"40817810316991391543"</f>
        <v>40817810316991391543</v>
      </c>
      <c r="I1695" t="str">
        <f>"8597"</f>
        <v>8597</v>
      </c>
      <c r="J1695" t="str">
        <f>"0235"</f>
        <v>0235</v>
      </c>
      <c r="K1695" t="str">
        <f>"115000.00"</f>
        <v>115000.00</v>
      </c>
      <c r="L1695" t="str">
        <f>"454000 ОБЛ ЧЕЛЯБИНСКАЯ   Г ЧЕЛЯБИНСК   ПР-КТ СВЕРДЛОВСКИЙ д. 64 корп. А"</f>
        <v>454000 ОБЛ ЧЕЛЯБИНСКАЯ   Г ЧЕЛЯБИНСК   ПР-КТ СВЕРДЛОВСКИЙ д. 64 корп. А</v>
      </c>
      <c r="M1695" t="str">
        <f t="shared" si="292"/>
        <v>2019-08-24</v>
      </c>
      <c r="N1695" t="s">
        <v>97</v>
      </c>
      <c r="O1695" t="str">
        <f>"454000"</f>
        <v>454000</v>
      </c>
      <c r="P1695" t="str">
        <f>"ОБЛ ЧЕЛЯБИНСКАЯ"</f>
        <v>ОБЛ ЧЕЛЯБИНСКАЯ</v>
      </c>
      <c r="Q1695" t="str">
        <f>""</f>
        <v/>
      </c>
      <c r="R1695" t="str">
        <f>"Г ЧЕЛЯБИНСК"</f>
        <v>Г ЧЕЛЯБИНСК</v>
      </c>
      <c r="S1695" t="str">
        <f>""</f>
        <v/>
      </c>
      <c r="T1695" t="str">
        <f>"УЛ ЧИЧЕРИНА"</f>
        <v>УЛ ЧИЧЕРИНА</v>
      </c>
      <c r="U1695" s="1" t="str">
        <f>"8"</f>
        <v>8</v>
      </c>
      <c r="V1695" s="1" t="str">
        <f>""</f>
        <v/>
      </c>
      <c r="W1695" s="1" t="str">
        <f>""</f>
        <v/>
      </c>
      <c r="X1695" s="1" t="str">
        <f>""</f>
        <v/>
      </c>
      <c r="Y1695" s="1" t="str">
        <f>"58"</f>
        <v>58</v>
      </c>
      <c r="Z1695" t="str">
        <f>""</f>
        <v/>
      </c>
      <c r="AA1695" t="str">
        <f>"9517731418"</f>
        <v>9517731418</v>
      </c>
      <c r="AB1695" t="str">
        <f>"9517731418"</f>
        <v>9517731418</v>
      </c>
      <c r="AC1695" t="str">
        <f>"9517731418"</f>
        <v>9517731418</v>
      </c>
      <c r="AD1695" t="str">
        <f>"9517731418"</f>
        <v>9517731418</v>
      </c>
      <c r="AE1695" t="str">
        <f>""</f>
        <v/>
      </c>
    </row>
    <row r="1696" spans="1:31" x14ac:dyDescent="0.45">
      <c r="A1696" t="str">
        <f>"БАУТИН МАКСИМ АЛЕКСАНДРОВИЧ"</f>
        <v>БАУТИН МАКСИМ АЛЕКСАНДРОВИЧ</v>
      </c>
      <c r="B1696" t="str">
        <f>"1983-08-14"</f>
        <v>1983-08-14</v>
      </c>
      <c r="C1696" t="str">
        <f>"65 04 434000"</f>
        <v>65 04 434000</v>
      </c>
      <c r="D1696" t="str">
        <f>"4279011645839864"</f>
        <v>4279011645839864</v>
      </c>
      <c r="E1696" t="str">
        <f t="shared" si="295"/>
        <v>2021-05-31</v>
      </c>
      <c r="F1696" t="str">
        <f t="shared" si="296"/>
        <v>+</v>
      </c>
      <c r="G1696" t="str">
        <f t="shared" si="296"/>
        <v>+</v>
      </c>
      <c r="H1696" t="str">
        <f>"40817810716991391538"</f>
        <v>40817810716991391538</v>
      </c>
      <c r="I1696" t="str">
        <f>"7003"</f>
        <v>7003</v>
      </c>
      <c r="J1696" t="str">
        <f>"0369"</f>
        <v>0369</v>
      </c>
      <c r="K1696" t="str">
        <f>"21000.00"</f>
        <v>21000.00</v>
      </c>
      <c r="L1696" t="str">
        <f>"620000 ОБЛ СВЕРДЛОВСКАЯ   Г ЕКАТЕРИНБУРГ   УЛ СИБИРСКИЙ ТРАКТ стр. 1"</f>
        <v>620000 ОБЛ СВЕРДЛОВСКАЯ   Г ЕКАТЕРИНБУРГ   УЛ СИБИРСКИЙ ТРАКТ стр. 1</v>
      </c>
      <c r="M1696" t="str">
        <f t="shared" si="292"/>
        <v>2019-08-24</v>
      </c>
      <c r="N1696" t="str">
        <f>"ГБУЗ СО СОКПБ"</f>
        <v>ГБУЗ СО СОКПБ</v>
      </c>
      <c r="O1696" t="str">
        <f>"620000"</f>
        <v>620000</v>
      </c>
      <c r="P1696" t="str">
        <f>"ОБЛ СВЕРДЛОВСКАЯ"</f>
        <v>ОБЛ СВЕРДЛОВСКАЯ</v>
      </c>
      <c r="Q1696" t="str">
        <f>""</f>
        <v/>
      </c>
      <c r="R1696" t="str">
        <f>"Г ЕКАТЕРИНБУРГ"</f>
        <v>Г ЕКАТЕРИНБУРГ</v>
      </c>
      <c r="S1696" t="str">
        <f>""</f>
        <v/>
      </c>
      <c r="T1696" t="str">
        <f>"УЛ КОМВУЗОВСКАЯ"</f>
        <v>УЛ КОМВУЗОВСКАЯ</v>
      </c>
      <c r="U1696" s="1" t="str">
        <f>"19"</f>
        <v>19</v>
      </c>
      <c r="V1696" s="1" t="str">
        <f>""</f>
        <v/>
      </c>
      <c r="W1696" s="1" t="str">
        <f>""</f>
        <v/>
      </c>
      <c r="X1696" s="1" t="str">
        <f>""</f>
        <v/>
      </c>
      <c r="Y1696" s="1" t="str">
        <f>"3"</f>
        <v>3</v>
      </c>
      <c r="Z1696" t="str">
        <f>"3432432129"</f>
        <v>3432432129</v>
      </c>
      <c r="AA1696" t="str">
        <f>"3433753020"</f>
        <v>3433753020</v>
      </c>
      <c r="AB1696" t="str">
        <f>"9058042928"</f>
        <v>9058042928</v>
      </c>
      <c r="AC1696" t="str">
        <f>"3433753020"</f>
        <v>3433753020</v>
      </c>
      <c r="AD1696" t="str">
        <f>"9058042928"</f>
        <v>9058042928</v>
      </c>
      <c r="AE1696" t="str">
        <f>"3432432129"</f>
        <v>3432432129</v>
      </c>
    </row>
    <row r="1697" spans="1:31" x14ac:dyDescent="0.45">
      <c r="A1697" t="str">
        <f>"ЗАКОРЮКИН ИВАН АЛЕКСАНДРОВИЧ"</f>
        <v>ЗАКОРЮКИН ИВАН АЛЕКСАНДРОВИЧ</v>
      </c>
      <c r="B1697" t="str">
        <f>"1989-11-18"</f>
        <v>1989-11-18</v>
      </c>
      <c r="C1697" t="str">
        <f>"65 09 858940"</f>
        <v>65 09 858940</v>
      </c>
      <c r="D1697" t="str">
        <f>"4279011679460975"</f>
        <v>4279011679460975</v>
      </c>
      <c r="E1697" t="str">
        <f t="shared" si="295"/>
        <v>2021-05-31</v>
      </c>
      <c r="F1697" t="str">
        <f t="shared" si="296"/>
        <v>+</v>
      </c>
      <c r="G1697" t="str">
        <f>"W"</f>
        <v>W</v>
      </c>
      <c r="H1697" t="str">
        <f>"40817810016991391542"</f>
        <v>40817810016991391542</v>
      </c>
      <c r="I1697" t="str">
        <f>"7003"</f>
        <v>7003</v>
      </c>
      <c r="J1697" t="str">
        <f>"0369"</f>
        <v>0369</v>
      </c>
      <c r="K1697" t="str">
        <f>"15000.00"</f>
        <v>15000.00</v>
      </c>
      <c r="L1697" t="str">
        <f>"620000 ОБЛ СВЕРДЛОВСКАЯ   Г ЕКАТЕРИНБУРГ   УЛ ЗООЛОГИЧЕСКАЯ д. 7Б"</f>
        <v>620000 ОБЛ СВЕРДЛОВСКАЯ   Г ЕКАТЕРИНБУРГ   УЛ ЗООЛОГИЧЕСКАЯ д. 7Б</v>
      </c>
      <c r="M1697" t="str">
        <f t="shared" si="292"/>
        <v>2019-08-24</v>
      </c>
      <c r="N1697" t="str">
        <f>"ООО ЛЕС-ИНВЕСТ ЕКАТЕРИНБУРГ"</f>
        <v>ООО ЛЕС-ИНВЕСТ ЕКАТЕРИНБУРГ</v>
      </c>
      <c r="O1697" t="str">
        <f>"620000"</f>
        <v>620000</v>
      </c>
      <c r="P1697" t="str">
        <f>"ОБЛ СВЕРДЛОВСКАЯ"</f>
        <v>ОБЛ СВЕРДЛОВСКАЯ</v>
      </c>
      <c r="Q1697" t="str">
        <f>""</f>
        <v/>
      </c>
      <c r="R1697" t="str">
        <f>"Г ЕКАТЕРИНБУРГ"</f>
        <v>Г ЕКАТЕРИНБУРГ</v>
      </c>
      <c r="S1697" t="str">
        <f>""</f>
        <v/>
      </c>
      <c r="T1697" t="str">
        <f>"УЛ КРЕСТИНСКОГО"</f>
        <v>УЛ КРЕСТИНСКОГО</v>
      </c>
      <c r="U1697" s="1" t="str">
        <f>"49"</f>
        <v>49</v>
      </c>
      <c r="V1697" s="1" t="str">
        <f>""</f>
        <v/>
      </c>
      <c r="W1697" s="1" t="str">
        <f>"2"</f>
        <v>2</v>
      </c>
      <c r="X1697" s="1" t="str">
        <f>""</f>
        <v/>
      </c>
      <c r="Y1697" s="1" t="str">
        <f>"63"</f>
        <v>63</v>
      </c>
      <c r="Z1697" t="str">
        <f>""</f>
        <v/>
      </c>
      <c r="AA1697" t="str">
        <f>"9826273571"</f>
        <v>9826273571</v>
      </c>
      <c r="AB1697" t="str">
        <f>"9826273571"</f>
        <v>9826273571</v>
      </c>
      <c r="AC1697" t="str">
        <f>"9826273571"</f>
        <v>9826273571</v>
      </c>
      <c r="AD1697" t="str">
        <f>"9826273571"</f>
        <v>9826273571</v>
      </c>
      <c r="AE1697" t="str">
        <f>""</f>
        <v/>
      </c>
    </row>
    <row r="1698" spans="1:31" x14ac:dyDescent="0.45">
      <c r="A1698" t="str">
        <f>"ГАБДРАХМАНОВ РИФАТ МУСАВИРОВИЧ"</f>
        <v>ГАБДРАХМАНОВ РИФАТ МУСАВИРОВИЧ</v>
      </c>
      <c r="B1698" t="str">
        <f>"1962-08-28"</f>
        <v>1962-08-28</v>
      </c>
      <c r="C1698" t="str">
        <f>"67 06 684068"</f>
        <v>67 06 684068</v>
      </c>
      <c r="D1698" t="str">
        <f>"4854630044915042"</f>
        <v>4854630044915042</v>
      </c>
      <c r="E1698" t="str">
        <f t="shared" si="295"/>
        <v>2021-05-31</v>
      </c>
      <c r="F1698" t="str">
        <f t="shared" si="296"/>
        <v>+</v>
      </c>
      <c r="G1698" t="str">
        <f>"W"</f>
        <v>W</v>
      </c>
      <c r="H1698" t="str">
        <f>"40817810116992194677"</f>
        <v>40817810116992194677</v>
      </c>
      <c r="I1698" t="str">
        <f>"5940"</f>
        <v>5940</v>
      </c>
      <c r="J1698" t="str">
        <f>"0133"</f>
        <v>0133</v>
      </c>
      <c r="K1698" t="str">
        <f>"52000.00"</f>
        <v>52000.00</v>
      </c>
      <c r="L1698" t="str">
        <f>"628672 ОБЛ ТЮМЕНСКАЯ     Г ЛАНГЕПАС УЛ МИРА д. 17 кв. 45"</f>
        <v>628672 ОБЛ ТЮМЕНСКАЯ     Г ЛАНГЕПАС УЛ МИРА д. 17 кв. 45</v>
      </c>
      <c r="M1698" t="str">
        <f t="shared" si="292"/>
        <v>2019-08-24</v>
      </c>
      <c r="N1698" t="str">
        <f>"ПЕНСИОНЕР"</f>
        <v>ПЕНСИОНЕР</v>
      </c>
      <c r="O1698" t="str">
        <f>"628672"</f>
        <v>628672</v>
      </c>
      <c r="P1698" t="str">
        <f>"ОБЛ ТЮМЕНСКАЯ"</f>
        <v>ОБЛ ТЮМЕНСКАЯ</v>
      </c>
      <c r="Q1698" t="str">
        <f>""</f>
        <v/>
      </c>
      <c r="R1698" t="str">
        <f>""</f>
        <v/>
      </c>
      <c r="S1698" t="str">
        <f>"Г ЛАНГЕПАС"</f>
        <v>Г ЛАНГЕПАС</v>
      </c>
      <c r="T1698" t="str">
        <f>"УЛ МИРА"</f>
        <v>УЛ МИРА</v>
      </c>
      <c r="U1698" s="1" t="str">
        <f>"17"</f>
        <v>17</v>
      </c>
      <c r="V1698" s="1" t="str">
        <f>""</f>
        <v/>
      </c>
      <c r="W1698" s="1" t="str">
        <f>""</f>
        <v/>
      </c>
      <c r="X1698" s="1" t="str">
        <f>""</f>
        <v/>
      </c>
      <c r="Y1698" s="1" t="str">
        <f>"45"</f>
        <v>45</v>
      </c>
      <c r="Z1698" t="str">
        <f>"3466950123"</f>
        <v>3466950123</v>
      </c>
      <c r="AA1698" t="str">
        <f>"3466950123"</f>
        <v>3466950123</v>
      </c>
      <c r="AB1698" t="str">
        <f>"9224056257"</f>
        <v>9224056257</v>
      </c>
      <c r="AC1698" t="str">
        <f>"3466950123"</f>
        <v>3466950123</v>
      </c>
      <c r="AD1698" t="str">
        <f>"9224056257"</f>
        <v>9224056257</v>
      </c>
      <c r="AE1698" t="str">
        <f>"3466950123"</f>
        <v>3466950123</v>
      </c>
    </row>
    <row r="1699" spans="1:31" x14ac:dyDescent="0.45">
      <c r="A1699" t="str">
        <f>"ИВИНА НАТАЛЬЯ ВЛАДИМИРОВНА"</f>
        <v>ИВИНА НАТАЛЬЯ ВЛАДИМИРОВНА</v>
      </c>
      <c r="B1699" t="str">
        <f>"1982-10-04"</f>
        <v>1982-10-04</v>
      </c>
      <c r="C1699" t="str">
        <f>"37 03 928789"</f>
        <v>37 03 928789</v>
      </c>
      <c r="D1699" t="str">
        <f>"4854630409216366"</f>
        <v>4854630409216366</v>
      </c>
      <c r="E1699" t="str">
        <f>"2021-04-30"</f>
        <v>2021-04-30</v>
      </c>
      <c r="F1699" t="str">
        <f t="shared" ref="F1699:F1701" si="297">"+"</f>
        <v>+</v>
      </c>
      <c r="G1699" t="str">
        <f>"+"</f>
        <v>+</v>
      </c>
      <c r="H1699" t="str">
        <f>"40817810016991470528"</f>
        <v>40817810016991470528</v>
      </c>
      <c r="I1699" t="str">
        <f>"8599"</f>
        <v>8599</v>
      </c>
      <c r="J1699" t="str">
        <f>"0149"</f>
        <v>0149</v>
      </c>
      <c r="K1699" t="str">
        <f>"16000.00"</f>
        <v>16000.00</v>
      </c>
      <c r="L1699" t="str">
        <f>"641000 ОБЛ КУРГАНСКАЯ П МИШКИНСКИЙ   РП МИШКИНО УЛ ЛЕНИНА д. 28"</f>
        <v>641000 ОБЛ КУРГАНСКАЯ П МИШКИНСКИЙ   РП МИШКИНО УЛ ЛЕНИНА д. 28</v>
      </c>
      <c r="M1699" t="str">
        <f t="shared" si="292"/>
        <v>2019-08-24</v>
      </c>
      <c r="N1699" t="str">
        <f>"МАГАЗИН ПЯТЕРОЧКА"</f>
        <v>МАГАЗИН ПЯТЕРОЧКА</v>
      </c>
      <c r="O1699" t="str">
        <f>"641000"</f>
        <v>641000</v>
      </c>
      <c r="P1699" t="str">
        <f>"ОБЛ КУРГАНСКАЯ"</f>
        <v>ОБЛ КУРГАНСКАЯ</v>
      </c>
      <c r="Q1699" t="str">
        <f>"Р-Н МИШКИНСКИЙ"</f>
        <v>Р-Н МИШКИНСКИЙ</v>
      </c>
      <c r="R1699" t="str">
        <f>""</f>
        <v/>
      </c>
      <c r="S1699" t="str">
        <f>"РП МИШКИНО"</f>
        <v>РП МИШКИНО</v>
      </c>
      <c r="T1699" t="str">
        <f>"УЛ САДОВАЯ"</f>
        <v>УЛ САДОВАЯ</v>
      </c>
      <c r="U1699" s="1" t="str">
        <f>"13"</f>
        <v>13</v>
      </c>
      <c r="V1699" s="1" t="str">
        <f>""</f>
        <v/>
      </c>
      <c r="W1699" s="1" t="str">
        <f>""</f>
        <v/>
      </c>
      <c r="X1699" s="1" t="str">
        <f>""</f>
        <v/>
      </c>
      <c r="Y1699" s="1" t="str">
        <f>"1"</f>
        <v>1</v>
      </c>
      <c r="Z1699" t="str">
        <f>""</f>
        <v/>
      </c>
      <c r="AA1699" t="str">
        <f>"9195858755"</f>
        <v>9195858755</v>
      </c>
      <c r="AB1699" t="str">
        <f>"9195858755"</f>
        <v>9195858755</v>
      </c>
      <c r="AC1699" t="str">
        <f>"9195797269"</f>
        <v>9195797269</v>
      </c>
      <c r="AD1699" t="str">
        <f>"9195858755"</f>
        <v>9195858755</v>
      </c>
      <c r="AE1699" t="str">
        <f>""</f>
        <v/>
      </c>
    </row>
    <row r="1700" spans="1:31" x14ac:dyDescent="0.45">
      <c r="A1700" t="str">
        <f>"МАКСЮТОВА РАЗИЛЯ РАВИЛЕВНА"</f>
        <v>МАКСЮТОВА РАЗИЛЯ РАВИЛЕВНА</v>
      </c>
      <c r="B1700" t="str">
        <f>"1984-06-20"</f>
        <v>1984-06-20</v>
      </c>
      <c r="C1700" t="str">
        <f>"80 07 430170"</f>
        <v>80 07 430170</v>
      </c>
      <c r="D1700" t="str">
        <f>"4854630408412164"</f>
        <v>4854630408412164</v>
      </c>
      <c r="E1700" t="str">
        <f>"2021-04-30"</f>
        <v>2021-04-30</v>
      </c>
      <c r="F1700" t="str">
        <f t="shared" si="297"/>
        <v>+</v>
      </c>
      <c r="G1700" t="str">
        <f>"+"</f>
        <v>+</v>
      </c>
      <c r="H1700" t="str">
        <f>"40817810516991470552"</f>
        <v>40817810516991470552</v>
      </c>
      <c r="I1700" t="str">
        <f>"8598"</f>
        <v>8598</v>
      </c>
      <c r="J1700" t="str">
        <f>"0695"</f>
        <v>0695</v>
      </c>
      <c r="K1700" t="str">
        <f>"100000.00"</f>
        <v>100000.00</v>
      </c>
      <c r="L1700" t="str">
        <f>"450000 ОБЛ ТЮМЕНСКАЯ   Г ГУБКИНСКИЙ   УЛ ПАНЕЛЬ 11 д. 10"</f>
        <v>450000 ОБЛ ТЮМЕНСКАЯ   Г ГУБКИНСКИЙ   УЛ ПАНЕЛЬ 11 д. 10</v>
      </c>
      <c r="M1700" t="str">
        <f t="shared" si="292"/>
        <v>2019-08-24</v>
      </c>
      <c r="N1700" t="str">
        <f>"ОАО НЕФТЕГАЗОВАЯ КОРПОРАЦИЯ ЧЖУНМАНЬ"</f>
        <v>ОАО НЕФТЕГАЗОВАЯ КОРПОРАЦИЯ ЧЖУНМАНЬ</v>
      </c>
      <c r="O1700" t="str">
        <f>"450000"</f>
        <v>450000</v>
      </c>
      <c r="P1700" t="str">
        <f>"РЕСП БАШКОРТОСТАН"</f>
        <v>РЕСП БАШКОРТОСТАН</v>
      </c>
      <c r="Q1700" t="str">
        <f>"Р-Н КУЮРГАЗИНСКИЙ"</f>
        <v>Р-Н КУЮРГАЗИНСКИЙ</v>
      </c>
      <c r="R1700" t="str">
        <f>""</f>
        <v/>
      </c>
      <c r="S1700" t="str">
        <f>"С НОВОМУРАПТАЛОВО"</f>
        <v>С НОВОМУРАПТАЛОВО</v>
      </c>
      <c r="T1700" t="str">
        <f>"УЛ КАЛИНИНА"</f>
        <v>УЛ КАЛИНИНА</v>
      </c>
      <c r="U1700" s="1" t="str">
        <f>"2"</f>
        <v>2</v>
      </c>
      <c r="V1700" s="1" t="str">
        <f>""</f>
        <v/>
      </c>
      <c r="W1700" s="1" t="str">
        <f>""</f>
        <v/>
      </c>
      <c r="X1700" s="1" t="str">
        <f>""</f>
        <v/>
      </c>
      <c r="Y1700" s="1" t="str">
        <f>"4"</f>
        <v>4</v>
      </c>
      <c r="Z1700" t="str">
        <f>""</f>
        <v/>
      </c>
      <c r="AA1700" t="str">
        <f>"9068862540"</f>
        <v>9068862540</v>
      </c>
      <c r="AB1700" t="str">
        <f>"9068862540"</f>
        <v>9068862540</v>
      </c>
      <c r="AC1700" t="str">
        <f>"9677452372"</f>
        <v>9677452372</v>
      </c>
      <c r="AD1700" t="str">
        <f>"9068862540"</f>
        <v>9068862540</v>
      </c>
      <c r="AE1700" t="str">
        <f>""</f>
        <v/>
      </c>
    </row>
    <row r="1701" spans="1:31" x14ac:dyDescent="0.45">
      <c r="A1701" t="str">
        <f>"РАССАДНИКОВ ВЯЧЕСЛАВ НИКОЛАЕВИЧ"</f>
        <v>РАССАДНИКОВ ВЯЧЕСЛАВ НИКОЛАЕВИЧ</v>
      </c>
      <c r="B1701" t="str">
        <f>"1966-03-21"</f>
        <v>1966-03-21</v>
      </c>
      <c r="C1701" t="str">
        <f>"75 10 902774"</f>
        <v>75 10 902774</v>
      </c>
      <c r="D1701" t="str">
        <f>"4854630323472335"</f>
        <v>4854630323472335</v>
      </c>
      <c r="E1701" t="str">
        <f>"2021-05-31"</f>
        <v>2021-05-31</v>
      </c>
      <c r="F1701" t="str">
        <f t="shared" si="297"/>
        <v>+</v>
      </c>
      <c r="G1701" t="str">
        <f>"+"</f>
        <v>+</v>
      </c>
      <c r="H1701" t="str">
        <f>"40817810816991470553"</f>
        <v>40817810816991470553</v>
      </c>
      <c r="I1701" t="str">
        <f>"8597"</f>
        <v>8597</v>
      </c>
      <c r="J1701" t="str">
        <f>"0266"</f>
        <v>0266</v>
      </c>
      <c r="K1701" t="str">
        <f>"165000.00"</f>
        <v>165000.00</v>
      </c>
      <c r="L1701" t="str">
        <f>"454000 ОБЛ ЧЕЛЯБИНСКАЯ   Г ЧЕЛЯБИНСК   УЛ ЮЖНЫЙ БУЛЬВАР д. 27 корп. А"</f>
        <v>454000 ОБЛ ЧЕЛЯБИНСКАЯ   Г ЧЕЛЯБИНСК   УЛ ЮЖНЫЙ БУЛЬВАР д. 27 корп. А</v>
      </c>
      <c r="M1701" t="str">
        <f t="shared" si="292"/>
        <v>2019-08-24</v>
      </c>
      <c r="N1701" t="str">
        <f>"ФКУ ФУ ВО МФ"</f>
        <v>ФКУ ФУ ВО МФ</v>
      </c>
      <c r="O1701" t="str">
        <f>"454000"</f>
        <v>454000</v>
      </c>
      <c r="P1701" t="str">
        <f>"ОБЛ ЧЕЛЯБИНСКАЯ"</f>
        <v>ОБЛ ЧЕЛЯБИНСКАЯ</v>
      </c>
      <c r="Q1701" t="str">
        <f>""</f>
        <v/>
      </c>
      <c r="R1701" t="str">
        <f>"Г ЧЕЛЯБИНСК"</f>
        <v>Г ЧЕЛЯБИНСК</v>
      </c>
      <c r="S1701" t="str">
        <f>""</f>
        <v/>
      </c>
      <c r="T1701" t="str">
        <f>"УЛ СЕДОВЦЕВА"</f>
        <v>УЛ СЕДОВЦЕВА</v>
      </c>
      <c r="U1701" s="1" t="str">
        <f>"21"</f>
        <v>21</v>
      </c>
      <c r="V1701" s="1" t="str">
        <f>""</f>
        <v/>
      </c>
      <c r="W1701" s="1" t="str">
        <f>""</f>
        <v/>
      </c>
      <c r="X1701" s="1" t="str">
        <f>""</f>
        <v/>
      </c>
      <c r="Y1701" s="1" t="str">
        <f>""</f>
        <v/>
      </c>
      <c r="Z1701" t="str">
        <f>"2549920"</f>
        <v>2549920</v>
      </c>
      <c r="AA1701" t="str">
        <f>"3519036063"</f>
        <v>3519036063</v>
      </c>
      <c r="AB1701" t="str">
        <f>"3519036063"</f>
        <v>3519036063</v>
      </c>
      <c r="AC1701" t="str">
        <f>"3519036063"</f>
        <v>3519036063</v>
      </c>
      <c r="AD1701" t="str">
        <f>"3519036063"</f>
        <v>3519036063</v>
      </c>
      <c r="AE1701" t="str">
        <f>""</f>
        <v/>
      </c>
    </row>
    <row r="1702" spans="1:31" x14ac:dyDescent="0.45">
      <c r="A1702" t="str">
        <f>"ВАСИЛЬЕВА ОЛЬГА ВИКТОРОВНА"</f>
        <v>ВАСИЛЬЕВА ОЛЬГА ВИКТОРОВНА</v>
      </c>
      <c r="B1702" t="str">
        <f>"1972-05-30"</f>
        <v>1972-05-30</v>
      </c>
      <c r="C1702" t="str">
        <f>"75 17 941600"</f>
        <v>75 17 941600</v>
      </c>
      <c r="D1702" t="str">
        <f>"4854630221937892"</f>
        <v>4854630221937892</v>
      </c>
      <c r="E1702" t="str">
        <f>"2021-04-30"</f>
        <v>2021-04-30</v>
      </c>
      <c r="F1702" t="str">
        <f>"K"</f>
        <v>K</v>
      </c>
      <c r="G1702" t="str">
        <f>"+"</f>
        <v>+</v>
      </c>
      <c r="H1702" t="str">
        <f>"40817810116991470554"</f>
        <v>40817810116991470554</v>
      </c>
      <c r="I1702" t="str">
        <f>"8597"</f>
        <v>8597</v>
      </c>
      <c r="J1702" t="str">
        <f>"0527"</f>
        <v>0527</v>
      </c>
      <c r="K1702" t="str">
        <f>"50000.00"</f>
        <v>50000.00</v>
      </c>
      <c r="L1702" t="str">
        <f>"454000 ОБЛ ЧЕЛЯБИНСКАЯ   Г МИАСС   УЛ Б ХМЕЛЬНИЦКОГО д. 22 кв. 39"</f>
        <v>454000 ОБЛ ЧЕЛЯБИНСКАЯ   Г МИАСС   УЛ Б ХМЕЛЬНИЦКОГО д. 22 кв. 39</v>
      </c>
      <c r="M1702" t="str">
        <f t="shared" si="292"/>
        <v>2019-08-24</v>
      </c>
      <c r="N1702" t="str">
        <f>"ДОМОХОЗЯЙКА"</f>
        <v>ДОМОХОЗЯЙКА</v>
      </c>
      <c r="O1702" t="str">
        <f>"454000"</f>
        <v>454000</v>
      </c>
      <c r="P1702" t="str">
        <f>"ОБЛ ЧЕЛЯБИНСКАЯ"</f>
        <v>ОБЛ ЧЕЛЯБИНСКАЯ</v>
      </c>
      <c r="Q1702" t="str">
        <f>""</f>
        <v/>
      </c>
      <c r="R1702" t="str">
        <f>"Г МИАСС"</f>
        <v>Г МИАСС</v>
      </c>
      <c r="S1702" t="str">
        <f>""</f>
        <v/>
      </c>
      <c r="T1702" t="str">
        <f>"УЛ ПОПОВА"</f>
        <v>УЛ ПОПОВА</v>
      </c>
      <c r="U1702" s="1" t="str">
        <f>"6"</f>
        <v>6</v>
      </c>
      <c r="V1702" s="1" t="str">
        <f>""</f>
        <v/>
      </c>
      <c r="W1702" s="1" t="str">
        <f>""</f>
        <v/>
      </c>
      <c r="X1702" s="1" t="str">
        <f>""</f>
        <v/>
      </c>
      <c r="Y1702" s="1" t="str">
        <f>"129"</f>
        <v>129</v>
      </c>
      <c r="Z1702" t="str">
        <f>"9000728185"</f>
        <v>9000728185</v>
      </c>
      <c r="AA1702" t="str">
        <f>"9000728185"</f>
        <v>9000728185</v>
      </c>
      <c r="AB1702" t="str">
        <f>"9000728185"</f>
        <v>9000728185</v>
      </c>
      <c r="AC1702" t="str">
        <f>"9000728185"</f>
        <v>9000728185</v>
      </c>
      <c r="AD1702" t="str">
        <f>"9000728185"</f>
        <v>9000728185</v>
      </c>
      <c r="AE1702" t="str">
        <f>"9000728185"</f>
        <v>9000728185</v>
      </c>
    </row>
    <row r="1703" spans="1:31" x14ac:dyDescent="0.45">
      <c r="A1703" t="str">
        <f>"РОМАНЧУК ЮЛИЯ ЮРЬЕВНА"</f>
        <v>РОМАНЧУК ЮЛИЯ ЮРЬЕВНА</v>
      </c>
      <c r="B1703" t="str">
        <f>"1984-02-14"</f>
        <v>1984-02-14</v>
      </c>
      <c r="C1703" t="str">
        <f>"75 04 287833"</f>
        <v>75 04 287833</v>
      </c>
      <c r="D1703" t="str">
        <f>"5313100690903512"</f>
        <v>5313100690903512</v>
      </c>
      <c r="E1703" t="str">
        <f>"2020-10-31"</f>
        <v>2020-10-31</v>
      </c>
      <c r="F1703" t="str">
        <f>"+"</f>
        <v>+</v>
      </c>
      <c r="G1703" t="str">
        <f>"+"</f>
        <v>+</v>
      </c>
      <c r="H1703" t="str">
        <f>"40817810416991470555"</f>
        <v>40817810416991470555</v>
      </c>
      <c r="I1703" t="str">
        <f>"8597"</f>
        <v>8597</v>
      </c>
      <c r="J1703" t="str">
        <f>"0472"</f>
        <v>0472</v>
      </c>
      <c r="K1703" t="str">
        <f>"50000.00"</f>
        <v>50000.00</v>
      </c>
      <c r="L1703" t="str">
        <f>"454000 ОБЛ ЧЕЛЯБИНСКАЯ   Г КОРКИНО     д. 0 кв. 0"</f>
        <v>454000 ОБЛ ЧЕЛЯБИНСКАЯ   Г КОРКИНО     д. 0 кв. 0</v>
      </c>
      <c r="M1703" t="str">
        <f t="shared" si="292"/>
        <v>2019-08-24</v>
      </c>
      <c r="N1703" t="str">
        <f>"НОВАТЭК"</f>
        <v>НОВАТЭК</v>
      </c>
      <c r="O1703" t="str">
        <f>"454000"</f>
        <v>454000</v>
      </c>
      <c r="P1703" t="str">
        <f>"ОБЛ ЧЕЛЯБИНСКАЯ"</f>
        <v>ОБЛ ЧЕЛЯБИНСКАЯ</v>
      </c>
      <c r="Q1703" t="str">
        <f>""</f>
        <v/>
      </c>
      <c r="R1703" t="str">
        <f>"Г КОРКИНО"</f>
        <v>Г КОРКИНО</v>
      </c>
      <c r="S1703" t="str">
        <f>"П РОЗА"</f>
        <v>П РОЗА</v>
      </c>
      <c r="T1703" t="str">
        <f>"ПЕР ЩОРСА"</f>
        <v>ПЕР ЩОРСА</v>
      </c>
      <c r="U1703" s="1" t="str">
        <f>"15"</f>
        <v>15</v>
      </c>
      <c r="V1703" s="1" t="str">
        <f>""</f>
        <v/>
      </c>
      <c r="W1703" s="1" t="str">
        <f>""</f>
        <v/>
      </c>
      <c r="X1703" s="1" t="str">
        <f>""</f>
        <v/>
      </c>
      <c r="Y1703" s="1" t="str">
        <f>""</f>
        <v/>
      </c>
      <c r="Z1703" t="str">
        <f>""</f>
        <v/>
      </c>
      <c r="AA1703" t="str">
        <f>"9517721266"</f>
        <v>9517721266</v>
      </c>
      <c r="AB1703" t="str">
        <f>"9517721266"</f>
        <v>9517721266</v>
      </c>
      <c r="AC1703" t="str">
        <f>"9507212066"</f>
        <v>9507212066</v>
      </c>
      <c r="AD1703" t="str">
        <f>"9517721266"</f>
        <v>9517721266</v>
      </c>
      <c r="AE1703" t="str">
        <f>""</f>
        <v/>
      </c>
    </row>
    <row r="1704" spans="1:31" x14ac:dyDescent="0.45">
      <c r="A1704" t="str">
        <f>"ПРИДАННИКОВА НАТАЛЬЯ НИКОЛАЕВНА"</f>
        <v>ПРИДАННИКОВА НАТАЛЬЯ НИКОЛАЕВНА</v>
      </c>
      <c r="B1704" t="str">
        <f>"1969-03-02"</f>
        <v>1969-03-02</v>
      </c>
      <c r="C1704" t="str">
        <f>"75 14 451178"</f>
        <v>75 14 451178</v>
      </c>
      <c r="D1704" t="str">
        <f>"4854630420784509"</f>
        <v>4854630420784509</v>
      </c>
      <c r="E1704" t="str">
        <f>"2021-04-30"</f>
        <v>2021-04-30</v>
      </c>
      <c r="F1704" t="str">
        <f>"K"</f>
        <v>K</v>
      </c>
      <c r="G1704" t="str">
        <f>"W"</f>
        <v>W</v>
      </c>
      <c r="H1704" t="str">
        <f>"40817810716991470556"</f>
        <v>40817810716991470556</v>
      </c>
      <c r="I1704" t="str">
        <f>"8597"</f>
        <v>8597</v>
      </c>
      <c r="J1704" t="str">
        <f>"0275"</f>
        <v>0275</v>
      </c>
      <c r="K1704" t="str">
        <f>"35195.05"</f>
        <v>35195.05</v>
      </c>
      <c r="L1704" t="str">
        <f>"454000 ОБЛ ЧЕЛЯБИНСКАЯ   Г ЧЕЛЯБИНСК   ПЛ МОПРА д. 8"</f>
        <v>454000 ОБЛ ЧЕЛЯБИНСКАЯ   Г ЧЕЛЯБИНСК   ПЛ МОПРА д. 8</v>
      </c>
      <c r="M1704" t="str">
        <f t="shared" si="292"/>
        <v>2019-08-24</v>
      </c>
      <c r="N1704" t="str">
        <f>"ЦЕНТРАЛЬНЫЙ РЫНОК"</f>
        <v>ЦЕНТРАЛЬНЫЙ РЫНОК</v>
      </c>
      <c r="O1704" t="str">
        <f>"454000"</f>
        <v>454000</v>
      </c>
      <c r="P1704" t="str">
        <f>"ОБЛ ЧЕЛЯБИНСКАЯ"</f>
        <v>ОБЛ ЧЕЛЯБИНСКАЯ</v>
      </c>
      <c r="Q1704" t="str">
        <f>""</f>
        <v/>
      </c>
      <c r="R1704" t="str">
        <f>"Г ЧЕЛЯБИНСК"</f>
        <v>Г ЧЕЛЯБИНСК</v>
      </c>
      <c r="S1704" t="str">
        <f>""</f>
        <v/>
      </c>
      <c r="T1704" t="str">
        <f>"УЛ МОЛОДОГВАРДЕЙЦЕВ"</f>
        <v>УЛ МОЛОДОГВАРДЕЙЦЕВ</v>
      </c>
      <c r="U1704" s="1" t="str">
        <f>"66Б"</f>
        <v>66Б</v>
      </c>
      <c r="V1704" s="1" t="str">
        <f>""</f>
        <v/>
      </c>
      <c r="W1704" s="1" t="str">
        <f>""</f>
        <v/>
      </c>
      <c r="X1704" s="1" t="str">
        <f>""</f>
        <v/>
      </c>
      <c r="Y1704" s="1" t="str">
        <f>"98"</f>
        <v>98</v>
      </c>
      <c r="Z1704" t="str">
        <f>"3515826145"</f>
        <v>3515826145</v>
      </c>
      <c r="AA1704" t="str">
        <f>"9507331079"</f>
        <v>9507331079</v>
      </c>
      <c r="AB1704" t="str">
        <f>"9507331079"</f>
        <v>9507331079</v>
      </c>
      <c r="AC1704" t="str">
        <f>"9507331079"</f>
        <v>9507331079</v>
      </c>
      <c r="AD1704" t="str">
        <f>"9507331079"</f>
        <v>9507331079</v>
      </c>
      <c r="AE1704" t="str">
        <f>""</f>
        <v/>
      </c>
    </row>
    <row r="1705" spans="1:31" x14ac:dyDescent="0.45">
      <c r="A1705" t="str">
        <f>"ОСТАНИНА ЕКАТЕРИНА АЛЕКСАНДРОВНА"</f>
        <v>ОСТАНИНА ЕКАТЕРИНА АЛЕКСАНДРОВНА</v>
      </c>
      <c r="B1705" t="str">
        <f>"1989-10-22"</f>
        <v>1989-10-22</v>
      </c>
      <c r="C1705" t="str">
        <f>"75 10 810473"</f>
        <v>75 10 810473</v>
      </c>
      <c r="D1705" t="str">
        <f>"4854630324576555"</f>
        <v>4854630324576555</v>
      </c>
      <c r="E1705" t="str">
        <f>"2021-05-31"</f>
        <v>2021-05-31</v>
      </c>
      <c r="F1705" t="str">
        <f t="shared" ref="F1705:G1707" si="298">"+"</f>
        <v>+</v>
      </c>
      <c r="G1705" t="str">
        <f t="shared" si="298"/>
        <v>+</v>
      </c>
      <c r="H1705" t="str">
        <f>"40817810016991470557"</f>
        <v>40817810016991470557</v>
      </c>
      <c r="I1705" t="str">
        <f>"8597"</f>
        <v>8597</v>
      </c>
      <c r="J1705" t="str">
        <f>"0294"</f>
        <v>0294</v>
      </c>
      <c r="K1705" t="str">
        <f>"130000.00"</f>
        <v>130000.00</v>
      </c>
      <c r="L1705" t="str">
        <f>"454000 ОБЛ ЧЕЛЯБИНСКАЯ   Г ЧЕЛЯБИНСК   УЛ ЭНГЕЛЬСА д. 43"</f>
        <v>454000 ОБЛ ЧЕЛЯБИНСКАЯ   Г ЧЕЛЯБИНСК   УЛ ЭНГЕЛЬСА д. 43</v>
      </c>
      <c r="M1705" t="str">
        <f t="shared" si="292"/>
        <v>2019-08-24</v>
      </c>
      <c r="N1705" t="str">
        <f>"ООО АТЛАНТ"</f>
        <v>ООО АТЛАНТ</v>
      </c>
      <c r="O1705" t="str">
        <f>"454030"</f>
        <v>454030</v>
      </c>
      <c r="P1705" t="str">
        <f>"ОБЛ ЧЕЛЯБИНСКАЯ"</f>
        <v>ОБЛ ЧЕЛЯБИНСКАЯ</v>
      </c>
      <c r="Q1705" t="str">
        <f>""</f>
        <v/>
      </c>
      <c r="R1705" t="str">
        <f>"Г ЧЕЛЯБИНСК"</f>
        <v>Г ЧЕЛЯБИНСК</v>
      </c>
      <c r="S1705" t="str">
        <f>""</f>
        <v/>
      </c>
      <c r="T1705" t="str">
        <f>"УЛ ГЕНЕРАЛА МАРТЫНОВА"</f>
        <v>УЛ ГЕНЕРАЛА МАРТЫНОВА</v>
      </c>
      <c r="U1705" s="1" t="str">
        <f>"5"</f>
        <v>5</v>
      </c>
      <c r="V1705" s="1" t="str">
        <f>""</f>
        <v/>
      </c>
      <c r="W1705" s="1" t="str">
        <f>""</f>
        <v/>
      </c>
      <c r="X1705" s="1" t="str">
        <f>""</f>
        <v/>
      </c>
      <c r="Y1705" s="1" t="str">
        <f>"4"</f>
        <v>4</v>
      </c>
      <c r="Z1705" t="str">
        <f>""</f>
        <v/>
      </c>
      <c r="AA1705" t="str">
        <f>"9193373662"</f>
        <v>9193373662</v>
      </c>
      <c r="AB1705" t="str">
        <f>"9322075159"</f>
        <v>9322075159</v>
      </c>
      <c r="AC1705" t="str">
        <f>"9193373662"</f>
        <v>9193373662</v>
      </c>
      <c r="AD1705" t="str">
        <f>"9322075159"</f>
        <v>9322075159</v>
      </c>
      <c r="AE1705" t="str">
        <f>""</f>
        <v/>
      </c>
    </row>
    <row r="1706" spans="1:31" x14ac:dyDescent="0.45">
      <c r="A1706" t="str">
        <f>"АШМАРИНА ЕЛЕНА НИКОЛАЕВНА"</f>
        <v>АШМАРИНА ЕЛЕНА НИКОЛАЕВНА</v>
      </c>
      <c r="B1706" t="str">
        <f>"1964-06-02"</f>
        <v>1964-06-02</v>
      </c>
      <c r="C1706" t="str">
        <f>"37 08 314389"</f>
        <v>37 08 314389</v>
      </c>
      <c r="D1706" t="str">
        <f>"4854630408574864"</f>
        <v>4854630408574864</v>
      </c>
      <c r="E1706" t="str">
        <f t="shared" ref="E1706:E1711" si="299">"2021-04-30"</f>
        <v>2021-04-30</v>
      </c>
      <c r="F1706" t="str">
        <f t="shared" si="298"/>
        <v>+</v>
      </c>
      <c r="G1706" t="str">
        <f t="shared" si="298"/>
        <v>+</v>
      </c>
      <c r="H1706" t="str">
        <f>"40817810216991470551"</f>
        <v>40817810216991470551</v>
      </c>
      <c r="I1706" t="str">
        <f>"8599"</f>
        <v>8599</v>
      </c>
      <c r="J1706" t="str">
        <f>"0159"</f>
        <v>0159</v>
      </c>
      <c r="K1706" t="str">
        <f>"100000.00"</f>
        <v>100000.00</v>
      </c>
      <c r="L1706" t="str">
        <f>"641000 ОБЛ КУРГАНСКАЯ Р-Н ЩУЧАНСКИЙ Г ЩУЧЬЕ   УЛ СОВЕТСКАЯ д. 7"</f>
        <v>641000 ОБЛ КУРГАНСКАЯ Р-Н ЩУЧАНСКИЙ Г ЩУЧЬЕ   УЛ СОВЕТСКАЯ д. 7</v>
      </c>
      <c r="M1706" t="str">
        <f t="shared" si="292"/>
        <v>2019-08-24</v>
      </c>
      <c r="N1706" t="str">
        <f>"ПЕНСИОНЕР"</f>
        <v>ПЕНСИОНЕР</v>
      </c>
      <c r="O1706" t="str">
        <f>"641000"</f>
        <v>641000</v>
      </c>
      <c r="P1706" t="str">
        <f>"ОБЛ КУРГАНСКАЯ"</f>
        <v>ОБЛ КУРГАНСКАЯ</v>
      </c>
      <c r="Q1706" t="str">
        <f>"Р-Н ЩУЧАНСКИЙ"</f>
        <v>Р-Н ЩУЧАНСКИЙ</v>
      </c>
      <c r="R1706" t="str">
        <f>""</f>
        <v/>
      </c>
      <c r="S1706" t="str">
        <f>"С БЕЛОЯРСКОЕ"</f>
        <v>С БЕЛОЯРСКОЕ</v>
      </c>
      <c r="T1706" t="str">
        <f>"УЛ ДМИТРИЕВА"</f>
        <v>УЛ ДМИТРИЕВА</v>
      </c>
      <c r="U1706" s="1" t="str">
        <f>"104"</f>
        <v>104</v>
      </c>
      <c r="V1706" s="1" t="str">
        <f>""</f>
        <v/>
      </c>
      <c r="W1706" s="1" t="str">
        <f>""</f>
        <v/>
      </c>
      <c r="X1706" s="1" t="str">
        <f>""</f>
        <v/>
      </c>
      <c r="Y1706" s="1" t="str">
        <f>"1"</f>
        <v>1</v>
      </c>
      <c r="Z1706" t="str">
        <f>""</f>
        <v/>
      </c>
      <c r="AA1706" t="str">
        <f>"9323169047"</f>
        <v>9323169047</v>
      </c>
      <c r="AB1706" t="str">
        <f>"9323169047"</f>
        <v>9323169047</v>
      </c>
      <c r="AC1706" t="str">
        <f>"9323169047"</f>
        <v>9323169047</v>
      </c>
      <c r="AD1706" t="str">
        <f>"9323169047"</f>
        <v>9323169047</v>
      </c>
      <c r="AE1706" t="str">
        <f>""</f>
        <v/>
      </c>
    </row>
    <row r="1707" spans="1:31" x14ac:dyDescent="0.45">
      <c r="A1707" t="str">
        <f>"КУЛИКОВА ЛЮДМИЛА ИВАНОВНА"</f>
        <v>КУЛИКОВА ЛЮДМИЛА ИВАНОВНА</v>
      </c>
      <c r="B1707" t="str">
        <f>"1957-03-31"</f>
        <v>1957-03-31</v>
      </c>
      <c r="C1707" t="str">
        <f>"75 02 582384"</f>
        <v>75 02 582384</v>
      </c>
      <c r="D1707" t="str">
        <f>"4854630221476289"</f>
        <v>4854630221476289</v>
      </c>
      <c r="E1707" t="str">
        <f t="shared" si="299"/>
        <v>2021-04-30</v>
      </c>
      <c r="F1707" t="str">
        <f t="shared" si="298"/>
        <v>+</v>
      </c>
      <c r="G1707" t="str">
        <f t="shared" si="298"/>
        <v>+</v>
      </c>
      <c r="H1707" t="str">
        <f>"40817810716991430619"</f>
        <v>40817810716991430619</v>
      </c>
      <c r="I1707" t="str">
        <f>"8597"</f>
        <v>8597</v>
      </c>
      <c r="J1707" t="str">
        <f>"0521"</f>
        <v>0521</v>
      </c>
      <c r="K1707" t="str">
        <f>"150000.00"</f>
        <v>150000.00</v>
      </c>
      <c r="L1707" t="str">
        <f>"454000 ОБЛ ЧЕЛЯБИНСКАЯ   Г МИАСС   УЛ ОКТЯБРЯ д. 49 кв. 84"</f>
        <v>454000 ОБЛ ЧЕЛЯБИНСКАЯ   Г МИАСС   УЛ ОКТЯБРЯ д. 49 кв. 84</v>
      </c>
      <c r="M1707" t="str">
        <f t="shared" si="292"/>
        <v>2019-08-24</v>
      </c>
      <c r="N1707" t="str">
        <f>"ПФР"</f>
        <v>ПФР</v>
      </c>
      <c r="O1707" t="str">
        <f>"454000"</f>
        <v>454000</v>
      </c>
      <c r="P1707" t="str">
        <f>"ОБЛ ЧЕЛЯБИНСКАЯ"</f>
        <v>ОБЛ ЧЕЛЯБИНСКАЯ</v>
      </c>
      <c r="Q1707" t="str">
        <f>""</f>
        <v/>
      </c>
      <c r="R1707" t="str">
        <f>"Г МИАСС"</f>
        <v>Г МИАСС</v>
      </c>
      <c r="S1707" t="str">
        <f>""</f>
        <v/>
      </c>
      <c r="T1707" t="str">
        <f>"УЛ ОКТЯБРЯ"</f>
        <v>УЛ ОКТЯБРЯ</v>
      </c>
      <c r="U1707" s="1" t="str">
        <f>"49"</f>
        <v>49</v>
      </c>
      <c r="V1707" s="1" t="str">
        <f>""</f>
        <v/>
      </c>
      <c r="W1707" s="1" t="str">
        <f>""</f>
        <v/>
      </c>
      <c r="X1707" s="1" t="str">
        <f>""</f>
        <v/>
      </c>
      <c r="Y1707" s="1" t="str">
        <f>"84"</f>
        <v>84</v>
      </c>
      <c r="Z1707" t="str">
        <f>"3513551198"</f>
        <v>3513551198</v>
      </c>
      <c r="AA1707" t="str">
        <f>"9629265361"</f>
        <v>9629265361</v>
      </c>
      <c r="AB1707" t="str">
        <f>"9854222555"</f>
        <v>9854222555</v>
      </c>
      <c r="AC1707" t="str">
        <f>"9854222555"</f>
        <v>9854222555</v>
      </c>
      <c r="AD1707" t="str">
        <f>"9854222555"</f>
        <v>9854222555</v>
      </c>
      <c r="AE1707" t="str">
        <f>""</f>
        <v/>
      </c>
    </row>
    <row r="1708" spans="1:31" x14ac:dyDescent="0.45">
      <c r="A1708" t="str">
        <f>"ИСАНГАЗИНА САЛИДА ИДРИСОВНА"</f>
        <v>ИСАНГАЗИНА САЛИДА ИДРИСОВНА</v>
      </c>
      <c r="B1708" t="str">
        <f>"1995-10-06"</f>
        <v>1995-10-06</v>
      </c>
      <c r="C1708" t="str">
        <f>"80 15 272566"</f>
        <v>80 15 272566</v>
      </c>
      <c r="D1708" t="str">
        <f>"4854630274825580"</f>
        <v>4854630274825580</v>
      </c>
      <c r="E1708" t="str">
        <f t="shared" si="299"/>
        <v>2021-04-30</v>
      </c>
      <c r="F1708" t="str">
        <f>"M"</f>
        <v>M</v>
      </c>
      <c r="G1708" t="str">
        <f>"+"</f>
        <v>+</v>
      </c>
      <c r="H1708" t="str">
        <f>"40817810516991430631"</f>
        <v>40817810516991430631</v>
      </c>
      <c r="I1708" t="str">
        <f>"8598"</f>
        <v>8598</v>
      </c>
      <c r="J1708" t="str">
        <f>"0018"</f>
        <v>0018</v>
      </c>
      <c r="K1708" t="str">
        <f>"28000.00"</f>
        <v>28000.00</v>
      </c>
      <c r="L1708" t="str">
        <f>"450000 РЕСП БАШКОРТОСТАН   Г УФА   УЛ ЦЕНТРАЛЬНАЯ д. 57"</f>
        <v>450000 РЕСП БАШКОРТОСТАН   Г УФА   УЛ ЦЕНТРАЛЬНАЯ д. 57</v>
      </c>
      <c r="M1708" t="str">
        <f t="shared" si="292"/>
        <v>2019-08-24</v>
      </c>
      <c r="N1708" t="str">
        <f>"ООО БАШДИЗЕЛЬ"</f>
        <v>ООО БАШДИЗЕЛЬ</v>
      </c>
      <c r="O1708" t="str">
        <f>"450000"</f>
        <v>450000</v>
      </c>
      <c r="P1708" t="str">
        <f>"РЕСП БАШКОРТОСТАН"</f>
        <v>РЕСП БАШКОРТОСТАН</v>
      </c>
      <c r="Q1708" t="str">
        <f>"Р-Н ЗИЛАИРСКИЙ"</f>
        <v>Р-Н ЗИЛАИРСКИЙ</v>
      </c>
      <c r="R1708" t="str">
        <f>""</f>
        <v/>
      </c>
      <c r="S1708" t="str">
        <f>"Д КЫЗЛАР-БИРГАН"</f>
        <v>Д КЫЗЛАР-БИРГАН</v>
      </c>
      <c r="T1708" t="str">
        <f>"УЛ ЛЕСНАЯ"</f>
        <v>УЛ ЛЕСНАЯ</v>
      </c>
      <c r="U1708" s="1" t="str">
        <f>"20"</f>
        <v>20</v>
      </c>
      <c r="V1708" s="1" t="str">
        <f>""</f>
        <v/>
      </c>
      <c r="W1708" s="1" t="str">
        <f>""</f>
        <v/>
      </c>
      <c r="X1708" s="1" t="str">
        <f>""</f>
        <v/>
      </c>
      <c r="Y1708" s="1" t="str">
        <f>"2"</f>
        <v>2</v>
      </c>
      <c r="Z1708" t="str">
        <f>"9991300906"</f>
        <v>9991300906</v>
      </c>
      <c r="AA1708" t="str">
        <f>"9991300906"</f>
        <v>9991300906</v>
      </c>
      <c r="AB1708" t="str">
        <f>"9991300906"</f>
        <v>9991300906</v>
      </c>
      <c r="AC1708" t="str">
        <f>"9991300906"</f>
        <v>9991300906</v>
      </c>
      <c r="AD1708" t="str">
        <f>"9991300906"</f>
        <v>9991300906</v>
      </c>
      <c r="AE1708" t="str">
        <f>"9991300906"</f>
        <v>9991300906</v>
      </c>
    </row>
    <row r="1709" spans="1:31" x14ac:dyDescent="0.45">
      <c r="A1709" t="str">
        <f>"ПЛЮХИН АЛЕКСАНДР ЮРЬЕВИЧ"</f>
        <v>ПЛЮХИН АЛЕКСАНДР ЮРЬЕВИЧ</v>
      </c>
      <c r="B1709" t="str">
        <f>"1975-09-30"</f>
        <v>1975-09-30</v>
      </c>
      <c r="C1709" t="str">
        <f>"75 06 018975"</f>
        <v>75 06 018975</v>
      </c>
      <c r="D1709" t="str">
        <f>"4854630223586275"</f>
        <v>4854630223586275</v>
      </c>
      <c r="E1709" t="str">
        <f t="shared" si="299"/>
        <v>2021-04-30</v>
      </c>
      <c r="F1709" t="str">
        <f>"+"</f>
        <v>+</v>
      </c>
      <c r="G1709" t="str">
        <f>"+"</f>
        <v>+</v>
      </c>
      <c r="H1709" t="str">
        <f>"40817810716991442623"</f>
        <v>40817810716991442623</v>
      </c>
      <c r="I1709" t="str">
        <f>"8597"</f>
        <v>8597</v>
      </c>
      <c r="J1709" t="str">
        <f>"0557"</f>
        <v>0557</v>
      </c>
      <c r="K1709" t="str">
        <f>"200000.00"</f>
        <v>200000.00</v>
      </c>
      <c r="L1709" t="str">
        <f>"454000 ОБЛ ЧЕЛЯБИНСКАЯ   Г ЧЕЛЯБИНСК   УЛ ГОРЕЛОВА д. 2"</f>
        <v>454000 ОБЛ ЧЕЛЯБИНСКАЯ   Г ЧЕЛЯБИНСК   УЛ ГОРЕЛОВА д. 2</v>
      </c>
      <c r="M1709" t="str">
        <f t="shared" si="292"/>
        <v>2019-08-24</v>
      </c>
      <c r="N1709" t="str">
        <f>"ПАО ЧКПЗ"</f>
        <v>ПАО ЧКПЗ</v>
      </c>
      <c r="O1709" t="str">
        <f>"454000"</f>
        <v>454000</v>
      </c>
      <c r="P1709" t="str">
        <f>"ОБЛ ЧЕЛЯБИНСКАЯ"</f>
        <v>ОБЛ ЧЕЛЯБИНСКАЯ</v>
      </c>
      <c r="Q1709" t="str">
        <f>""</f>
        <v/>
      </c>
      <c r="R1709" t="str">
        <f>"Г ЧЕЛЯБИНСК"</f>
        <v>Г ЧЕЛЯБИНСК</v>
      </c>
      <c r="S1709" t="str">
        <f>""</f>
        <v/>
      </c>
      <c r="T1709" t="str">
        <f>"УЛ 3 ИНТЕРНАЦИОНАЛА"</f>
        <v>УЛ 3 ИНТЕРНАЦИОНАЛА</v>
      </c>
      <c r="U1709" s="1" t="str">
        <f>"59"</f>
        <v>59</v>
      </c>
      <c r="V1709" s="1" t="str">
        <f>""</f>
        <v/>
      </c>
      <c r="W1709" s="1" t="str">
        <f>""</f>
        <v/>
      </c>
      <c r="X1709" s="1" t="str">
        <f>""</f>
        <v/>
      </c>
      <c r="Y1709" s="1" t="str">
        <f>"66"</f>
        <v>66</v>
      </c>
      <c r="Z1709" t="str">
        <f>""</f>
        <v/>
      </c>
      <c r="AA1709" t="str">
        <f>"9085759615"</f>
        <v>9085759615</v>
      </c>
      <c r="AB1709" t="str">
        <f>"9507357150"</f>
        <v>9507357150</v>
      </c>
      <c r="AC1709" t="str">
        <f>"9514641148"</f>
        <v>9514641148</v>
      </c>
      <c r="AD1709" t="str">
        <f>"9085759615"</f>
        <v>9085759615</v>
      </c>
      <c r="AE1709" t="str">
        <f>""</f>
        <v/>
      </c>
    </row>
    <row r="1710" spans="1:31" x14ac:dyDescent="0.45">
      <c r="A1710" t="str">
        <f>"АЙТУГАНОВ ВИЛЬ КАМИЛОВИЧ"</f>
        <v>АЙТУГАНОВ ВИЛЬ КАМИЛОВИЧ</v>
      </c>
      <c r="B1710" t="str">
        <f>"1991-02-18"</f>
        <v>1991-02-18</v>
      </c>
      <c r="C1710" t="str">
        <f>"80 11 362620"</f>
        <v>80 11 362620</v>
      </c>
      <c r="D1710" t="str">
        <f>"4854630211199339"</f>
        <v>4854630211199339</v>
      </c>
      <c r="E1710" t="str">
        <f t="shared" si="299"/>
        <v>2021-04-30</v>
      </c>
      <c r="F1710" t="str">
        <f>"+"</f>
        <v>+</v>
      </c>
      <c r="G1710" t="str">
        <f>"W"</f>
        <v>W</v>
      </c>
      <c r="H1710" t="str">
        <f>"40817810016991442624"</f>
        <v>40817810016991442624</v>
      </c>
      <c r="I1710" t="str">
        <f>"8598"</f>
        <v>8598</v>
      </c>
      <c r="J1710" t="str">
        <f>"0701"</f>
        <v>0701</v>
      </c>
      <c r="K1710" t="str">
        <f>"60000.00"</f>
        <v>60000.00</v>
      </c>
      <c r="L1710" t="str">
        <f>"453120 РЕСП БАШКОРТОСТАН   Г СТЕРЛИТАМАК   УЛ КОММУНИСТИЧЕСКАЯ д. 85А кв. 403"</f>
        <v>453120 РЕСП БАШКОРТОСТАН   Г СТЕРЛИТАМАК   УЛ КОММУНИСТИЧЕСКАЯ д. 85А кв. 403</v>
      </c>
      <c r="M1710" t="str">
        <f t="shared" si="292"/>
        <v>2019-08-24</v>
      </c>
      <c r="N1710" t="str">
        <f>"СМУ 4"</f>
        <v>СМУ 4</v>
      </c>
      <c r="O1710" t="str">
        <f>"450000"</f>
        <v>450000</v>
      </c>
      <c r="P1710" t="str">
        <f>"РЕСП БАШКОРТОСТАН"</f>
        <v>РЕСП БАШКОРТОСТАН</v>
      </c>
      <c r="Q1710" t="str">
        <f>"Р-Н КУГАРЧИНСКИЙ"</f>
        <v>Р-Н КУГАРЧИНСКИЙ</v>
      </c>
      <c r="R1710" t="str">
        <f>""</f>
        <v/>
      </c>
      <c r="S1710" t="str">
        <f>"Д КАСКИНО"</f>
        <v>Д КАСКИНО</v>
      </c>
      <c r="T1710" t="str">
        <f>"УЛ ШКОЛЬНАЯ"</f>
        <v>УЛ ШКОЛЬНАЯ</v>
      </c>
      <c r="U1710" s="1" t="str">
        <f>"7"</f>
        <v>7</v>
      </c>
      <c r="V1710" s="1" t="str">
        <f>""</f>
        <v/>
      </c>
      <c r="W1710" s="1" t="str">
        <f>""</f>
        <v/>
      </c>
      <c r="X1710" s="1" t="str">
        <f>""</f>
        <v/>
      </c>
      <c r="Y1710" s="1" t="str">
        <f>""</f>
        <v/>
      </c>
      <c r="Z1710" t="str">
        <f>""</f>
        <v/>
      </c>
      <c r="AA1710" t="str">
        <f>"9371660120"</f>
        <v>9371660120</v>
      </c>
      <c r="AB1710" t="str">
        <f>"9371660120"</f>
        <v>9371660120</v>
      </c>
      <c r="AC1710" t="str">
        <f>"9371660120"</f>
        <v>9371660120</v>
      </c>
      <c r="AD1710" t="str">
        <f>"9371660120"</f>
        <v>9371660120</v>
      </c>
      <c r="AE1710" t="str">
        <f>""</f>
        <v/>
      </c>
    </row>
    <row r="1711" spans="1:31" x14ac:dyDescent="0.45">
      <c r="A1711" t="str">
        <f>"ИЛЬС ЭЛЬВИРА МОВЛЯЕВНА"</f>
        <v>ИЛЬС ЭЛЬВИРА МОВЛЯЕВНА</v>
      </c>
      <c r="B1711" t="str">
        <f>"1963-12-22"</f>
        <v>1963-12-22</v>
      </c>
      <c r="C1711" t="str">
        <f>"71 08 662910"</f>
        <v>71 08 662910</v>
      </c>
      <c r="D1711" t="str">
        <f>"4854630373845497"</f>
        <v>4854630373845497</v>
      </c>
      <c r="E1711" t="str">
        <f t="shared" si="299"/>
        <v>2021-04-30</v>
      </c>
      <c r="F1711" t="str">
        <f>"+"</f>
        <v>+</v>
      </c>
      <c r="G1711" t="str">
        <f>"+"</f>
        <v>+</v>
      </c>
      <c r="H1711" t="str">
        <f>"40817810416992063534"</f>
        <v>40817810416992063534</v>
      </c>
      <c r="I1711" t="str">
        <f>"8647"</f>
        <v>8647</v>
      </c>
      <c r="J1711" t="str">
        <f>"0240"</f>
        <v>0240</v>
      </c>
      <c r="K1711" t="str">
        <f>"55000.00"</f>
        <v>55000.00</v>
      </c>
      <c r="L1711" t="str">
        <f>"627010 ОБЛ ТЮМЕНСКАЯ Р-Н ЯЛУТОРОВСКИЙ Г ЯЛУТОРОВСК   УЛ ЛЕНИНА д. 23"</f>
        <v>627010 ОБЛ ТЮМЕНСКАЯ Р-Н ЯЛУТОРОВСКИЙ Г ЯЛУТОРОВСК   УЛ ЛЕНИНА д. 23</v>
      </c>
      <c r="M1711" t="str">
        <f t="shared" si="292"/>
        <v>2019-08-24</v>
      </c>
      <c r="N1711" t="str">
        <f>"ФОНД ИНВЕСТИЦИОННОЕ АГЕНТСТВО"</f>
        <v>ФОНД ИНВЕСТИЦИОННОЕ АГЕНТСТВО</v>
      </c>
      <c r="O1711" t="str">
        <f>"627014"</f>
        <v>627014</v>
      </c>
      <c r="P1711" t="str">
        <f>"ОБЛ ТЮМЕНСКАЯ"</f>
        <v>ОБЛ ТЮМЕНСКАЯ</v>
      </c>
      <c r="Q1711" t="str">
        <f>"Р-Н ЯЛУТОРОВСКИЙ"</f>
        <v>Р-Н ЯЛУТОРОВСКИЙ</v>
      </c>
      <c r="R1711" t="str">
        <f>"Г ЯЛУТОРОВСК"</f>
        <v>Г ЯЛУТОРОВСК</v>
      </c>
      <c r="S1711" t="str">
        <f>""</f>
        <v/>
      </c>
      <c r="T1711" t="str">
        <f>"УЛ УРИЦКОГО"</f>
        <v>УЛ УРИЦКОГО</v>
      </c>
      <c r="U1711" s="1" t="str">
        <f>"40"</f>
        <v>40</v>
      </c>
      <c r="V1711" s="1" t="str">
        <f>""</f>
        <v/>
      </c>
      <c r="W1711" s="1" t="str">
        <f>""</f>
        <v/>
      </c>
      <c r="X1711" s="1" t="str">
        <f>""</f>
        <v/>
      </c>
      <c r="Y1711" s="1" t="str">
        <f>"23"</f>
        <v>23</v>
      </c>
      <c r="Z1711" t="str">
        <f>"3453532734"</f>
        <v>3453532734</v>
      </c>
      <c r="AA1711" t="str">
        <f>"3453531206"</f>
        <v>3453531206</v>
      </c>
      <c r="AB1711" t="str">
        <f>"9091849207"</f>
        <v>9091849207</v>
      </c>
      <c r="AC1711" t="str">
        <f>"3453531206"</f>
        <v>3453531206</v>
      </c>
      <c r="AD1711" t="str">
        <f>"9091849207"</f>
        <v>9091849207</v>
      </c>
      <c r="AE1711" t="str">
        <f>"3453532734"</f>
        <v>3453532734</v>
      </c>
    </row>
    <row r="1712" spans="1:31" x14ac:dyDescent="0.45">
      <c r="A1712" t="str">
        <f>"ДОЛГИХ АЛЕКСАНДР АЛЕКСАНДРОВИЧ"</f>
        <v>ДОЛГИХ АЛЕКСАНДР АЛЕКСАНДРОВИЧ</v>
      </c>
      <c r="B1712" t="str">
        <f>"1983-10-22"</f>
        <v>1983-10-22</v>
      </c>
      <c r="C1712" t="str">
        <f>"71 04 216986"</f>
        <v>71 04 216986</v>
      </c>
      <c r="D1712" t="str">
        <f>"4854630079194257"</f>
        <v>4854630079194257</v>
      </c>
      <c r="E1712" t="str">
        <f>"2021-05-31"</f>
        <v>2021-05-31</v>
      </c>
      <c r="F1712" t="str">
        <f>"+"</f>
        <v>+</v>
      </c>
      <c r="G1712" t="str">
        <f>"+"</f>
        <v>+</v>
      </c>
      <c r="H1712" t="str">
        <f>"40817810516992554846"</f>
        <v>40817810516992554846</v>
      </c>
      <c r="I1712" t="str">
        <f>"8647"</f>
        <v>8647</v>
      </c>
      <c r="J1712" t="str">
        <f>"0204"</f>
        <v>0204</v>
      </c>
      <c r="K1712" t="str">
        <f>"10000.00"</f>
        <v>10000.00</v>
      </c>
      <c r="L1712" t="str">
        <f>"627540 ОБЛ ТЮМЕНСКАЯ Р-Н АБАТСКИЙ   С АБАТСКОЕ УЛ ЛЕНИНА д. 10"</f>
        <v>627540 ОБЛ ТЮМЕНСКАЯ Р-Н АБАТСКИЙ   С АБАТСКОЕ УЛ ЛЕНИНА д. 10</v>
      </c>
      <c r="M1712" t="str">
        <f t="shared" si="292"/>
        <v>2019-08-24</v>
      </c>
      <c r="N1712" t="str">
        <f>"ГУ УПФ РОССИИ"</f>
        <v>ГУ УПФ РОССИИ</v>
      </c>
      <c r="O1712" t="str">
        <f>"627540"</f>
        <v>627540</v>
      </c>
      <c r="P1712" t="str">
        <f>"ОБЛ ТЮМЕНСКАЯ"</f>
        <v>ОБЛ ТЮМЕНСКАЯ</v>
      </c>
      <c r="Q1712" t="str">
        <f>"Р-Н АБАТСКИЙ"</f>
        <v>Р-Н АБАТСКИЙ</v>
      </c>
      <c r="R1712" t="str">
        <f>""</f>
        <v/>
      </c>
      <c r="S1712" t="str">
        <f>"Д КОСТЫЛЕВА"</f>
        <v>Д КОСТЫЛЕВА</v>
      </c>
      <c r="T1712" t="str">
        <f>"УЛ АРМИЗОНСКАЯ"</f>
        <v>УЛ АРМИЗОНСКАЯ</v>
      </c>
      <c r="U1712" s="1" t="str">
        <f>"15"</f>
        <v>15</v>
      </c>
      <c r="V1712" s="1" t="str">
        <f>""</f>
        <v/>
      </c>
      <c r="W1712" s="1" t="str">
        <f>""</f>
        <v/>
      </c>
      <c r="X1712" s="1" t="str">
        <f>""</f>
        <v/>
      </c>
      <c r="Y1712" s="1" t="str">
        <f>""</f>
        <v/>
      </c>
      <c r="Z1712" t="str">
        <f>"3455651660"</f>
        <v>3455651660</v>
      </c>
      <c r="AA1712" t="str">
        <f>"9829297484"</f>
        <v>9829297484</v>
      </c>
      <c r="AB1712" t="str">
        <f>"9829297484"</f>
        <v>9829297484</v>
      </c>
      <c r="AC1712" t="str">
        <f>"9829297484"</f>
        <v>9829297484</v>
      </c>
      <c r="AD1712" t="str">
        <f>"9829297484"</f>
        <v>9829297484</v>
      </c>
      <c r="AE1712" t="str">
        <f>"3455651660"</f>
        <v>3455651660</v>
      </c>
    </row>
    <row r="1713" spans="1:31" x14ac:dyDescent="0.45">
      <c r="A1713" t="str">
        <f>"НАЛЕТОВА ТАТЬЯНА ЛЕОНИДОВНА"</f>
        <v>НАЛЕТОВА ТАТЬЯНА ЛЕОНИДОВНА</v>
      </c>
      <c r="B1713" t="str">
        <f>"1957-01-25"</f>
        <v>1957-01-25</v>
      </c>
      <c r="C1713" t="str">
        <f>"80 97 063009"</f>
        <v>80 97 063009</v>
      </c>
      <c r="D1713" t="str">
        <f>"4854630222248471"</f>
        <v>4854630222248471</v>
      </c>
      <c r="E1713" t="str">
        <f>"2021-04-30"</f>
        <v>2021-04-30</v>
      </c>
      <c r="F1713" t="str">
        <f>"M"</f>
        <v>M</v>
      </c>
      <c r="G1713" t="str">
        <f>"Q"</f>
        <v>Q</v>
      </c>
      <c r="H1713" t="str">
        <f>"40817810516991470426"</f>
        <v>40817810516991470426</v>
      </c>
      <c r="I1713" t="str">
        <f>"8597"</f>
        <v>8597</v>
      </c>
      <c r="J1713" t="str">
        <f>"0530"</f>
        <v>0530</v>
      </c>
      <c r="K1713" t="str">
        <f>"0.00"</f>
        <v>0.00</v>
      </c>
      <c r="L1713" t="str">
        <f>"456323 ОБЛ ЧЕЛЯБИНСКАЯ   Г МИАСС   УЛ ВЕТРЕННАЯ д. 108"</f>
        <v>456323 ОБЛ ЧЕЛЯБИНСКАЯ   Г МИАСС   УЛ ВЕТРЕННАЯ д. 108</v>
      </c>
      <c r="M1713" t="str">
        <f t="shared" si="292"/>
        <v>2019-08-24</v>
      </c>
      <c r="N1713" t="str">
        <f>"МКОУ СОШ №28"</f>
        <v>МКОУ СОШ №28</v>
      </c>
      <c r="O1713" t="str">
        <f>"456323"</f>
        <v>456323</v>
      </c>
      <c r="P1713" t="str">
        <f>"ОБЛ ЧЕЛЯБИНСКАЯ"</f>
        <v>ОБЛ ЧЕЛЯБИНСКАЯ</v>
      </c>
      <c r="Q1713" t="str">
        <f>""</f>
        <v/>
      </c>
      <c r="R1713" t="str">
        <f>"Г МИАСС"</f>
        <v>Г МИАСС</v>
      </c>
      <c r="S1713" t="str">
        <f>""</f>
        <v/>
      </c>
      <c r="T1713" t="str">
        <f>"УЛ ВЕТРЕННАЯ"</f>
        <v>УЛ ВЕТРЕННАЯ</v>
      </c>
      <c r="U1713" s="1" t="str">
        <f>"108"</f>
        <v>108</v>
      </c>
      <c r="V1713" s="1" t="str">
        <f>""</f>
        <v/>
      </c>
      <c r="W1713" s="1" t="str">
        <f>""</f>
        <v/>
      </c>
      <c r="X1713" s="1" t="str">
        <f>""</f>
        <v/>
      </c>
      <c r="Y1713" s="1" t="str">
        <f>""</f>
        <v/>
      </c>
      <c r="Z1713" t="str">
        <f>"3513578125"</f>
        <v>3513578125</v>
      </c>
      <c r="AA1713" t="str">
        <f>"9000714786"</f>
        <v>9000714786</v>
      </c>
      <c r="AB1713" t="str">
        <f>"9525139386"</f>
        <v>9525139386</v>
      </c>
      <c r="AC1713" t="str">
        <f>"9000714786"</f>
        <v>9000714786</v>
      </c>
      <c r="AD1713" t="str">
        <f>"9525139386"</f>
        <v>9525139386</v>
      </c>
      <c r="AE1713" t="str">
        <f>""</f>
        <v/>
      </c>
    </row>
    <row r="1714" spans="1:31" x14ac:dyDescent="0.45">
      <c r="A1714" t="str">
        <f>"ГАФАРОВ РАИЛЬ МИНИГАЛЕЕВИЧ"</f>
        <v>ГАФАРОВ РАИЛЬ МИНИГАЛЕЕВИЧ</v>
      </c>
      <c r="B1714" t="str">
        <f>"1962-05-13"</f>
        <v>1962-05-13</v>
      </c>
      <c r="C1714" t="str">
        <f>"80 13 746208"</f>
        <v>80 13 746208</v>
      </c>
      <c r="D1714" t="str">
        <f>"4854630356146111"</f>
        <v>4854630356146111</v>
      </c>
      <c r="E1714" t="str">
        <f>"2021-04-30"</f>
        <v>2021-04-30</v>
      </c>
      <c r="F1714" t="str">
        <f>"Y"</f>
        <v>Y</v>
      </c>
      <c r="G1714" t="str">
        <f>"Q"</f>
        <v>Q</v>
      </c>
      <c r="H1714" t="str">
        <f>"40817810816991470427"</f>
        <v>40817810816991470427</v>
      </c>
      <c r="I1714" t="str">
        <f>"8598"</f>
        <v>8598</v>
      </c>
      <c r="J1714" t="str">
        <f>"0717"</f>
        <v>0717</v>
      </c>
      <c r="K1714" t="str">
        <f>"0.00"</f>
        <v>0.00</v>
      </c>
      <c r="L1714" t="str">
        <f>"453205 РЕСП БАШКОРТОСТАН Р-Н ИШИМБАЙСКИЙ Г ИШИМБАЙ   УЛ ЧКАЛОВА д. 4 кв. 19"</f>
        <v>453205 РЕСП БАШКОРТОСТАН Р-Н ИШИМБАЙСКИЙ Г ИШИМБАЙ   УЛ ЧКАЛОВА д. 4 кв. 19</v>
      </c>
      <c r="M1714" t="str">
        <f t="shared" si="292"/>
        <v>2019-08-24</v>
      </c>
      <c r="N1714" t="str">
        <f>"ПЕНСИОНЕР"</f>
        <v>ПЕНСИОНЕР</v>
      </c>
      <c r="O1714" t="str">
        <f>"453205"</f>
        <v>453205</v>
      </c>
      <c r="P1714" t="str">
        <f>"РЕСП БАШКОРТОСТАН"</f>
        <v>РЕСП БАШКОРТОСТАН</v>
      </c>
      <c r="Q1714" t="str">
        <f>"Р-Н ИШИМБАЙСКИЙ"</f>
        <v>Р-Н ИШИМБАЙСКИЙ</v>
      </c>
      <c r="R1714" t="str">
        <f>"Г ИШИМБАЙ"</f>
        <v>Г ИШИМБАЙ</v>
      </c>
      <c r="S1714" t="str">
        <f>""</f>
        <v/>
      </c>
      <c r="T1714" t="str">
        <f>"УЛ ЧКАЛОВА"</f>
        <v>УЛ ЧКАЛОВА</v>
      </c>
      <c r="U1714" s="1" t="str">
        <f>"4"</f>
        <v>4</v>
      </c>
      <c r="V1714" s="1" t="str">
        <f>""</f>
        <v/>
      </c>
      <c r="W1714" s="1" t="str">
        <f>""</f>
        <v/>
      </c>
      <c r="X1714" s="1" t="str">
        <f>""</f>
        <v/>
      </c>
      <c r="Y1714" s="1" t="str">
        <f>"19"</f>
        <v>19</v>
      </c>
      <c r="Z1714" t="str">
        <f>""</f>
        <v/>
      </c>
      <c r="AA1714" t="str">
        <f>"+7 (917) 4560945"</f>
        <v>+7 (917) 4560945</v>
      </c>
      <c r="AB1714" t="str">
        <f>"+7 (917) 3873501"</f>
        <v>+7 (917) 3873501</v>
      </c>
      <c r="AC1714" t="str">
        <f>"9174560945"</f>
        <v>9174560945</v>
      </c>
      <c r="AD1714" t="str">
        <f>"9174560945"</f>
        <v>9174560945</v>
      </c>
      <c r="AE1714" t="str">
        <f>""</f>
        <v/>
      </c>
    </row>
    <row r="1715" spans="1:31" x14ac:dyDescent="0.45">
      <c r="A1715" t="str">
        <f>"БЫКОВ АЛЕКСАНДР ВАЛЕРЬЕВИЧ"</f>
        <v>БЫКОВ АЛЕКСАНДР ВАЛЕРЬЕВИЧ</v>
      </c>
      <c r="B1715" t="str">
        <f>"1971-09-15"</f>
        <v>1971-09-15</v>
      </c>
      <c r="C1715" t="str">
        <f>"65 16 321339"</f>
        <v>65 16 321339</v>
      </c>
      <c r="D1715" t="str">
        <f>"4854630216855703"</f>
        <v>4854630216855703</v>
      </c>
      <c r="E1715" t="str">
        <f>"2021-04-30"</f>
        <v>2021-04-30</v>
      </c>
      <c r="F1715" t="str">
        <f>"+"</f>
        <v>+</v>
      </c>
      <c r="G1715" t="str">
        <f>"+"</f>
        <v>+</v>
      </c>
      <c r="H1715" t="str">
        <f>"40817810116991470428"</f>
        <v>40817810116991470428</v>
      </c>
      <c r="I1715" t="str">
        <f>"7003"</f>
        <v>7003</v>
      </c>
      <c r="J1715" t="str">
        <f>"0377"</f>
        <v>0377</v>
      </c>
      <c r="K1715" t="str">
        <f>"250000.00"</f>
        <v>250000.00</v>
      </c>
      <c r="L1715" t="str">
        <f>"620000 ОБЛ СВЕРДЛОВСКАЯ   Г ЕКАТЕРИНБУРГ   УЛ МИРА д. 19М"</f>
        <v>620000 ОБЛ СВЕРДЛОВСКАЯ   Г ЕКАТЕРИНБУРГ   УЛ МИРА д. 19М</v>
      </c>
      <c r="M1715" t="str">
        <f t="shared" si="292"/>
        <v>2019-08-24</v>
      </c>
      <c r="N1715" t="str">
        <f>"АВТОСЕРВИС"</f>
        <v>АВТОСЕРВИС</v>
      </c>
      <c r="O1715" t="str">
        <f>"620076"</f>
        <v>620076</v>
      </c>
      <c r="P1715" t="str">
        <f>"ОБЛ СВЕРДЛОВСКАЯ"</f>
        <v>ОБЛ СВЕРДЛОВСКАЯ</v>
      </c>
      <c r="Q1715" t="str">
        <f>""</f>
        <v/>
      </c>
      <c r="R1715" t="str">
        <f>"Г ЕКАТЕРИНБУРГ"</f>
        <v>Г ЕКАТЕРИНБУРГ</v>
      </c>
      <c r="S1715" t="str">
        <f>""</f>
        <v/>
      </c>
      <c r="T1715" t="str">
        <f>"УЛ БЛАГОДАТСКАЯ"</f>
        <v>УЛ БЛАГОДАТСКАЯ</v>
      </c>
      <c r="U1715" s="1" t="str">
        <f>"53"</f>
        <v>53</v>
      </c>
      <c r="V1715" s="1" t="str">
        <f>""</f>
        <v/>
      </c>
      <c r="W1715" s="1" t="str">
        <f>""</f>
        <v/>
      </c>
      <c r="X1715" s="1" t="str">
        <f>""</f>
        <v/>
      </c>
      <c r="Y1715" s="1" t="str">
        <f>"11"</f>
        <v>11</v>
      </c>
      <c r="Z1715" t="str">
        <f>""</f>
        <v/>
      </c>
      <c r="AA1715" t="str">
        <f>"9028782844"</f>
        <v>9028782844</v>
      </c>
      <c r="AB1715" t="str">
        <f>"9028782844"</f>
        <v>9028782844</v>
      </c>
      <c r="AC1715" t="str">
        <f>"9028782844"</f>
        <v>9028782844</v>
      </c>
      <c r="AD1715" t="str">
        <f>"9028782844"</f>
        <v>9028782844</v>
      </c>
      <c r="AE1715" t="str">
        <f>""</f>
        <v/>
      </c>
    </row>
    <row r="1716" spans="1:31" x14ac:dyDescent="0.45">
      <c r="A1716" t="str">
        <f>"КАРПЕНКО ВИКТОР ДМИТРИЕВИЧ"</f>
        <v>КАРПЕНКО ВИКТОР ДМИТРИЕВИЧ</v>
      </c>
      <c r="B1716" t="str">
        <f>"1972-01-24"</f>
        <v>1972-01-24</v>
      </c>
      <c r="C1716" t="str">
        <f>"67 17 623814"</f>
        <v>67 17 623814</v>
      </c>
      <c r="D1716" t="str">
        <f>"4854630428342813"</f>
        <v>4854630428342813</v>
      </c>
      <c r="E1716" t="str">
        <f>"2021-04-30"</f>
        <v>2021-04-30</v>
      </c>
      <c r="F1716" t="str">
        <f>"Q"</f>
        <v>Q</v>
      </c>
      <c r="G1716" t="str">
        <f>"Q"</f>
        <v>Q</v>
      </c>
      <c r="H1716" t="str">
        <f>"40817810967720718608"</f>
        <v>40817810967720718608</v>
      </c>
      <c r="I1716" t="str">
        <f>"5940"</f>
        <v>5940</v>
      </c>
      <c r="J1716" t="str">
        <f>"0066"</f>
        <v>0066</v>
      </c>
      <c r="K1716" t="str">
        <f t="shared" ref="K1716:K1719" si="300">"0.00"</f>
        <v>0.00</v>
      </c>
      <c r="L1716" t="str">
        <f>"628449 ОБЛ ТЮМЕНСКАЯ Р-Н СУРГУТСКИЙ Г ЛЯНТОР   УЛ НАЗАРГАЛЕЕВА стр. 22"</f>
        <v>628449 ОБЛ ТЮМЕНСКАЯ Р-Н СУРГУТСКИЙ Г ЛЯНТОР   УЛ НАЗАРГАЛЕЕВА стр. 22</v>
      </c>
      <c r="M1716" t="str">
        <f t="shared" si="292"/>
        <v>2019-08-24</v>
      </c>
      <c r="N1716" t="str">
        <f>"ПАО СУРГУТНЕФТЕГАЗ"</f>
        <v>ПАО СУРГУТНЕФТЕГАЗ</v>
      </c>
      <c r="O1716" t="str">
        <f>"628449"</f>
        <v>628449</v>
      </c>
      <c r="P1716" t="str">
        <f>"ОБЛ ТЮМЕНСКАЯ"</f>
        <v>ОБЛ ТЮМЕНСКАЯ</v>
      </c>
      <c r="Q1716" t="str">
        <f>"Р-Н СУРГУТСКИЙ"</f>
        <v>Р-Н СУРГУТСКИЙ</v>
      </c>
      <c r="R1716" t="str">
        <f>"Г ЛЯНТОР"</f>
        <v>Г ЛЯНТОР</v>
      </c>
      <c r="S1716" t="str">
        <f>""</f>
        <v/>
      </c>
      <c r="T1716" t="str">
        <f>"УЛ НАЗАРГАЛЕЕВА"</f>
        <v>УЛ НАЗАРГАЛЕЕВА</v>
      </c>
      <c r="U1716" s="1" t="str">
        <f>"12"</f>
        <v>12</v>
      </c>
      <c r="V1716" s="1" t="str">
        <f>""</f>
        <v/>
      </c>
      <c r="W1716" s="1" t="str">
        <f>""</f>
        <v/>
      </c>
      <c r="X1716" s="1" t="str">
        <f>""</f>
        <v/>
      </c>
      <c r="Y1716" s="1" t="str">
        <f>"38"</f>
        <v>38</v>
      </c>
      <c r="Z1716" t="str">
        <f>"3463822584"</f>
        <v>3463822584</v>
      </c>
      <c r="AA1716" t="str">
        <f>"3463828840"</f>
        <v>3463828840</v>
      </c>
      <c r="AB1716" t="str">
        <f>"9224044785"</f>
        <v>9224044785</v>
      </c>
      <c r="AC1716" t="str">
        <f>"3463828840"</f>
        <v>3463828840</v>
      </c>
      <c r="AD1716" t="str">
        <f>"9224044785"</f>
        <v>9224044785</v>
      </c>
      <c r="AE1716" t="str">
        <f>"3463822584"</f>
        <v>3463822584</v>
      </c>
    </row>
    <row r="1717" spans="1:31" x14ac:dyDescent="0.45">
      <c r="A1717" t="str">
        <f>"МЕДВЕДЕВ АЛЕКСАНДР ВАСИЛЬЕВИЧ"</f>
        <v>МЕДВЕДЕВ АЛЕКСАНДР ВАСИЛЬЕВИЧ</v>
      </c>
      <c r="B1717" t="str">
        <f>"1955-06-21"</f>
        <v>1955-06-21</v>
      </c>
      <c r="C1717" t="str">
        <f>"75 03 561032"</f>
        <v>75 03 561032</v>
      </c>
      <c r="D1717" t="str">
        <f>"4854630429231916"</f>
        <v>4854630429231916</v>
      </c>
      <c r="E1717" t="str">
        <f>"2020-04-30"</f>
        <v>2020-04-30</v>
      </c>
      <c r="F1717" t="str">
        <f>"Y"</f>
        <v>Y</v>
      </c>
      <c r="G1717" t="str">
        <f>"Q"</f>
        <v>Q</v>
      </c>
      <c r="H1717" t="str">
        <f>"40817810416991470429"</f>
        <v>40817810416991470429</v>
      </c>
      <c r="I1717" t="str">
        <f>"8597"</f>
        <v>8597</v>
      </c>
      <c r="J1717" t="str">
        <f>"0430"</f>
        <v>0430</v>
      </c>
      <c r="K1717" t="str">
        <f t="shared" si="300"/>
        <v>0.00</v>
      </c>
      <c r="L1717" t="str">
        <f>"456800 ОБЛ ЧЕЛЯБИНСКАЯ   Г ВЕРХНИЙ УФАЛЕЙ   УЛ ЯКУШЕВА д. 66 кв. 0"</f>
        <v>456800 ОБЛ ЧЕЛЯБИНСКАЯ   Г ВЕРХНИЙ УФАЛЕЙ   УЛ ЯКУШЕВА д. 66 кв. 0</v>
      </c>
      <c r="M1717" t="str">
        <f t="shared" si="292"/>
        <v>2019-08-24</v>
      </c>
      <c r="N1717" t="str">
        <f>"УПФР"</f>
        <v>УПФР</v>
      </c>
      <c r="O1717" t="str">
        <f>"456800"</f>
        <v>456800</v>
      </c>
      <c r="P1717" t="str">
        <f>"ОБЛ ЧЕЛЯБИНСКАЯ"</f>
        <v>ОБЛ ЧЕЛЯБИНСКАЯ</v>
      </c>
      <c r="Q1717" t="str">
        <f>""</f>
        <v/>
      </c>
      <c r="R1717" t="str">
        <f>"Г ВЕРХНИЙ УФАЛЕЙ"</f>
        <v>Г ВЕРХНИЙ УФАЛЕЙ</v>
      </c>
      <c r="S1717" t="str">
        <f>""</f>
        <v/>
      </c>
      <c r="T1717" t="str">
        <f>"УЛ БАБИКОВА"</f>
        <v>УЛ БАБИКОВА</v>
      </c>
      <c r="U1717" s="1" t="str">
        <f>"66"</f>
        <v>66</v>
      </c>
      <c r="V1717" s="1" t="str">
        <f>""</f>
        <v/>
      </c>
      <c r="W1717" s="1" t="str">
        <f>"А"</f>
        <v>А</v>
      </c>
      <c r="X1717" s="1" t="str">
        <f>""</f>
        <v/>
      </c>
      <c r="Y1717" s="1" t="str">
        <f>"29"</f>
        <v>29</v>
      </c>
      <c r="Z1717" t="str">
        <f>"3516420523"</f>
        <v>3516420523</v>
      </c>
      <c r="AA1717" t="str">
        <f>"3516422352"</f>
        <v>3516422352</v>
      </c>
      <c r="AB1717" t="str">
        <f>"9080624379"</f>
        <v>9080624379</v>
      </c>
      <c r="AC1717" t="str">
        <f>"3516422352"</f>
        <v>3516422352</v>
      </c>
      <c r="AD1717" t="str">
        <f>"9080624379"</f>
        <v>9080624379</v>
      </c>
      <c r="AE1717" t="str">
        <f>""</f>
        <v/>
      </c>
    </row>
    <row r="1718" spans="1:31" x14ac:dyDescent="0.45">
      <c r="A1718" t="str">
        <f>"ФАУЗИЕВА АЛИНА ЮРЬЕВНА"</f>
        <v>ФАУЗИЕВА АЛИНА ЮРЬЕВНА</v>
      </c>
      <c r="B1718" t="str">
        <f>"1985-07-02"</f>
        <v>1985-07-02</v>
      </c>
      <c r="C1718" t="str">
        <f>"67 12 223676"</f>
        <v>67 12 223676</v>
      </c>
      <c r="D1718" t="str">
        <f>"4854630393415842"</f>
        <v>4854630393415842</v>
      </c>
      <c r="E1718" t="str">
        <f>"2021-04-30"</f>
        <v>2021-04-30</v>
      </c>
      <c r="F1718" t="str">
        <f>"Q"</f>
        <v>Q</v>
      </c>
      <c r="G1718" t="str">
        <f>"Q"</f>
        <v>Q</v>
      </c>
      <c r="H1718" t="str">
        <f>"40817810967720718611"</f>
        <v>40817810967720718611</v>
      </c>
      <c r="I1718" t="str">
        <f>"5940"</f>
        <v>5940</v>
      </c>
      <c r="J1718" t="str">
        <f>"0053"</f>
        <v>0053</v>
      </c>
      <c r="K1718" t="str">
        <f t="shared" si="300"/>
        <v>0.00</v>
      </c>
      <c r="L1718" t="str">
        <f>"628400 ОБЛ ТЮМЕНСКАЯ   Г СУРГУТ   УЛ ЛЕРМОНТОВА д. 5 корп. 3"</f>
        <v>628400 ОБЛ ТЮМЕНСКАЯ   Г СУРГУТ   УЛ ЛЕРМОНТОВА д. 5 корп. 3</v>
      </c>
      <c r="M1718" t="str">
        <f t="shared" si="292"/>
        <v>2019-08-24</v>
      </c>
      <c r="N1718" t="str">
        <f>"ООО ЗАПАДНО-СИБИРСКИЙ ЭКСПРЕСС-Л"</f>
        <v>ООО ЗАПАДНО-СИБИРСКИЙ ЭКСПРЕСС-Л</v>
      </c>
      <c r="O1718" t="str">
        <f>"628400"</f>
        <v>628400</v>
      </c>
      <c r="P1718" t="str">
        <f>"ОБЛ ТЮМЕНСКАЯ"</f>
        <v>ОБЛ ТЮМЕНСКАЯ</v>
      </c>
      <c r="Q1718" t="str">
        <f>""</f>
        <v/>
      </c>
      <c r="R1718" t="str">
        <f>"Г СУРГУТ"</f>
        <v>Г СУРГУТ</v>
      </c>
      <c r="S1718" t="str">
        <f>""</f>
        <v/>
      </c>
      <c r="T1718" t="str">
        <f>"УЛ ИГОРЯ КИРТБАЯ"</f>
        <v>УЛ ИГОРЯ КИРТБАЯ</v>
      </c>
      <c r="U1718" s="1" t="str">
        <f>"21"</f>
        <v>21</v>
      </c>
      <c r="V1718" s="1" t="str">
        <f>"1"</f>
        <v>1</v>
      </c>
      <c r="W1718" s="1" t="str">
        <f>""</f>
        <v/>
      </c>
      <c r="X1718" s="1" t="str">
        <f>""</f>
        <v/>
      </c>
      <c r="Y1718" s="1" t="str">
        <f>"62"</f>
        <v>62</v>
      </c>
      <c r="Z1718" t="str">
        <f>"+7 (3462) 555154"</f>
        <v>+7 (3462) 555154</v>
      </c>
      <c r="AA1718" t="str">
        <f>"+7 (982) 5550279"</f>
        <v>+7 (982) 5550279</v>
      </c>
      <c r="AB1718" t="str">
        <f>"+7 (982) 5550279"</f>
        <v>+7 (982) 5550279</v>
      </c>
      <c r="AC1718" t="str">
        <f>"9825550279"</f>
        <v>9825550279</v>
      </c>
      <c r="AD1718" t="str">
        <f>"9505222756"</f>
        <v>9505222756</v>
      </c>
      <c r="AE1718" t="str">
        <f>""</f>
        <v/>
      </c>
    </row>
    <row r="1719" spans="1:31" x14ac:dyDescent="0.45">
      <c r="A1719" t="str">
        <f>"МАТАНИНА НАДЕЖДА ФЕОФАНОВНА"</f>
        <v>МАТАНИНА НАДЕЖДА ФЕОФАНОВНА</v>
      </c>
      <c r="B1719" t="str">
        <f>"1961-03-27"</f>
        <v>1961-03-27</v>
      </c>
      <c r="C1719" t="str">
        <f>"71 05 407787"</f>
        <v>71 05 407787</v>
      </c>
      <c r="D1719" t="str">
        <f>"4854630199601850"</f>
        <v>4854630199601850</v>
      </c>
      <c r="E1719" t="str">
        <f>"2020-11-30"</f>
        <v>2020-11-30</v>
      </c>
      <c r="F1719" t="str">
        <f>"Q"</f>
        <v>Q</v>
      </c>
      <c r="G1719" t="str">
        <f>"Q"</f>
        <v>Q</v>
      </c>
      <c r="H1719" t="str">
        <f>"40817810016992556629"</f>
        <v>40817810016992556629</v>
      </c>
      <c r="I1719" t="str">
        <f>"8647"</f>
        <v>8647</v>
      </c>
      <c r="J1719" t="str">
        <f>"0246"</f>
        <v>0246</v>
      </c>
      <c r="K1719" t="str">
        <f t="shared" si="300"/>
        <v>0.00</v>
      </c>
      <c r="L1719" t="str">
        <f>"626380 ОБЛ ТЮМЕНСКАЯ Р-Н ИСЕТСКИЙ   С КРАСНОВО УЛ МИРА д. 31"</f>
        <v>626380 ОБЛ ТЮМЕНСКАЯ Р-Н ИСЕТСКИЙ   С КРАСНОВО УЛ МИРА д. 31</v>
      </c>
      <c r="M1719" t="str">
        <f t="shared" si="292"/>
        <v>2019-08-24</v>
      </c>
      <c r="N1719" t="str">
        <f>"ПЕНСИОНЕР"</f>
        <v>ПЕНСИОНЕР</v>
      </c>
      <c r="O1719" t="str">
        <f>"626380"</f>
        <v>626380</v>
      </c>
      <c r="P1719" t="str">
        <f>"ОБЛ ТЮМЕНСКАЯ"</f>
        <v>ОБЛ ТЮМЕНСКАЯ</v>
      </c>
      <c r="Q1719" t="str">
        <f>"Р-Н ИСЕТСКИЙ"</f>
        <v>Р-Н ИСЕТСКИЙ</v>
      </c>
      <c r="R1719" t="str">
        <f>""</f>
        <v/>
      </c>
      <c r="S1719" t="str">
        <f>"С КРАСНОВО"</f>
        <v>С КРАСНОВО</v>
      </c>
      <c r="T1719" t="str">
        <f>"УЛ МИРА"</f>
        <v>УЛ МИРА</v>
      </c>
      <c r="U1719" s="1" t="str">
        <f>"31"</f>
        <v>31</v>
      </c>
      <c r="V1719" s="1" t="str">
        <f>""</f>
        <v/>
      </c>
      <c r="W1719" s="1" t="str">
        <f>""</f>
        <v/>
      </c>
      <c r="X1719" s="1" t="str">
        <f>""</f>
        <v/>
      </c>
      <c r="Y1719" s="1" t="str">
        <f>""</f>
        <v/>
      </c>
      <c r="Z1719" t="str">
        <f>""</f>
        <v/>
      </c>
      <c r="AA1719" t="str">
        <f>"+7 (932) 3223166"</f>
        <v>+7 (932) 3223166</v>
      </c>
      <c r="AB1719" t="str">
        <f>"+7 (932) 3263415"</f>
        <v>+7 (932) 3263415</v>
      </c>
      <c r="AC1719" t="str">
        <f>"9323223166"</f>
        <v>9323223166</v>
      </c>
      <c r="AD1719" t="str">
        <f>"9323263415"</f>
        <v>9323263415</v>
      </c>
      <c r="AE1719" t="str">
        <f>""</f>
        <v/>
      </c>
    </row>
    <row r="1720" spans="1:31" x14ac:dyDescent="0.45">
      <c r="A1720" t="str">
        <f>"ИСХАКОВА НАЗИЯ МУСАЕВНА"</f>
        <v>ИСХАКОВА НАЗИЯ МУСАЕВНА</v>
      </c>
      <c r="B1720" t="str">
        <f>"1962-10-22"</f>
        <v>1962-10-22</v>
      </c>
      <c r="C1720" t="str">
        <f>"80 07 385353"</f>
        <v>80 07 385353</v>
      </c>
      <c r="D1720" t="str">
        <f>"5313100391436440"</f>
        <v>5313100391436440</v>
      </c>
      <c r="E1720" t="str">
        <f>"2019-11-30"</f>
        <v>2019-11-30</v>
      </c>
      <c r="F1720" t="str">
        <f t="shared" ref="F1720:G1722" si="301">"+"</f>
        <v>+</v>
      </c>
      <c r="G1720" t="str">
        <f t="shared" si="301"/>
        <v>+</v>
      </c>
      <c r="H1720" t="str">
        <f>"40817810916991470466"</f>
        <v>40817810916991470466</v>
      </c>
      <c r="I1720" t="str">
        <f>"8598"</f>
        <v>8598</v>
      </c>
      <c r="J1720" t="str">
        <f>"0383"</f>
        <v>0383</v>
      </c>
      <c r="K1720" t="str">
        <f>"41000.00"</f>
        <v>41000.00</v>
      </c>
      <c r="L1720" t="str">
        <f>"450000 РЕСП БАШКОРТОСТАН   Г СТЕРЛИТАМАК   УЛ ГОГОЛЯ д. 94"</f>
        <v>450000 РЕСП БАШКОРТОСТАН   Г СТЕРЛИТАМАК   УЛ ГОГОЛЯ д. 94</v>
      </c>
      <c r="M1720" t="str">
        <f t="shared" si="292"/>
        <v>2019-08-24</v>
      </c>
      <c r="N1720" t="str">
        <f>"ООО ТОРГОВЫЙ ДОМ БАШСПИРТ"</f>
        <v>ООО ТОРГОВЫЙ ДОМ БАШСПИРТ</v>
      </c>
      <c r="O1720" t="str">
        <f>"450000"</f>
        <v>450000</v>
      </c>
      <c r="P1720" t="str">
        <f>"РЕСП БАШКОРТОСТАН"</f>
        <v>РЕСП БАШКОРТОСТАН</v>
      </c>
      <c r="Q1720" t="str">
        <f>""</f>
        <v/>
      </c>
      <c r="R1720" t="str">
        <f>"Г СТЕРЛИТАМАК"</f>
        <v>Г СТЕРЛИТАМАК</v>
      </c>
      <c r="S1720" t="str">
        <f>""</f>
        <v/>
      </c>
      <c r="T1720" t="str">
        <f>"УЛ ОСТРОВСКОГО"</f>
        <v>УЛ ОСТРОВСКОГО</v>
      </c>
      <c r="U1720" s="1" t="str">
        <f>"38"</f>
        <v>38</v>
      </c>
      <c r="V1720" s="1" t="str">
        <f>""</f>
        <v/>
      </c>
      <c r="W1720" s="1" t="str">
        <f>""</f>
        <v/>
      </c>
      <c r="X1720" s="1" t="str">
        <f>""</f>
        <v/>
      </c>
      <c r="Y1720" s="1" t="str">
        <f>""</f>
        <v/>
      </c>
      <c r="Z1720" t="str">
        <f>"3473266679"</f>
        <v>3473266679</v>
      </c>
      <c r="AA1720" t="str">
        <f>"3473000000"</f>
        <v>3473000000</v>
      </c>
      <c r="AB1720" t="str">
        <f>"9374886775"</f>
        <v>9374886775</v>
      </c>
      <c r="AC1720" t="str">
        <f>"3473000000"</f>
        <v>3473000000</v>
      </c>
      <c r="AD1720" t="str">
        <f>"9374886775"</f>
        <v>9374886775</v>
      </c>
      <c r="AE1720" t="str">
        <f>"3473266679"</f>
        <v>3473266679</v>
      </c>
    </row>
    <row r="1721" spans="1:31" x14ac:dyDescent="0.45">
      <c r="A1721" t="str">
        <f>"ДЬЯКОНОВА НАТАЛЬЯ ВЛАДИМИРОВНА"</f>
        <v>ДЬЯКОНОВА НАТАЛЬЯ ВЛАДИМИРОВНА</v>
      </c>
      <c r="B1721" t="str">
        <f>"1977-10-06"</f>
        <v>1977-10-06</v>
      </c>
      <c r="C1721" t="str">
        <f>"65 15 036262"</f>
        <v>65 15 036262</v>
      </c>
      <c r="D1721" t="str">
        <f>"4854630231113971"</f>
        <v>4854630231113971</v>
      </c>
      <c r="E1721" t="str">
        <f>"2021-04-30"</f>
        <v>2021-04-30</v>
      </c>
      <c r="F1721" t="str">
        <f t="shared" si="301"/>
        <v>+</v>
      </c>
      <c r="G1721" t="str">
        <f t="shared" si="301"/>
        <v>+</v>
      </c>
      <c r="H1721" t="str">
        <f>"40817810216991470496"</f>
        <v>40817810216991470496</v>
      </c>
      <c r="I1721" t="str">
        <f>"7003"</f>
        <v>7003</v>
      </c>
      <c r="J1721" t="str">
        <f>"0518"</f>
        <v>0518</v>
      </c>
      <c r="K1721" t="str">
        <f>"185000.00"</f>
        <v>185000.00</v>
      </c>
      <c r="L1721" t="str">
        <f>"620000 ОБЛ СВЕРДЛОВСКАЯ   Г РЕЖ   УЛ КОСМОНАВТОВ д. 4"</f>
        <v>620000 ОБЛ СВЕРДЛОВСКАЯ   Г РЕЖ   УЛ КОСМОНАВТОВ д. 4</v>
      </c>
      <c r="M1721" t="str">
        <f t="shared" si="292"/>
        <v>2019-08-24</v>
      </c>
      <c r="N1721" t="str">
        <f>"ИП ПУШКАРЕВА М.А."</f>
        <v>ИП ПУШКАРЕВА М.А.</v>
      </c>
      <c r="O1721" t="str">
        <f>"623753"</f>
        <v>623753</v>
      </c>
      <c r="P1721" t="str">
        <f>"ОБЛ СВЕРДЛОВСКАЯ"</f>
        <v>ОБЛ СВЕРДЛОВСКАЯ</v>
      </c>
      <c r="Q1721" t="str">
        <f>"Р-Н РЕЖЕВСКОЙ"</f>
        <v>Р-Н РЕЖЕВСКОЙ</v>
      </c>
      <c r="R1721" t="str">
        <f>"Г РЕЖ"</f>
        <v>Г РЕЖ</v>
      </c>
      <c r="S1721" t="str">
        <f>""</f>
        <v/>
      </c>
      <c r="T1721" t="str">
        <f>"УЛ ЖЕЛЕЗНОДОРОЖНАЯ"</f>
        <v>УЛ ЖЕЛЕЗНОДОРОЖНАЯ</v>
      </c>
      <c r="U1721" s="1" t="str">
        <f>"19"</f>
        <v>19</v>
      </c>
      <c r="V1721" s="1" t="str">
        <f>""</f>
        <v/>
      </c>
      <c r="W1721" s="1" t="str">
        <f>""</f>
        <v/>
      </c>
      <c r="X1721" s="1" t="str">
        <f>""</f>
        <v/>
      </c>
      <c r="Y1721" s="1" t="str">
        <f>""</f>
        <v/>
      </c>
      <c r="Z1721" t="str">
        <f>""</f>
        <v/>
      </c>
      <c r="AA1721" t="str">
        <f>"3432556484"</f>
        <v>3432556484</v>
      </c>
      <c r="AB1721" t="str">
        <f>"9120345778"</f>
        <v>9120345778</v>
      </c>
      <c r="AC1721" t="str">
        <f>"3432556484"</f>
        <v>3432556484</v>
      </c>
      <c r="AD1721" t="str">
        <f>"9120345778"</f>
        <v>9120345778</v>
      </c>
      <c r="AE1721" t="str">
        <f>""</f>
        <v/>
      </c>
    </row>
    <row r="1722" spans="1:31" x14ac:dyDescent="0.45">
      <c r="A1722" t="str">
        <f>"АНДРЕЕВА ВЕРА СЕМЕНОВНА"</f>
        <v>АНДРЕЕВА ВЕРА СЕМЕНОВНА</v>
      </c>
      <c r="B1722" t="str">
        <f>"1956-07-08"</f>
        <v>1956-07-08</v>
      </c>
      <c r="C1722" t="str">
        <f>"80 15 103957"</f>
        <v>80 15 103957</v>
      </c>
      <c r="D1722" t="str">
        <f>"4854630172037692"</f>
        <v>4854630172037692</v>
      </c>
      <c r="E1722" t="str">
        <f>"2021-05-31"</f>
        <v>2021-05-31</v>
      </c>
      <c r="F1722" t="str">
        <f t="shared" si="301"/>
        <v>+</v>
      </c>
      <c r="G1722" t="str">
        <f t="shared" si="301"/>
        <v>+</v>
      </c>
      <c r="H1722" t="str">
        <f>"40817810516991470497"</f>
        <v>40817810516991470497</v>
      </c>
      <c r="I1722" t="str">
        <f>"8598"</f>
        <v>8598</v>
      </c>
      <c r="J1722" t="str">
        <f>"0225"</f>
        <v>0225</v>
      </c>
      <c r="K1722" t="str">
        <f>"37000.00"</f>
        <v>37000.00</v>
      </c>
      <c r="L1722" t="str">
        <f>"450000 РЕСП БАШКОРТОСТАН   Г БЛАГОВЕЩЕНСК   УЛ КИРОВА д. 1"</f>
        <v>450000 РЕСП БАШКОРТОСТАН   Г БЛАГОВЕЩЕНСК   УЛ КИРОВА д. 1</v>
      </c>
      <c r="M1722" t="str">
        <f t="shared" si="292"/>
        <v>2019-08-24</v>
      </c>
      <c r="N1722" t="str">
        <f>"ПЕНСИОНЕР"</f>
        <v>ПЕНСИОНЕР</v>
      </c>
      <c r="O1722" t="str">
        <f>"450000"</f>
        <v>450000</v>
      </c>
      <c r="P1722" t="str">
        <f>"РЕСП БАШКОРТОСТАН"</f>
        <v>РЕСП БАШКОРТОСТАН</v>
      </c>
      <c r="Q1722" t="str">
        <f>""</f>
        <v/>
      </c>
      <c r="R1722" t="str">
        <f>"Г БЛАГОВЕЩЕНСК"</f>
        <v>Г БЛАГОВЕЩЕНСК</v>
      </c>
      <c r="S1722" t="str">
        <f>""</f>
        <v/>
      </c>
      <c r="T1722" t="str">
        <f>"УЛ ЧЕВЕРЕВА"</f>
        <v>УЛ ЧЕВЕРЕВА</v>
      </c>
      <c r="U1722" s="1" t="str">
        <f>"20"</f>
        <v>20</v>
      </c>
      <c r="V1722" s="1" t="str">
        <f>""</f>
        <v/>
      </c>
      <c r="W1722" s="1" t="str">
        <f>""</f>
        <v/>
      </c>
      <c r="X1722" s="1" t="str">
        <f>""</f>
        <v/>
      </c>
      <c r="Y1722" s="1" t="str">
        <f>""</f>
        <v/>
      </c>
      <c r="Z1722" t="str">
        <f>""</f>
        <v/>
      </c>
      <c r="AA1722" t="str">
        <f>"89659482886"</f>
        <v>89659482886</v>
      </c>
      <c r="AB1722" t="str">
        <f>"9659482886"</f>
        <v>9659482886</v>
      </c>
      <c r="AC1722" t="str">
        <f>"3476600000"</f>
        <v>3476600000</v>
      </c>
      <c r="AD1722" t="str">
        <f>"9659482886"</f>
        <v>9659482886</v>
      </c>
      <c r="AE1722" t="str">
        <f>""</f>
        <v/>
      </c>
    </row>
    <row r="1723" spans="1:31" x14ac:dyDescent="0.45">
      <c r="A1723" t="str">
        <f>"ГОРБУНОВА ТАТЬЯНА НИКОЛАЕВНА"</f>
        <v>ГОРБУНОВА ТАТЬЯНА НИКОЛАЕВНА</v>
      </c>
      <c r="B1723" t="str">
        <f>"1958-10-26"</f>
        <v>1958-10-26</v>
      </c>
      <c r="C1723" t="str">
        <f>"71 07 564523"</f>
        <v>71 07 564523</v>
      </c>
      <c r="D1723" t="str">
        <f>"4854630283324039"</f>
        <v>4854630283324039</v>
      </c>
      <c r="E1723" t="str">
        <f>"2020-04-30"</f>
        <v>2020-04-30</v>
      </c>
      <c r="F1723" t="str">
        <f>"Y"</f>
        <v>Y</v>
      </c>
      <c r="G1723" t="str">
        <f>"Q"</f>
        <v>Q</v>
      </c>
      <c r="H1723" t="str">
        <f>"40817810116992557201"</f>
        <v>40817810116992557201</v>
      </c>
      <c r="I1723" t="str">
        <f>"8647"</f>
        <v>8647</v>
      </c>
      <c r="J1723" t="str">
        <f>"0276"</f>
        <v>0276</v>
      </c>
      <c r="K1723" t="str">
        <f>"0.00"</f>
        <v>0.00</v>
      </c>
      <c r="L1723" t="str">
        <f>"627300 ОБЛ ТЮМЕНСКАЯ Р-Н ГОЛЫШМАНОВСКИЙ   РП ГОЛЫШМАНОВО УЛ САДОВАЯ д. 89"</f>
        <v>627300 ОБЛ ТЮМЕНСКАЯ Р-Н ГОЛЫШМАНОВСКИЙ   РП ГОЛЫШМАНОВО УЛ САДОВАЯ д. 89</v>
      </c>
      <c r="M1723" t="str">
        <f t="shared" si="292"/>
        <v>2019-08-24</v>
      </c>
      <c r="N1723" t="str">
        <f>"ПФР ГОЛЫШМАНОВСКИЙ"</f>
        <v>ПФР ГОЛЫШМАНОВСКИЙ</v>
      </c>
      <c r="O1723" t="str">
        <f>"627300"</f>
        <v>627300</v>
      </c>
      <c r="P1723" t="str">
        <f>"ОБЛ ТЮМЕНСКАЯ"</f>
        <v>ОБЛ ТЮМЕНСКАЯ</v>
      </c>
      <c r="Q1723" t="str">
        <f>"Р-Н ГОЛЫШМАНОВСКИЙ"</f>
        <v>Р-Н ГОЛЫШМАНОВСКИЙ</v>
      </c>
      <c r="R1723" t="str">
        <f>""</f>
        <v/>
      </c>
      <c r="S1723" t="str">
        <f>"Д БОРОВЛЯНКА"</f>
        <v>Д БОРОВЛЯНКА</v>
      </c>
      <c r="T1723" t="str">
        <f>"УЛ ЦВЕТОЧНАЯ"</f>
        <v>УЛ ЦВЕТОЧНАЯ</v>
      </c>
      <c r="U1723" s="1" t="str">
        <f>"24"</f>
        <v>24</v>
      </c>
      <c r="V1723" s="1" t="str">
        <f>""</f>
        <v/>
      </c>
      <c r="W1723" s="1" t="str">
        <f>""</f>
        <v/>
      </c>
      <c r="X1723" s="1" t="str">
        <f>""</f>
        <v/>
      </c>
      <c r="Y1723" s="1" t="str">
        <f>""</f>
        <v/>
      </c>
      <c r="Z1723" t="str">
        <f>"3454625613"</f>
        <v>3454625613</v>
      </c>
      <c r="AA1723" t="str">
        <f>"3454690289"</f>
        <v>3454690289</v>
      </c>
      <c r="AB1723" t="str">
        <f>"9224732689"</f>
        <v>9224732689</v>
      </c>
      <c r="AC1723" t="str">
        <f>"3454690289"</f>
        <v>3454690289</v>
      </c>
      <c r="AD1723" t="str">
        <f>"9224732689"</f>
        <v>9224732689</v>
      </c>
      <c r="AE1723" t="str">
        <f>"3454625613"</f>
        <v>3454625613</v>
      </c>
    </row>
    <row r="1724" spans="1:31" x14ac:dyDescent="0.45">
      <c r="A1724" t="str">
        <f>"ЩЕЛЧКОВ АНДРЕЙ ВИКТОРОВИЧ"</f>
        <v>ЩЕЛЧКОВ АНДРЕЙ ВИКТОРОВИЧ</v>
      </c>
      <c r="B1724" t="str">
        <f>"1963-11-04"</f>
        <v>1963-11-04</v>
      </c>
      <c r="C1724" t="str">
        <f>"75 08 392717"</f>
        <v>75 08 392717</v>
      </c>
      <c r="D1724" t="str">
        <f>"4854630320518304"</f>
        <v>4854630320518304</v>
      </c>
      <c r="E1724" t="str">
        <f>"2021-05-31"</f>
        <v>2021-05-31</v>
      </c>
      <c r="F1724" t="str">
        <f t="shared" ref="F1724:G1734" si="302">"+"</f>
        <v>+</v>
      </c>
      <c r="G1724" t="str">
        <f t="shared" si="302"/>
        <v>+</v>
      </c>
      <c r="H1724" t="str">
        <f>"40817810816991470498"</f>
        <v>40817810816991470498</v>
      </c>
      <c r="I1724" t="str">
        <f>"8597"</f>
        <v>8597</v>
      </c>
      <c r="J1724" t="str">
        <f>"0109"</f>
        <v>0109</v>
      </c>
      <c r="K1724" t="str">
        <f>"70000.00"</f>
        <v>70000.00</v>
      </c>
      <c r="L1724" t="str">
        <f>"454000 ОБЛ ЧЕЛЯБИНСКАЯ   Г ЧЕЛЯБИНСК   УЛ 5АЯ ЭЛЕКТРОВОЗНАЯ  д. 5"</f>
        <v>454000 ОБЛ ЧЕЛЯБИНСКАЯ   Г ЧЕЛЯБИНСК   УЛ 5АЯ ЭЛЕКТРОВОЗНАЯ  д. 5</v>
      </c>
      <c r="M1724" t="str">
        <f t="shared" si="292"/>
        <v>2019-08-24</v>
      </c>
      <c r="N1724" t="str">
        <f>"ООО ТСО"</f>
        <v>ООО ТСО</v>
      </c>
      <c r="O1724" t="str">
        <f>"454000"</f>
        <v>454000</v>
      </c>
      <c r="P1724" t="str">
        <f>"ОБЛ ЧЕЛЯБИНСКАЯ"</f>
        <v>ОБЛ ЧЕЛЯБИНСКАЯ</v>
      </c>
      <c r="Q1724" t="str">
        <f>""</f>
        <v/>
      </c>
      <c r="R1724" t="str">
        <f>"Г ЧЕЛЯБИНСК"</f>
        <v>Г ЧЕЛЯБИНСК</v>
      </c>
      <c r="S1724" t="str">
        <f>""</f>
        <v/>
      </c>
      <c r="T1724" t="str">
        <f>"УЛ ТАНКИСТОВ"</f>
        <v>УЛ ТАНКИСТОВ</v>
      </c>
      <c r="U1724" s="1" t="str">
        <f>"136"</f>
        <v>136</v>
      </c>
      <c r="V1724" s="1" t="str">
        <f>""</f>
        <v/>
      </c>
      <c r="W1724" s="1" t="str">
        <f>""</f>
        <v/>
      </c>
      <c r="X1724" s="1" t="str">
        <f>""</f>
        <v/>
      </c>
      <c r="Y1724" s="1" t="str">
        <f>"20"</f>
        <v>20</v>
      </c>
      <c r="Z1724" t="str">
        <f>"9525178570"</f>
        <v>9525178570</v>
      </c>
      <c r="AA1724" t="str">
        <f>"9080503913"</f>
        <v>9080503913</v>
      </c>
      <c r="AB1724" t="str">
        <f>"9080503913"</f>
        <v>9080503913</v>
      </c>
      <c r="AC1724" t="str">
        <f>"9080503913"</f>
        <v>9080503913</v>
      </c>
      <c r="AD1724" t="str">
        <f>"9080503913"</f>
        <v>9080503913</v>
      </c>
      <c r="AE1724" t="str">
        <f>"9525178570"</f>
        <v>9525178570</v>
      </c>
    </row>
    <row r="1725" spans="1:31" x14ac:dyDescent="0.45">
      <c r="A1725" t="str">
        <f>"ХРЕСТИНА НАДЕЖДА СЕРГЕЕВНА"</f>
        <v>ХРЕСТИНА НАДЕЖДА СЕРГЕЕВНА</v>
      </c>
      <c r="B1725" t="str">
        <f>"1965-11-10"</f>
        <v>1965-11-10</v>
      </c>
      <c r="C1725" t="str">
        <f>"65 11 058488"</f>
        <v>65 11 058488</v>
      </c>
      <c r="D1725" t="str">
        <f>"4854630406206311"</f>
        <v>4854630406206311</v>
      </c>
      <c r="E1725" t="str">
        <f>"2021-04-30"</f>
        <v>2021-04-30</v>
      </c>
      <c r="F1725" t="str">
        <f t="shared" si="302"/>
        <v>+</v>
      </c>
      <c r="G1725" t="str">
        <f t="shared" si="302"/>
        <v>+</v>
      </c>
      <c r="H1725" t="str">
        <f>"40817810316991470529"</f>
        <v>40817810316991470529</v>
      </c>
      <c r="I1725" t="str">
        <f>"7003"</f>
        <v>7003</v>
      </c>
      <c r="J1725" t="str">
        <f>"0547"</f>
        <v>0547</v>
      </c>
      <c r="K1725" t="str">
        <f>"15000.00"</f>
        <v>15000.00</v>
      </c>
      <c r="L1725" t="str">
        <f>"620000 ОБЛ СВЕРДЛОВСКАЯ   ВОЛОСТЬ СЕРОВ   ТУП ЛЬВА ТОЛСТОГО д. 26"</f>
        <v>620000 ОБЛ СВЕРДЛОВСКАЯ   ВОЛОСТЬ СЕРОВ   ТУП ЛЬВА ТОЛСТОГО д. 26</v>
      </c>
      <c r="M1725" t="str">
        <f t="shared" si="292"/>
        <v>2019-08-24</v>
      </c>
      <c r="N1725" t="str">
        <f>"ЖКХ СЕРОВ"</f>
        <v>ЖКХ СЕРОВ</v>
      </c>
      <c r="O1725" t="str">
        <f>"620000"</f>
        <v>620000</v>
      </c>
      <c r="P1725" t="str">
        <f>"ОБЛ СВЕРДЛОВСКАЯ"</f>
        <v>ОБЛ СВЕРДЛОВСКАЯ</v>
      </c>
      <c r="Q1725" t="str">
        <f>""</f>
        <v/>
      </c>
      <c r="R1725" t="str">
        <f>"Г СЕРОВ"</f>
        <v>Г СЕРОВ</v>
      </c>
      <c r="S1725" t="str">
        <f>""</f>
        <v/>
      </c>
      <c r="T1725" t="str">
        <f>"УЛ МАКСИМО ГОРЬКОГО"</f>
        <v>УЛ МАКСИМО ГОРЬКОГО</v>
      </c>
      <c r="U1725" s="1" t="str">
        <f>"51"</f>
        <v>51</v>
      </c>
      <c r="V1725" s="1" t="str">
        <f>""</f>
        <v/>
      </c>
      <c r="W1725" s="1" t="str">
        <f>""</f>
        <v/>
      </c>
      <c r="X1725" s="1" t="str">
        <f>""</f>
        <v/>
      </c>
      <c r="Y1725" s="1" t="str">
        <f>""</f>
        <v/>
      </c>
      <c r="Z1725" t="str">
        <f>""</f>
        <v/>
      </c>
      <c r="AA1725" t="str">
        <f>"9501964668"</f>
        <v>9501964668</v>
      </c>
      <c r="AB1725" t="str">
        <f>"9501964668"</f>
        <v>9501964668</v>
      </c>
      <c r="AC1725" t="str">
        <f>"9501964668"</f>
        <v>9501964668</v>
      </c>
      <c r="AD1725" t="str">
        <f>"9501964668"</f>
        <v>9501964668</v>
      </c>
      <c r="AE1725" t="str">
        <f>""</f>
        <v/>
      </c>
    </row>
    <row r="1726" spans="1:31" x14ac:dyDescent="0.45">
      <c r="A1726" t="str">
        <f>"ВОЛКОВА ОКСАНА ВАЛЕРЬЕВНА"</f>
        <v>ВОЛКОВА ОКСАНА ВАЛЕРЬЕВНА</v>
      </c>
      <c r="B1726" t="str">
        <f>"1974-10-23"</f>
        <v>1974-10-23</v>
      </c>
      <c r="C1726" t="str">
        <f>"75 03 023089"</f>
        <v>75 03 023089</v>
      </c>
      <c r="D1726" t="str">
        <f>"5313100413118356"</f>
        <v>5313100413118356</v>
      </c>
      <c r="E1726" t="str">
        <f>"2021-03-31"</f>
        <v>2021-03-31</v>
      </c>
      <c r="F1726" t="str">
        <f t="shared" si="302"/>
        <v>+</v>
      </c>
      <c r="G1726" t="str">
        <f t="shared" si="302"/>
        <v>+</v>
      </c>
      <c r="H1726" t="str">
        <f>"40817810116991430620"</f>
        <v>40817810116991430620</v>
      </c>
      <c r="I1726" t="str">
        <f>"8597"</f>
        <v>8597</v>
      </c>
      <c r="J1726" t="str">
        <f>"0235"</f>
        <v>0235</v>
      </c>
      <c r="K1726" t="str">
        <f>"20000.00"</f>
        <v>20000.00</v>
      </c>
      <c r="L1726" t="str">
        <f>"454000 ОБЛ ЧЕЛЯБИНСКАЯ   Г ЧЕЛЯБИНСК   УЛ ДЗЕРЖИНСКОГО д. 84 офис 12"</f>
        <v>454000 ОБЛ ЧЕЛЯБИНСКАЯ   Г ЧЕЛЯБИНСК   УЛ ДЗЕРЖИНСКОГО д. 84 офис 12</v>
      </c>
      <c r="M1726" t="str">
        <f t="shared" si="292"/>
        <v>2019-08-24</v>
      </c>
      <c r="N1726" t="s">
        <v>98</v>
      </c>
      <c r="O1726" t="str">
        <f>"454000"</f>
        <v>454000</v>
      </c>
      <c r="P1726" t="str">
        <f>"ОБЛ ЧЕЛЯБИНСКАЯ"</f>
        <v>ОБЛ ЧЕЛЯБИНСКАЯ</v>
      </c>
      <c r="Q1726" t="str">
        <f>""</f>
        <v/>
      </c>
      <c r="R1726" t="str">
        <f>"Г ЧЕЛЯБИНСК"</f>
        <v>Г ЧЕЛЯБИНСК</v>
      </c>
      <c r="S1726" t="str">
        <f>""</f>
        <v/>
      </c>
      <c r="T1726" t="str">
        <f>"УЛ ЧИЧЕРИНА"</f>
        <v>УЛ ЧИЧЕРИНА</v>
      </c>
      <c r="U1726" s="1" t="str">
        <f>"6"</f>
        <v>6</v>
      </c>
      <c r="V1726" s="1" t="str">
        <f>""</f>
        <v/>
      </c>
      <c r="W1726" s="1" t="str">
        <f>""</f>
        <v/>
      </c>
      <c r="X1726" s="1" t="str">
        <f>""</f>
        <v/>
      </c>
      <c r="Y1726" s="1" t="str">
        <f>"16"</f>
        <v>16</v>
      </c>
      <c r="Z1726" t="str">
        <f>""</f>
        <v/>
      </c>
      <c r="AA1726" t="str">
        <f>"9128073130"</f>
        <v>9128073130</v>
      </c>
      <c r="AB1726" t="str">
        <f>"9128073130"</f>
        <v>9128073130</v>
      </c>
      <c r="AC1726" t="str">
        <f>"9128073130"</f>
        <v>9128073130</v>
      </c>
      <c r="AD1726" t="str">
        <f>"9128073130"</f>
        <v>9128073130</v>
      </c>
      <c r="AE1726" t="str">
        <f>""</f>
        <v/>
      </c>
    </row>
    <row r="1727" spans="1:31" x14ac:dyDescent="0.45">
      <c r="A1727" t="str">
        <f>"РУСТАМОВ АРИФ НУРМАМЕД ОГЛЫ"</f>
        <v>РУСТАМОВ АРИФ НУРМАМЕД ОГЛЫ</v>
      </c>
      <c r="B1727" t="str">
        <f>"1958-06-07"</f>
        <v>1958-06-07</v>
      </c>
      <c r="C1727" t="str">
        <f>"65 15 158211"</f>
        <v>65 15 158211</v>
      </c>
      <c r="D1727" t="str">
        <f>"5313100146081988"</f>
        <v>5313100146081988</v>
      </c>
      <c r="E1727" t="str">
        <f>"2021-03-31"</f>
        <v>2021-03-31</v>
      </c>
      <c r="F1727" t="str">
        <f t="shared" si="302"/>
        <v>+</v>
      </c>
      <c r="G1727" t="str">
        <f t="shared" si="302"/>
        <v>+</v>
      </c>
      <c r="H1727" t="str">
        <f>"40817810416991430621"</f>
        <v>40817810416991430621</v>
      </c>
      <c r="I1727" t="str">
        <f>"7003"</f>
        <v>7003</v>
      </c>
      <c r="J1727" t="str">
        <f>"0393"</f>
        <v>0393</v>
      </c>
      <c r="K1727" t="str">
        <f>"145000.00"</f>
        <v>145000.00</v>
      </c>
      <c r="L1727" t="str">
        <f>"620000 ОБЛ СВЕРДЛОВСКАЯ   Г ЕКАТЕРИНБУРГ   УЛ АВТОМАГИСТРАЛЬНАЯ д. 31 кв. 53"</f>
        <v>620000 ОБЛ СВЕРДЛОВСКАЯ   Г ЕКАТЕРИНБУРГ   УЛ АВТОМАГИСТРАЛЬНАЯ д. 31 кв. 53</v>
      </c>
      <c r="M1727" t="str">
        <f t="shared" si="292"/>
        <v>2019-08-24</v>
      </c>
      <c r="N1727" t="str">
        <f>"ИП"</f>
        <v>ИП</v>
      </c>
      <c r="O1727" t="str">
        <f>"620000"</f>
        <v>620000</v>
      </c>
      <c r="P1727" t="str">
        <f>"ОБЛ СВЕРДЛОВСКАЯ"</f>
        <v>ОБЛ СВЕРДЛОВСКАЯ</v>
      </c>
      <c r="Q1727" t="str">
        <f>""</f>
        <v/>
      </c>
      <c r="R1727" t="str">
        <f>"Г ЕКАТЕРИНБУРГ"</f>
        <v>Г ЕКАТЕРИНБУРГ</v>
      </c>
      <c r="S1727" t="str">
        <f>""</f>
        <v/>
      </c>
      <c r="T1727" t="str">
        <f>"УЛ АВТОМАГИСТРАЛЬНАЯ"</f>
        <v>УЛ АВТОМАГИСТРАЛЬНАЯ</v>
      </c>
      <c r="U1727" s="1" t="str">
        <f>"31"</f>
        <v>31</v>
      </c>
      <c r="V1727" s="1" t="str">
        <f>""</f>
        <v/>
      </c>
      <c r="W1727" s="1" t="str">
        <f>""</f>
        <v/>
      </c>
      <c r="X1727" s="1" t="str">
        <f>""</f>
        <v/>
      </c>
      <c r="Y1727" s="1" t="str">
        <f>"53"</f>
        <v>53</v>
      </c>
      <c r="Z1727" t="str">
        <f>""</f>
        <v/>
      </c>
      <c r="AA1727" t="str">
        <f>"9221844915"</f>
        <v>9221844915</v>
      </c>
      <c r="AB1727" t="str">
        <f>"9120309905"</f>
        <v>9120309905</v>
      </c>
      <c r="AC1727" t="str">
        <f>"9221844915"</f>
        <v>9221844915</v>
      </c>
      <c r="AD1727" t="str">
        <f>"9120309905"</f>
        <v>9120309905</v>
      </c>
      <c r="AE1727" t="str">
        <f>""</f>
        <v/>
      </c>
    </row>
    <row r="1728" spans="1:31" x14ac:dyDescent="0.45">
      <c r="A1728" t="str">
        <f>"БАЛАШОВА НАДЕЖДА ПАВЛОВНА"</f>
        <v>БАЛАШОВА НАДЕЖДА ПАВЛОВНА</v>
      </c>
      <c r="B1728" t="str">
        <f>"1963-08-28"</f>
        <v>1963-08-28</v>
      </c>
      <c r="C1728" t="str">
        <f>"65 08 450969"</f>
        <v>65 08 450969</v>
      </c>
      <c r="D1728" t="str">
        <f>"4854630234774886"</f>
        <v>4854630234774886</v>
      </c>
      <c r="E1728" t="str">
        <f>"2021-04-30"</f>
        <v>2021-04-30</v>
      </c>
      <c r="F1728" t="str">
        <f t="shared" si="302"/>
        <v>+</v>
      </c>
      <c r="G1728" t="str">
        <f t="shared" si="302"/>
        <v>+</v>
      </c>
      <c r="H1728" t="str">
        <f>"40817810816991430632"</f>
        <v>40817810816991430632</v>
      </c>
      <c r="I1728" t="str">
        <f>"7003"</f>
        <v>7003</v>
      </c>
      <c r="J1728" t="str">
        <f>"0892"</f>
        <v>0892</v>
      </c>
      <c r="K1728" t="str">
        <f>"240000.00"</f>
        <v>240000.00</v>
      </c>
      <c r="L1728" t="str">
        <f>"620000 ОБЛ СВЕРДЛОВСКАЯ   Г ВЕРХНЯЯ ПЫШМА   УЛ ПЕТРОВА д. 1"</f>
        <v>620000 ОБЛ СВЕРДЛОВСКАЯ   Г ВЕРХНЯЯ ПЫШМА   УЛ ПЕТРОВА д. 1</v>
      </c>
      <c r="M1728" t="str">
        <f t="shared" si="292"/>
        <v>2019-08-24</v>
      </c>
      <c r="N1728" t="str">
        <f>"ООО УГМК-АГРО"</f>
        <v>ООО УГМК-АГРО</v>
      </c>
      <c r="O1728" t="str">
        <f>"620000"</f>
        <v>620000</v>
      </c>
      <c r="P1728" t="str">
        <f>"ОБЛ СВЕРДЛОВСКАЯ"</f>
        <v>ОБЛ СВЕРДЛОВСКАЯ</v>
      </c>
      <c r="Q1728" t="str">
        <f>""</f>
        <v/>
      </c>
      <c r="R1728" t="str">
        <f>"Г ЕКАТЕРИНБУРГ"</f>
        <v>Г ЕКАТЕРИНБУРГ</v>
      </c>
      <c r="S1728" t="str">
        <f>""</f>
        <v/>
      </c>
      <c r="T1728" t="str">
        <f>"УЛ КОСМОНАВТОВ"</f>
        <v>УЛ КОСМОНАВТОВ</v>
      </c>
      <c r="U1728" s="1" t="str">
        <f>"76"</f>
        <v>76</v>
      </c>
      <c r="V1728" s="1" t="str">
        <f>""</f>
        <v/>
      </c>
      <c r="W1728" s="1" t="str">
        <f>""</f>
        <v/>
      </c>
      <c r="X1728" s="1" t="str">
        <f>""</f>
        <v/>
      </c>
      <c r="Y1728" s="1" t="str">
        <f>"46"</f>
        <v>46</v>
      </c>
      <c r="Z1728" t="str">
        <f>""</f>
        <v/>
      </c>
      <c r="AA1728" t="str">
        <f>"9521436990"</f>
        <v>9521436990</v>
      </c>
      <c r="AB1728" t="str">
        <f>"9521436990"</f>
        <v>9521436990</v>
      </c>
      <c r="AC1728" t="str">
        <f>"9521436990"</f>
        <v>9521436990</v>
      </c>
      <c r="AD1728" t="str">
        <f>"9521436990"</f>
        <v>9521436990</v>
      </c>
      <c r="AE1728" t="str">
        <f>""</f>
        <v/>
      </c>
    </row>
    <row r="1729" spans="1:31" x14ac:dyDescent="0.45">
      <c r="A1729" t="str">
        <f>"ГОЛУБЕВА ОКСАНА ПАВЛОВНА"</f>
        <v>ГОЛУБЕВА ОКСАНА ПАВЛОВНА</v>
      </c>
      <c r="B1729" t="str">
        <f>"1973-10-04"</f>
        <v>1973-10-04</v>
      </c>
      <c r="C1729" t="str">
        <f>"65 18 803053"</f>
        <v>65 18 803053</v>
      </c>
      <c r="D1729" t="str">
        <f>"4854630197750741"</f>
        <v>4854630197750741</v>
      </c>
      <c r="E1729" t="str">
        <f>"2021-04-30"</f>
        <v>2021-04-30</v>
      </c>
      <c r="F1729" t="str">
        <f t="shared" si="302"/>
        <v>+</v>
      </c>
      <c r="G1729" t="str">
        <f t="shared" si="302"/>
        <v>+</v>
      </c>
      <c r="H1729" t="str">
        <f>"40817810316991442625"</f>
        <v>40817810316991442625</v>
      </c>
      <c r="I1729" t="str">
        <f>"7003"</f>
        <v>7003</v>
      </c>
      <c r="J1729" t="str">
        <f>"0445"</f>
        <v>0445</v>
      </c>
      <c r="K1729" t="str">
        <f>"280000.00"</f>
        <v>280000.00</v>
      </c>
      <c r="L1729" t="str">
        <f>"620000 ОБЛ СВЕРДЛОВСКАЯ   Г ЕКАТЕРИНБУРГ   УЛ ФЛОТСКАЯ д. 41 кв. 10"</f>
        <v>620000 ОБЛ СВЕРДЛОВСКАЯ   Г ЕКАТЕРИНБУРГ   УЛ ФЛОТСКАЯ д. 41 кв. 10</v>
      </c>
      <c r="M1729" t="str">
        <f t="shared" si="292"/>
        <v>2019-08-24</v>
      </c>
      <c r="N1729" t="str">
        <f>"ГБУ СО МФЦ"</f>
        <v>ГБУ СО МФЦ</v>
      </c>
      <c r="O1729" t="str">
        <f>"620000"</f>
        <v>620000</v>
      </c>
      <c r="P1729" t="str">
        <f>"ОБЛ СВЕРДЛОВСКАЯ"</f>
        <v>ОБЛ СВЕРДЛОВСКАЯ</v>
      </c>
      <c r="Q1729" t="str">
        <f>""</f>
        <v/>
      </c>
      <c r="R1729" t="str">
        <f>"Г ЕКАТЕРИНБУРГ"</f>
        <v>Г ЕКАТЕРИНБУРГ</v>
      </c>
      <c r="S1729" t="str">
        <f>""</f>
        <v/>
      </c>
      <c r="T1729" t="str">
        <f>"УЛ ФЛОТСКАЯ"</f>
        <v>УЛ ФЛОТСКАЯ</v>
      </c>
      <c r="U1729" s="1" t="str">
        <f>"41"</f>
        <v>41</v>
      </c>
      <c r="V1729" s="1" t="str">
        <f>""</f>
        <v/>
      </c>
      <c r="W1729" s="1" t="str">
        <f>""</f>
        <v/>
      </c>
      <c r="X1729" s="1" t="str">
        <f>""</f>
        <v/>
      </c>
      <c r="Y1729" s="1" t="str">
        <f>"10"</f>
        <v>10</v>
      </c>
      <c r="Z1729" t="str">
        <f>""</f>
        <v/>
      </c>
      <c r="AA1729" t="str">
        <f>"9644852555"</f>
        <v>9644852555</v>
      </c>
      <c r="AB1729" t="str">
        <f>"9644852555"</f>
        <v>9644852555</v>
      </c>
      <c r="AC1729" t="str">
        <f>"9644852555"</f>
        <v>9644852555</v>
      </c>
      <c r="AD1729" t="str">
        <f>"9644852555"</f>
        <v>9644852555</v>
      </c>
      <c r="AE1729" t="str">
        <f>""</f>
        <v/>
      </c>
    </row>
    <row r="1730" spans="1:31" x14ac:dyDescent="0.45">
      <c r="A1730" t="str">
        <f>"ШАГЕЕВ РАМИЛЬ ШАРАПОВИЧ"</f>
        <v>ШАГЕЕВ РАМИЛЬ ШАРАПОВИЧ</v>
      </c>
      <c r="B1730" t="str">
        <f>"1955-08-03"</f>
        <v>1955-08-03</v>
      </c>
      <c r="C1730" t="str">
        <f>"37 02 392087"</f>
        <v>37 02 392087</v>
      </c>
      <c r="D1730" t="str">
        <f>"4854630408541012"</f>
        <v>4854630408541012</v>
      </c>
      <c r="E1730" t="str">
        <f>"2021-04-30"</f>
        <v>2021-04-30</v>
      </c>
      <c r="F1730" t="str">
        <f t="shared" si="302"/>
        <v>+</v>
      </c>
      <c r="G1730" t="str">
        <f t="shared" si="302"/>
        <v>+</v>
      </c>
      <c r="H1730" t="str">
        <f>"40817810716991470381"</f>
        <v>40817810716991470381</v>
      </c>
      <c r="I1730" t="str">
        <f>"8599"</f>
        <v>8599</v>
      </c>
      <c r="J1730" t="str">
        <f>"0159"</f>
        <v>0159</v>
      </c>
      <c r="K1730" t="str">
        <f>"10000.00"</f>
        <v>10000.00</v>
      </c>
      <c r="L1730" t="str">
        <f>"641010 ОБЛ КУРГАНСКАЯ   Г ЩУЧЬЕ   УЛ СОВЕТСКАЯ д. 10"</f>
        <v>641010 ОБЛ КУРГАНСКАЯ   Г ЩУЧЬЕ   УЛ СОВЕТСКАЯ д. 10</v>
      </c>
      <c r="M1730" t="str">
        <f t="shared" ref="M1730:M1793" si="303">"2019-08-24"</f>
        <v>2019-08-24</v>
      </c>
      <c r="N1730" t="str">
        <f>"СДО № 8599/0159"</f>
        <v>СДО № 8599/0159</v>
      </c>
      <c r="O1730" t="str">
        <f>"641086"</f>
        <v>641086</v>
      </c>
      <c r="P1730" t="str">
        <f>"ОБЛ КУРГАНСКАЯ"</f>
        <v>ОБЛ КУРГАНСКАЯ</v>
      </c>
      <c r="Q1730" t="str">
        <f>""</f>
        <v/>
      </c>
      <c r="R1730" t="str">
        <f>""</f>
        <v/>
      </c>
      <c r="S1730" t="str">
        <f>"С МАНСУРОВО"</f>
        <v>С МАНСУРОВО</v>
      </c>
      <c r="T1730" t="str">
        <f>"УЛ ЛЕНИНА"</f>
        <v>УЛ ЛЕНИНА</v>
      </c>
      <c r="U1730" s="1" t="str">
        <f>"41"</f>
        <v>41</v>
      </c>
      <c r="V1730" s="1" t="str">
        <f>""</f>
        <v/>
      </c>
      <c r="W1730" s="1" t="str">
        <f>""</f>
        <v/>
      </c>
      <c r="X1730" s="1" t="str">
        <f>""</f>
        <v/>
      </c>
      <c r="Y1730" s="1" t="str">
        <f>""</f>
        <v/>
      </c>
      <c r="Z1730" t="str">
        <f>"9226381388"</f>
        <v>9226381388</v>
      </c>
      <c r="AA1730" t="str">
        <f>"9292361759"</f>
        <v>9292361759</v>
      </c>
      <c r="AB1730" t="str">
        <f>"9292361759"</f>
        <v>9292361759</v>
      </c>
      <c r="AC1730" t="str">
        <f>"9292361759"</f>
        <v>9292361759</v>
      </c>
      <c r="AD1730" t="str">
        <f>"9292361759"</f>
        <v>9292361759</v>
      </c>
      <c r="AE1730" t="str">
        <f>""</f>
        <v/>
      </c>
    </row>
    <row r="1731" spans="1:31" x14ac:dyDescent="0.45">
      <c r="A1731" t="str">
        <f>"ЮСУПОВА ЗИЛЯ САЛАВАТОВНА"</f>
        <v>ЮСУПОВА ЗИЛЯ САЛАВАТОВНА</v>
      </c>
      <c r="B1731" t="str">
        <f>"1982-07-22"</f>
        <v>1982-07-22</v>
      </c>
      <c r="C1731" t="str">
        <f>"80 03 492993"</f>
        <v>80 03 492993</v>
      </c>
      <c r="D1731" t="str">
        <f>"4854630319254705"</f>
        <v>4854630319254705</v>
      </c>
      <c r="E1731" t="str">
        <f>"2021-05-31"</f>
        <v>2021-05-31</v>
      </c>
      <c r="F1731" t="str">
        <f t="shared" si="302"/>
        <v>+</v>
      </c>
      <c r="G1731" t="str">
        <f t="shared" si="302"/>
        <v>+</v>
      </c>
      <c r="H1731" t="str">
        <f>"40817810016991470382"</f>
        <v>40817810016991470382</v>
      </c>
      <c r="I1731" t="str">
        <f>"8597"</f>
        <v>8597</v>
      </c>
      <c r="J1731" t="str">
        <f>"0420"</f>
        <v>0420</v>
      </c>
      <c r="K1731" t="str">
        <f>"20000.00"</f>
        <v>20000.00</v>
      </c>
      <c r="L1731" t="str">
        <f>"454000 ОБЛ ЧЕЛЯБИНСКАЯ Р-Н КУНАШАКСКИЙ   С КУНАШАК УЛ КОММУНИСТИЧЕСКАЯ д. 64"</f>
        <v>454000 ОБЛ ЧЕЛЯБИНСКАЯ Р-Н КУНАШАКСКИЙ   С КУНАШАК УЛ КОММУНИСТИЧЕСКАЯ д. 64</v>
      </c>
      <c r="M1731" t="str">
        <f t="shared" si="303"/>
        <v>2019-08-24</v>
      </c>
      <c r="N1731" t="s">
        <v>99</v>
      </c>
      <c r="O1731" t="str">
        <f>"454000"</f>
        <v>454000</v>
      </c>
      <c r="P1731" t="str">
        <f>"ОБЛ ЧЕЛЯБИНСКАЯ"</f>
        <v>ОБЛ ЧЕЛЯБИНСКАЯ</v>
      </c>
      <c r="Q1731" t="str">
        <f>"Р-Н КУНАШАКСКИЙ"</f>
        <v>Р-Н КУНАШАКСКИЙ</v>
      </c>
      <c r="R1731" t="str">
        <f>""</f>
        <v/>
      </c>
      <c r="S1731" t="str">
        <f>"Д БОЛЬШАЯ ИРКАБАЕВО"</f>
        <v>Д БОЛЬШАЯ ИРКАБАЕВО</v>
      </c>
      <c r="T1731" t="str">
        <f>"УЛ ЛУГОВАЯ"</f>
        <v>УЛ ЛУГОВАЯ</v>
      </c>
      <c r="U1731" s="1" t="str">
        <f>"16"</f>
        <v>16</v>
      </c>
      <c r="V1731" s="1" t="str">
        <f>""</f>
        <v/>
      </c>
      <c r="W1731" s="1" t="str">
        <f>""</f>
        <v/>
      </c>
      <c r="X1731" s="1" t="str">
        <f>""</f>
        <v/>
      </c>
      <c r="Y1731" s="1" t="str">
        <f>""</f>
        <v/>
      </c>
      <c r="Z1731" t="str">
        <f>""</f>
        <v/>
      </c>
      <c r="AA1731" t="str">
        <f>"9080718033"</f>
        <v>9080718033</v>
      </c>
      <c r="AB1731" t="str">
        <f>"9080720791"</f>
        <v>9080720791</v>
      </c>
      <c r="AC1731" t="str">
        <f>"9080718033"</f>
        <v>9080718033</v>
      </c>
      <c r="AD1731" t="str">
        <f>"9080720791"</f>
        <v>9080720791</v>
      </c>
      <c r="AE1731" t="str">
        <f>""</f>
        <v/>
      </c>
    </row>
    <row r="1732" spans="1:31" x14ac:dyDescent="0.45">
      <c r="A1732" t="str">
        <f>"КАЗАНЦЕВА ЛЮДМИЛА ВЛАДИМИРОВНА"</f>
        <v>КАЗАНЦЕВА ЛЮДМИЛА ВЛАДИМИРОВНА</v>
      </c>
      <c r="B1732" t="str">
        <f>"1956-09-27"</f>
        <v>1956-09-27</v>
      </c>
      <c r="C1732" t="str">
        <f>"65 02 213800"</f>
        <v>65 02 213800</v>
      </c>
      <c r="D1732" t="str">
        <f>"4854630426719517"</f>
        <v>4854630426719517</v>
      </c>
      <c r="E1732" t="str">
        <f>"2021-05-31"</f>
        <v>2021-05-31</v>
      </c>
      <c r="F1732" t="str">
        <f t="shared" si="302"/>
        <v>+</v>
      </c>
      <c r="G1732" t="str">
        <f t="shared" si="302"/>
        <v>+</v>
      </c>
      <c r="H1732" t="str">
        <f>"40817810316991470383"</f>
        <v>40817810316991470383</v>
      </c>
      <c r="I1732" t="str">
        <f>"7003"</f>
        <v>7003</v>
      </c>
      <c r="J1732" t="str">
        <f>"0632"</f>
        <v>0632</v>
      </c>
      <c r="K1732" t="str">
        <f>"40000.00"</f>
        <v>40000.00</v>
      </c>
      <c r="L1732" t="str">
        <f>"624000 ОБЛ СВЕРДЛОВСКАЯ     ПГТ БЕЛОЯРСКИЙ УЛ МИРА д. 20 кв. 0"</f>
        <v>624000 ОБЛ СВЕРДЛОВСКАЯ     ПГТ БЕЛОЯРСКИЙ УЛ МИРА д. 20 кв. 0</v>
      </c>
      <c r="M1732" t="str">
        <f t="shared" si="303"/>
        <v>2019-08-24</v>
      </c>
      <c r="N1732" t="str">
        <f>"ФАБРИКА"</f>
        <v>ФАБРИКА</v>
      </c>
      <c r="O1732" t="str">
        <f>"624000"</f>
        <v>624000</v>
      </c>
      <c r="P1732" t="str">
        <f>"ОБЛ СВЕРДЛОВСКАЯ"</f>
        <v>ОБЛ СВЕРДЛОВСКАЯ</v>
      </c>
      <c r="Q1732" t="str">
        <f>""</f>
        <v/>
      </c>
      <c r="R1732" t="str">
        <f>""</f>
        <v/>
      </c>
      <c r="S1732" t="str">
        <f>"ПГТ БЕЛОЯРСКИЙ"</f>
        <v>ПГТ БЕЛОЯРСКИЙ</v>
      </c>
      <c r="T1732" t="str">
        <f>"УЛ МИРА"</f>
        <v>УЛ МИРА</v>
      </c>
      <c r="U1732" s="1" t="str">
        <f>"47"</f>
        <v>47</v>
      </c>
      <c r="V1732" s="1" t="str">
        <f>"А"</f>
        <v>А</v>
      </c>
      <c r="W1732" s="1" t="str">
        <f>""</f>
        <v/>
      </c>
      <c r="X1732" s="1" t="str">
        <f>""</f>
        <v/>
      </c>
      <c r="Y1732" s="1" t="str">
        <f>"13"</f>
        <v>13</v>
      </c>
      <c r="Z1732" t="str">
        <f>""</f>
        <v/>
      </c>
      <c r="AA1732" t="str">
        <f>"9193644226"</f>
        <v>9193644226</v>
      </c>
      <c r="AB1732" t="str">
        <f>"9193644226"</f>
        <v>9193644226</v>
      </c>
      <c r="AC1732" t="str">
        <f>"9193644226"</f>
        <v>9193644226</v>
      </c>
      <c r="AD1732" t="str">
        <f>"9193644226"</f>
        <v>9193644226</v>
      </c>
      <c r="AE1732" t="str">
        <f>""</f>
        <v/>
      </c>
    </row>
    <row r="1733" spans="1:31" x14ac:dyDescent="0.45">
      <c r="A1733" t="str">
        <f>"РУХТИН СЕРГЕЙ ВЛАДИМИРОВИЧ"</f>
        <v>РУХТИН СЕРГЕЙ ВЛАДИМИРОВИЧ</v>
      </c>
      <c r="B1733" t="str">
        <f>"1989-05-22"</f>
        <v>1989-05-22</v>
      </c>
      <c r="C1733" t="str">
        <f>"65 09 830268"</f>
        <v>65 09 830268</v>
      </c>
      <c r="D1733" t="str">
        <f>"4854630369177962"</f>
        <v>4854630369177962</v>
      </c>
      <c r="E1733" t="str">
        <f>"2021-04-30"</f>
        <v>2021-04-30</v>
      </c>
      <c r="F1733" t="str">
        <f t="shared" si="302"/>
        <v>+</v>
      </c>
      <c r="G1733" t="str">
        <f t="shared" si="302"/>
        <v>+</v>
      </c>
      <c r="H1733" t="str">
        <f>"40817810616991470384"</f>
        <v>40817810616991470384</v>
      </c>
      <c r="I1733" t="str">
        <f>"7003"</f>
        <v>7003</v>
      </c>
      <c r="J1733" t="str">
        <f>"0720"</f>
        <v>0720</v>
      </c>
      <c r="K1733" t="str">
        <f>"30000.00"</f>
        <v>30000.00</v>
      </c>
      <c r="L1733" t="str">
        <f>"622000 ОБЛ СВЕРДЛОВСКАЯ   Г НИЖНИЙ ТАГИЛ   УЛ ЮНОСТИ д. 11"</f>
        <v>622000 ОБЛ СВЕРДЛОВСКАЯ   Г НИЖНИЙ ТАГИЛ   УЛ ЮНОСТИ д. 11</v>
      </c>
      <c r="M1733" t="str">
        <f t="shared" si="303"/>
        <v>2019-08-24</v>
      </c>
      <c r="N1733" t="str">
        <f>"ВОЙСКОВАЯ ЧАСТЬ №6748"</f>
        <v>ВОЙСКОВАЯ ЧАСТЬ №6748</v>
      </c>
      <c r="O1733" t="str">
        <f>"620000"</f>
        <v>620000</v>
      </c>
      <c r="P1733" t="str">
        <f>"ОБЛ СВЕРДЛОВСКАЯ"</f>
        <v>ОБЛ СВЕРДЛОВСКАЯ</v>
      </c>
      <c r="Q1733" t="str">
        <f>"Р-Н НЕВЬЯНСКИЙ"</f>
        <v>Р-Н НЕВЬЯНСКИЙ</v>
      </c>
      <c r="R1733" t="str">
        <f>""</f>
        <v/>
      </c>
      <c r="S1733" t="str">
        <f>"С БЫНЬГИ"</f>
        <v>С БЫНЬГИ</v>
      </c>
      <c r="T1733" t="str">
        <f>"УЛ НАБЕРЕЖНАЯ"</f>
        <v>УЛ НАБЕРЕЖНАЯ</v>
      </c>
      <c r="U1733" s="1" t="str">
        <f>"7"</f>
        <v>7</v>
      </c>
      <c r="V1733" s="1" t="str">
        <f>""</f>
        <v/>
      </c>
      <c r="W1733" s="1" t="str">
        <f>""</f>
        <v/>
      </c>
      <c r="X1733" s="1" t="str">
        <f>""</f>
        <v/>
      </c>
      <c r="Y1733" s="1" t="str">
        <f>"1"</f>
        <v>1</v>
      </c>
      <c r="Z1733" t="str">
        <f>"9041780941"</f>
        <v>9041780941</v>
      </c>
      <c r="AA1733" t="str">
        <f>"9041780941"</f>
        <v>9041780941</v>
      </c>
      <c r="AB1733" t="str">
        <f>"9041780941"</f>
        <v>9041780941</v>
      </c>
      <c r="AC1733" t="str">
        <f>"9041780941"</f>
        <v>9041780941</v>
      </c>
      <c r="AD1733" t="str">
        <f>"9041780941"</f>
        <v>9041780941</v>
      </c>
      <c r="AE1733" t="str">
        <f>"9041780941"</f>
        <v>9041780941</v>
      </c>
    </row>
    <row r="1734" spans="1:31" x14ac:dyDescent="0.45">
      <c r="A1734" t="str">
        <f>"ДАВЫДКИНА ГАЛИНА АЛЕКСЕЕВНА"</f>
        <v>ДАВЫДКИНА ГАЛИНА АЛЕКСЕЕВНА</v>
      </c>
      <c r="B1734" t="str">
        <f>"1971-12-16"</f>
        <v>1971-12-16</v>
      </c>
      <c r="C1734" t="str">
        <f>"65 16 361099"</f>
        <v>65 16 361099</v>
      </c>
      <c r="D1734" t="str">
        <f>"4854630204027430"</f>
        <v>4854630204027430</v>
      </c>
      <c r="E1734" t="str">
        <f>"2021-04-30"</f>
        <v>2021-04-30</v>
      </c>
      <c r="F1734" t="str">
        <f t="shared" si="302"/>
        <v>+</v>
      </c>
      <c r="G1734" t="str">
        <f t="shared" si="302"/>
        <v>+</v>
      </c>
      <c r="H1734" t="str">
        <f>"40817810816991470430"</f>
        <v>40817810816991470430</v>
      </c>
      <c r="I1734" t="str">
        <f>"7003"</f>
        <v>7003</v>
      </c>
      <c r="J1734" t="str">
        <f>"0549"</f>
        <v>0549</v>
      </c>
      <c r="K1734" t="str">
        <f>"115000.00"</f>
        <v>115000.00</v>
      </c>
      <c r="L1734" t="str">
        <f>"620000 ОБЛ СВЕРДЛОВСКАЯ Р-Н НОВОЛЯЛИНСКИЙ   П ЛОБВА УЛ ЧКАЛОВА д. 18 кв. 2"</f>
        <v>620000 ОБЛ СВЕРДЛОВСКАЯ Р-Н НОВОЛЯЛИНСКИЙ   П ЛОБВА УЛ ЧКАЛОВА д. 18 кв. 2</v>
      </c>
      <c r="M1734" t="str">
        <f t="shared" si="303"/>
        <v>2019-08-24</v>
      </c>
      <c r="N1734" t="str">
        <f>"16056339"</f>
        <v>16056339</v>
      </c>
      <c r="O1734" t="str">
        <f>"620000"</f>
        <v>620000</v>
      </c>
      <c r="P1734" t="str">
        <f>"ОБЛ СВЕРДЛОВСКАЯ"</f>
        <v>ОБЛ СВЕРДЛОВСКАЯ</v>
      </c>
      <c r="Q1734" t="str">
        <f>"Р-Н НОВОЛЯЛИНСКИЙ"</f>
        <v>Р-Н НОВОЛЯЛИНСКИЙ</v>
      </c>
      <c r="R1734" t="str">
        <f>""</f>
        <v/>
      </c>
      <c r="S1734" t="str">
        <f>"П ЛОБВА"</f>
        <v>П ЛОБВА</v>
      </c>
      <c r="T1734" t="str">
        <f>"УЛ ЧКАЛОВА"</f>
        <v>УЛ ЧКАЛОВА</v>
      </c>
      <c r="U1734" s="1" t="str">
        <f>"18"</f>
        <v>18</v>
      </c>
      <c r="V1734" s="1" t="str">
        <f>""</f>
        <v/>
      </c>
      <c r="W1734" s="1" t="str">
        <f>""</f>
        <v/>
      </c>
      <c r="X1734" s="1" t="str">
        <f>""</f>
        <v/>
      </c>
      <c r="Y1734" s="1" t="str">
        <f>"2"</f>
        <v>2</v>
      </c>
      <c r="Z1734" t="str">
        <f>"3438832409"</f>
        <v>3438832409</v>
      </c>
      <c r="AA1734" t="str">
        <f>"(34388)32415"</f>
        <v>(34388)32415</v>
      </c>
      <c r="AB1734" t="str">
        <f>"9530004322"</f>
        <v>9530004322</v>
      </c>
      <c r="AC1734" t="str">
        <f>"9530004322"</f>
        <v>9530004322</v>
      </c>
      <c r="AD1734" t="str">
        <f>"9530004322"</f>
        <v>9530004322</v>
      </c>
      <c r="AE1734" t="str">
        <f>"9530004322"</f>
        <v>9530004322</v>
      </c>
    </row>
    <row r="1735" spans="1:31" x14ac:dyDescent="0.45">
      <c r="A1735" t="str">
        <f>"ЧЕРЕДИНОВА АЛЕКСАНДРА АЛЕКСАНДРОВНА"</f>
        <v>ЧЕРЕДИНОВА АЛЕКСАНДРА АЛЕКСАНДРОВНА</v>
      </c>
      <c r="B1735" t="str">
        <f>"1954-03-05"</f>
        <v>1954-03-05</v>
      </c>
      <c r="C1735" t="str">
        <f>"65 02 725118"</f>
        <v>65 02 725118</v>
      </c>
      <c r="D1735" t="str">
        <f>"4854630428416088"</f>
        <v>4854630428416088</v>
      </c>
      <c r="E1735" t="str">
        <f>"2021-05-31"</f>
        <v>2021-05-31</v>
      </c>
      <c r="F1735" t="str">
        <f>"Q"</f>
        <v>Q</v>
      </c>
      <c r="G1735" t="str">
        <f>"Q"</f>
        <v>Q</v>
      </c>
      <c r="H1735" t="str">
        <f>"40817810116991470431"</f>
        <v>40817810116991470431</v>
      </c>
      <c r="I1735" t="str">
        <f>"7003"</f>
        <v>7003</v>
      </c>
      <c r="J1735" t="str">
        <f>"0681"</f>
        <v>0681</v>
      </c>
      <c r="K1735" t="str">
        <f>"0.00"</f>
        <v>0.00</v>
      </c>
      <c r="L1735" t="str">
        <f>"623100 ОБЛ СВЕРДЛОВСКАЯ   Г ПЕРВОУРАЛЬСК   УЛ БЕРЕГОВАЯ д. 52 кв. 30"</f>
        <v>623100 ОБЛ СВЕРДЛОВСКАЯ   Г ПЕРВОУРАЛЬСК   УЛ БЕРЕГОВАЯ д. 52 кв. 30</v>
      </c>
      <c r="M1735" t="str">
        <f t="shared" si="303"/>
        <v>2019-08-24</v>
      </c>
      <c r="N1735" t="str">
        <f>"ПЕНСИОНЕР"</f>
        <v>ПЕНСИОНЕР</v>
      </c>
      <c r="O1735" t="str">
        <f>"623100"</f>
        <v>623100</v>
      </c>
      <c r="P1735" t="str">
        <f>"ОБЛ СВЕРДЛОВСКАЯ"</f>
        <v>ОБЛ СВЕРДЛОВСКАЯ</v>
      </c>
      <c r="Q1735" t="str">
        <f>""</f>
        <v/>
      </c>
      <c r="R1735" t="str">
        <f>"Г ПЕРВОУРАЛЬСК"</f>
        <v>Г ПЕРВОУРАЛЬСК</v>
      </c>
      <c r="S1735" t="str">
        <f>""</f>
        <v/>
      </c>
      <c r="T1735" t="str">
        <f>"УЛ БЕРЕГОВАЯ"</f>
        <v>УЛ БЕРЕГОВАЯ</v>
      </c>
      <c r="U1735" s="1" t="str">
        <f>"52"</f>
        <v>52</v>
      </c>
      <c r="V1735" s="1" t="str">
        <f>""</f>
        <v/>
      </c>
      <c r="W1735" s="1" t="str">
        <f>""</f>
        <v/>
      </c>
      <c r="X1735" s="1" t="str">
        <f>""</f>
        <v/>
      </c>
      <c r="Y1735" s="1" t="str">
        <f>"30"</f>
        <v>30</v>
      </c>
      <c r="Z1735" t="str">
        <f>"+7 (3439) 248235"</f>
        <v>+7 (3439) 248235</v>
      </c>
      <c r="AA1735" t="str">
        <f>"+7 (3439) 639639"</f>
        <v>+7 (3439) 639639</v>
      </c>
      <c r="AB1735" t="str">
        <f>"+7 (922) 1217811"</f>
        <v>+7 (922) 1217811</v>
      </c>
      <c r="AC1735" t="str">
        <f>"3439639639"</f>
        <v>3439639639</v>
      </c>
      <c r="AD1735" t="str">
        <f>"9221217811"</f>
        <v>9221217811</v>
      </c>
      <c r="AE1735" t="str">
        <f>""</f>
        <v/>
      </c>
    </row>
    <row r="1736" spans="1:31" x14ac:dyDescent="0.45">
      <c r="A1736" t="str">
        <f>"ДЫМОВ ЕВГЕНИЙ ИВАНОВИЧ"</f>
        <v>ДЫМОВ ЕВГЕНИЙ ИВАНОВИЧ</v>
      </c>
      <c r="B1736" t="str">
        <f>"1954-04-15"</f>
        <v>1954-04-15</v>
      </c>
      <c r="C1736" t="str">
        <f>"80 05 105954"</f>
        <v>80 05 105954</v>
      </c>
      <c r="D1736" t="str">
        <f>"5313100247313157"</f>
        <v>5313100247313157</v>
      </c>
      <c r="E1736" t="str">
        <f>"2020-11-30"</f>
        <v>2020-11-30</v>
      </c>
      <c r="F1736" t="str">
        <f t="shared" ref="F1736:G1738" si="304">"+"</f>
        <v>+</v>
      </c>
      <c r="G1736" t="str">
        <f t="shared" si="304"/>
        <v>+</v>
      </c>
      <c r="H1736" t="str">
        <f>"40817810416991470432"</f>
        <v>40817810416991470432</v>
      </c>
      <c r="I1736" t="str">
        <f>"8598"</f>
        <v>8598</v>
      </c>
      <c r="J1736" t="str">
        <f>"0440"</f>
        <v>0440</v>
      </c>
      <c r="K1736" t="str">
        <f>"20000.00"</f>
        <v>20000.00</v>
      </c>
      <c r="L1736" t="str">
        <f>"450000 РЕСП БАШКОРТОСТАН Р-Н АЛЬШЕЕВСКИЙ   С РАЕВСКИЙ УЛ ЛЕНИНА д. 138"</f>
        <v>450000 РЕСП БАШКОРТОСТАН Р-Н АЛЬШЕЕВСКИЙ   С РАЕВСКИЙ УЛ ЛЕНИНА д. 138</v>
      </c>
      <c r="M1736" t="str">
        <f t="shared" si="303"/>
        <v>2019-08-24</v>
      </c>
      <c r="N1736" t="str">
        <f>"ПЕНСИОНЕР"</f>
        <v>ПЕНСИОНЕР</v>
      </c>
      <c r="O1736" t="str">
        <f>"450000"</f>
        <v>450000</v>
      </c>
      <c r="P1736" t="str">
        <f>"РЕСП БАШКОРТОСТАН"</f>
        <v>РЕСП БАШКОРТОСТАН</v>
      </c>
      <c r="Q1736" t="str">
        <f>"Р-Н АЛЬШЕЕВСКИЙ"</f>
        <v>Р-Н АЛЬШЕЕВСКИЙ</v>
      </c>
      <c r="R1736" t="str">
        <f>""</f>
        <v/>
      </c>
      <c r="S1736" t="str">
        <f>"С КРЫМСКИЙ"</f>
        <v>С КРЫМСКИЙ</v>
      </c>
      <c r="T1736" t="str">
        <f>"УЛ КОМСОМОЛЬСКАЯ"</f>
        <v>УЛ КОМСОМОЛЬСКАЯ</v>
      </c>
      <c r="U1736" s="1" t="str">
        <f>"18"</f>
        <v>18</v>
      </c>
      <c r="V1736" s="1" t="str">
        <f>""</f>
        <v/>
      </c>
      <c r="W1736" s="1" t="str">
        <f>""</f>
        <v/>
      </c>
      <c r="X1736" s="1" t="str">
        <f>""</f>
        <v/>
      </c>
      <c r="Y1736" s="1" t="str">
        <f>""</f>
        <v/>
      </c>
      <c r="Z1736" t="str">
        <f>""</f>
        <v/>
      </c>
      <c r="AA1736" t="str">
        <f>"9371554270"</f>
        <v>9371554270</v>
      </c>
      <c r="AB1736" t="str">
        <f>"9279236597"</f>
        <v>9279236597</v>
      </c>
      <c r="AC1736" t="str">
        <f>"9371554270"</f>
        <v>9371554270</v>
      </c>
      <c r="AD1736" t="str">
        <f>"9371554270"</f>
        <v>9371554270</v>
      </c>
      <c r="AE1736" t="str">
        <f>""</f>
        <v/>
      </c>
    </row>
    <row r="1737" spans="1:31" x14ac:dyDescent="0.45">
      <c r="A1737" t="str">
        <f>"ГОРОХОВА НАТАЛИЯ ВАЛЕРЬЕВНА"</f>
        <v>ГОРОХОВА НАТАЛИЯ ВАЛЕРЬЕВНА</v>
      </c>
      <c r="B1737" t="str">
        <f>"1972-10-08"</f>
        <v>1972-10-08</v>
      </c>
      <c r="C1737" t="str">
        <f>"65 17 514467"</f>
        <v>65 17 514467</v>
      </c>
      <c r="D1737" t="str">
        <f>"4854630412451141"</f>
        <v>4854630412451141</v>
      </c>
      <c r="E1737" t="str">
        <f>"2021-05-31"</f>
        <v>2021-05-31</v>
      </c>
      <c r="F1737" t="str">
        <f t="shared" si="304"/>
        <v>+</v>
      </c>
      <c r="G1737" t="str">
        <f t="shared" si="304"/>
        <v>+</v>
      </c>
      <c r="H1737" t="str">
        <f>"40817810716991470433"</f>
        <v>40817810716991470433</v>
      </c>
      <c r="I1737" t="str">
        <f>"7003"</f>
        <v>7003</v>
      </c>
      <c r="J1737" t="str">
        <f>"0504"</f>
        <v>0504</v>
      </c>
      <c r="K1737" t="str">
        <f>"15000.00"</f>
        <v>15000.00</v>
      </c>
      <c r="L1737" t="str">
        <f>"620000 ОБЛ СВЕРДЛОВСКАЯ   Г ЕКАТЕРИНБУРГ   УЛ СТАЧЕК д. 4 офис 122"</f>
        <v>620000 ОБЛ СВЕРДЛОВСКАЯ   Г ЕКАТЕРИНБУРГ   УЛ СТАЧЕК д. 4 офис 122</v>
      </c>
      <c r="M1737" t="str">
        <f t="shared" si="303"/>
        <v>2019-08-24</v>
      </c>
      <c r="N1737" t="str">
        <f>"ОАО ХЛЕБ"</f>
        <v>ОАО ХЛЕБ</v>
      </c>
      <c r="O1737" t="str">
        <f>"620000"</f>
        <v>620000</v>
      </c>
      <c r="P1737" t="str">
        <f>"ОБЛ СВЕРДЛОВСКАЯ"</f>
        <v>ОБЛ СВЕРДЛОВСКАЯ</v>
      </c>
      <c r="Q1737" t="str">
        <f>""</f>
        <v/>
      </c>
      <c r="R1737" t="str">
        <f>"Г ЕКАТЕРИНБУРГ"</f>
        <v>Г ЕКАТЕРИНБУРГ</v>
      </c>
      <c r="S1737" t="str">
        <f>""</f>
        <v/>
      </c>
      <c r="T1737" t="str">
        <f>"УЛ ЧЕРЕПАНОВА"</f>
        <v>УЛ ЧЕРЕПАНОВА</v>
      </c>
      <c r="U1737" s="1" t="str">
        <f>"18"</f>
        <v>18</v>
      </c>
      <c r="V1737" s="1" t="str">
        <f>""</f>
        <v/>
      </c>
      <c r="W1737" s="1" t="str">
        <f>""</f>
        <v/>
      </c>
      <c r="X1737" s="1" t="str">
        <f>""</f>
        <v/>
      </c>
      <c r="Y1737" s="1" t="str">
        <f>"175"</f>
        <v>175</v>
      </c>
      <c r="Z1737" t="str">
        <f>""</f>
        <v/>
      </c>
      <c r="AA1737" t="str">
        <f>"9049806990"</f>
        <v>9049806990</v>
      </c>
      <c r="AB1737" t="str">
        <f>"9049806990"</f>
        <v>9049806990</v>
      </c>
      <c r="AC1737" t="str">
        <f>"9049806990"</f>
        <v>9049806990</v>
      </c>
      <c r="AD1737" t="str">
        <f>"9049806990"</f>
        <v>9049806990</v>
      </c>
      <c r="AE1737" t="str">
        <f>""</f>
        <v/>
      </c>
    </row>
    <row r="1738" spans="1:31" x14ac:dyDescent="0.45">
      <c r="A1738" t="str">
        <f>"ДАВТЯН ВАРУЖ СТЕПАНОВИЧ"</f>
        <v>ДАВТЯН ВАРУЖ СТЕПАНОВИЧ</v>
      </c>
      <c r="B1738" t="str">
        <f>"1972-03-04"</f>
        <v>1972-03-04</v>
      </c>
      <c r="C1738" t="str">
        <f>"09 14 337466"</f>
        <v>09 14 337466</v>
      </c>
      <c r="D1738" t="str">
        <f>"4854630362282454"</f>
        <v>4854630362282454</v>
      </c>
      <c r="E1738" t="str">
        <f>"2021-05-31"</f>
        <v>2021-05-31</v>
      </c>
      <c r="F1738" t="str">
        <f t="shared" si="304"/>
        <v>+</v>
      </c>
      <c r="G1738" t="str">
        <f t="shared" si="304"/>
        <v>+</v>
      </c>
      <c r="H1738" t="str">
        <f>"40817810016991470434"</f>
        <v>40817810016991470434</v>
      </c>
      <c r="I1738" t="str">
        <f>"7003"</f>
        <v>7003</v>
      </c>
      <c r="J1738" t="str">
        <f>"0857"</f>
        <v>0857</v>
      </c>
      <c r="K1738" t="str">
        <f>"13000.00"</f>
        <v>13000.00</v>
      </c>
      <c r="L1738" t="str">
        <f>"620000 ОБЛ СВЕРДЛОВСКАЯ   Г КРАСНОТУРЬИНСК   УЛ ЛЕНИНА д. 62 офис 1"</f>
        <v>620000 ОБЛ СВЕРДЛОВСКАЯ   Г КРАСНОТУРЬИНСК   УЛ ЛЕНИНА д. 62 офис 1</v>
      </c>
      <c r="M1738" t="str">
        <f t="shared" si="303"/>
        <v>2019-08-24</v>
      </c>
      <c r="N1738" t="str">
        <f>"ИП ДАВТЯН В С"</f>
        <v>ИП ДАВТЯН В С</v>
      </c>
      <c r="O1738" t="str">
        <f>"624440"</f>
        <v>624440</v>
      </c>
      <c r="P1738" t="str">
        <f>"ОБЛ СВЕРДЛОВСКАЯ"</f>
        <v>ОБЛ СВЕРДЛОВСКАЯ</v>
      </c>
      <c r="Q1738" t="str">
        <f>""</f>
        <v/>
      </c>
      <c r="R1738" t="str">
        <f>"Г КРАСНОТУРЬИНСК"</f>
        <v>Г КРАСНОТУРЬИНСК</v>
      </c>
      <c r="S1738" t="str">
        <f>""</f>
        <v/>
      </c>
      <c r="T1738" t="str">
        <f>"УЛ ПАРКОВАЯ"</f>
        <v>УЛ ПАРКОВАЯ</v>
      </c>
      <c r="U1738" s="1" t="str">
        <f>"5"</f>
        <v>5</v>
      </c>
      <c r="V1738" s="1" t="str">
        <f>""</f>
        <v/>
      </c>
      <c r="W1738" s="1" t="str">
        <f>""</f>
        <v/>
      </c>
      <c r="X1738" s="1" t="str">
        <f>""</f>
        <v/>
      </c>
      <c r="Y1738" s="1" t="str">
        <f>"1"</f>
        <v>1</v>
      </c>
      <c r="Z1738" t="str">
        <f>"9043860521"</f>
        <v>9043860521</v>
      </c>
      <c r="AA1738" t="str">
        <f>"9041688939"</f>
        <v>9041688939</v>
      </c>
      <c r="AB1738" t="str">
        <f>"9041688939"</f>
        <v>9041688939</v>
      </c>
      <c r="AC1738" t="str">
        <f>"9041688939"</f>
        <v>9041688939</v>
      </c>
      <c r="AD1738" t="str">
        <f>"9041688939"</f>
        <v>9041688939</v>
      </c>
      <c r="AE1738" t="str">
        <f>"9043860521"</f>
        <v>9043860521</v>
      </c>
    </row>
    <row r="1739" spans="1:31" x14ac:dyDescent="0.45">
      <c r="A1739" t="str">
        <f>"ЯХИНА МАРИЯ МИХАЙЛОВНА"</f>
        <v>ЯХИНА МАРИЯ МИХАЙЛОВНА</v>
      </c>
      <c r="B1739" t="str">
        <f>"1958-07-28"</f>
        <v>1958-07-28</v>
      </c>
      <c r="C1739" t="str">
        <f>"65 04 663404"</f>
        <v>65 04 663404</v>
      </c>
      <c r="D1739" t="str">
        <f>"4854630365948812"</f>
        <v>4854630365948812</v>
      </c>
      <c r="E1739" t="str">
        <f>"2020-02-29"</f>
        <v>2020-02-29</v>
      </c>
      <c r="F1739" t="str">
        <f>"Q"</f>
        <v>Q</v>
      </c>
      <c r="G1739" t="str">
        <f>"Q"</f>
        <v>Q</v>
      </c>
      <c r="H1739" t="str">
        <f>"40817810316991470435"</f>
        <v>40817810316991470435</v>
      </c>
      <c r="I1739" t="str">
        <f>"7003"</f>
        <v>7003</v>
      </c>
      <c r="J1739" t="str">
        <f>"0682"</f>
        <v>0682</v>
      </c>
      <c r="K1739" t="str">
        <f>"0.00"</f>
        <v>0.00</v>
      </c>
      <c r="L1739" t="str">
        <f>"623100 ОБЛ СВЕРДЛОВСКАЯ   Г ПЕРВОУРАЛЬСК   УЛ СТРОИТЕЛЕЙ д. 44 кв. 65"</f>
        <v>623100 ОБЛ СВЕРДЛОВСКАЯ   Г ПЕРВОУРАЛЬСК   УЛ СТРОИТЕЛЕЙ д. 44 кв. 65</v>
      </c>
      <c r="M1739" t="str">
        <f t="shared" si="303"/>
        <v>2019-08-24</v>
      </c>
      <c r="N1739" t="str">
        <f>"ПЕНСИОНЕР"</f>
        <v>ПЕНСИОНЕР</v>
      </c>
      <c r="O1739" t="str">
        <f>"623100"</f>
        <v>623100</v>
      </c>
      <c r="P1739" t="str">
        <f>"ОБЛ СВЕРДЛОВСКАЯ"</f>
        <v>ОБЛ СВЕРДЛОВСКАЯ</v>
      </c>
      <c r="Q1739" t="str">
        <f>""</f>
        <v/>
      </c>
      <c r="R1739" t="str">
        <f>"Г ПЕРВОУРАЛЬСК"</f>
        <v>Г ПЕРВОУРАЛЬСК</v>
      </c>
      <c r="S1739" t="str">
        <f>""</f>
        <v/>
      </c>
      <c r="T1739" t="str">
        <f>"УЛ СТРОИТЕЛЕЙ"</f>
        <v>УЛ СТРОИТЕЛЕЙ</v>
      </c>
      <c r="U1739" s="1" t="str">
        <f>"44"</f>
        <v>44</v>
      </c>
      <c r="V1739" s="1" t="str">
        <f>""</f>
        <v/>
      </c>
      <c r="W1739" s="1" t="str">
        <f>""</f>
        <v/>
      </c>
      <c r="X1739" s="1" t="str">
        <f>""</f>
        <v/>
      </c>
      <c r="Y1739" s="1" t="str">
        <f>"65"</f>
        <v>65</v>
      </c>
      <c r="Z1739" t="str">
        <f>""</f>
        <v/>
      </c>
      <c r="AA1739" t="str">
        <f>"9122401453"</f>
        <v>9122401453</v>
      </c>
      <c r="AB1739" t="str">
        <f>"9122401453"</f>
        <v>9122401453</v>
      </c>
      <c r="AC1739" t="str">
        <f>"9122401453"</f>
        <v>9122401453</v>
      </c>
      <c r="AD1739" t="str">
        <f>"9122401453"</f>
        <v>9122401453</v>
      </c>
      <c r="AE1739" t="str">
        <f>""</f>
        <v/>
      </c>
    </row>
    <row r="1740" spans="1:31" x14ac:dyDescent="0.45">
      <c r="A1740" t="str">
        <f>"ШМАКОВ ВЛАДИМИР ПЕТРОВИЧ"</f>
        <v>ШМАКОВ ВЛАДИМИР ПЕТРОВИЧ</v>
      </c>
      <c r="B1740" t="str">
        <f>"1970-04-20"</f>
        <v>1970-04-20</v>
      </c>
      <c r="C1740" t="str">
        <f>"52 14 381394"</f>
        <v>52 14 381394</v>
      </c>
      <c r="D1740" t="str">
        <f>"4854630415401465"</f>
        <v>4854630415401465</v>
      </c>
      <c r="E1740" t="str">
        <f>"2021-04-30"</f>
        <v>2021-04-30</v>
      </c>
      <c r="F1740" t="str">
        <f t="shared" ref="F1740:G1747" si="305">"+"</f>
        <v>+</v>
      </c>
      <c r="G1740" t="str">
        <f t="shared" si="305"/>
        <v>+</v>
      </c>
      <c r="H1740" t="str">
        <f>"40817810316992193517"</f>
        <v>40817810316992193517</v>
      </c>
      <c r="I1740" t="str">
        <f>"5940"</f>
        <v>5940</v>
      </c>
      <c r="J1740" t="str">
        <f>"0099"</f>
        <v>0099</v>
      </c>
      <c r="K1740" t="str">
        <f>"100000.00"</f>
        <v>100000.00</v>
      </c>
      <c r="L1740" t="str">
        <f>"625000 ОБЛ ТЮМЕНСКАЯ   Г ТЮМЕНЬ   УЛ РЕСПУБЛИКИ д. 173"</f>
        <v>625000 ОБЛ ТЮМЕНСКАЯ   Г ТЮМЕНЬ   УЛ РЕСПУБЛИКИ д. 173</v>
      </c>
      <c r="M1740" t="str">
        <f t="shared" si="303"/>
        <v>2019-08-24</v>
      </c>
      <c r="N1740" t="str">
        <f>"ООО СИТЕКТРАНС"</f>
        <v>ООО СИТЕКТРАНС</v>
      </c>
      <c r="O1740" t="str">
        <f>"646582"</f>
        <v>646582</v>
      </c>
      <c r="P1740" t="str">
        <f>"ОБЛ ОМСКАЯ"</f>
        <v>ОБЛ ОМСКАЯ</v>
      </c>
      <c r="Q1740" t="str">
        <f>"Р-Н УСТЬ-ИШИМСКИЙ"</f>
        <v>Р-Н УСТЬ-ИШИМСКИЙ</v>
      </c>
      <c r="R1740" t="str">
        <f>""</f>
        <v/>
      </c>
      <c r="S1740" t="str">
        <f>"С АКСЕНОВО"</f>
        <v>С АКСЕНОВО</v>
      </c>
      <c r="T1740" t="str">
        <f>"УЛ ПУШКИНА"</f>
        <v>УЛ ПУШКИНА</v>
      </c>
      <c r="U1740" s="1" t="str">
        <f>"31"</f>
        <v>31</v>
      </c>
      <c r="V1740" s="1" t="str">
        <f>""</f>
        <v/>
      </c>
      <c r="W1740" s="1" t="str">
        <f>""</f>
        <v/>
      </c>
      <c r="X1740" s="1" t="str">
        <f>""</f>
        <v/>
      </c>
      <c r="Y1740" s="1" t="str">
        <f>"1"</f>
        <v>1</v>
      </c>
      <c r="Z1740" t="str">
        <f>"9825530734"</f>
        <v>9825530734</v>
      </c>
      <c r="AA1740" t="str">
        <f>"3815024104"</f>
        <v>3815024104</v>
      </c>
      <c r="AB1740" t="str">
        <f>"9236761627"</f>
        <v>9236761627</v>
      </c>
      <c r="AC1740" t="str">
        <f>"3815024104"</f>
        <v>3815024104</v>
      </c>
      <c r="AD1740" t="str">
        <f>"9236761627"</f>
        <v>9236761627</v>
      </c>
      <c r="AE1740" t="str">
        <f>"9825530734"</f>
        <v>9825530734</v>
      </c>
    </row>
    <row r="1741" spans="1:31" x14ac:dyDescent="0.45">
      <c r="A1741" t="str">
        <f>"БАЛЫБЕРДИН АЛЕКСАНДР ВИКТОРОВИЧ"</f>
        <v>БАЛЫБЕРДИН АЛЕКСАНДР ВИКТОРОВИЧ</v>
      </c>
      <c r="B1741" t="str">
        <f>"1957-07-02"</f>
        <v>1957-07-02</v>
      </c>
      <c r="C1741" t="str">
        <f>"67 02 702640"</f>
        <v>67 02 702640</v>
      </c>
      <c r="D1741" t="str">
        <f>"4854630383396416"</f>
        <v>4854630383396416</v>
      </c>
      <c r="E1741" t="str">
        <f>"2020-11-30"</f>
        <v>2020-11-30</v>
      </c>
      <c r="F1741" t="str">
        <f t="shared" si="305"/>
        <v>+</v>
      </c>
      <c r="G1741" t="str">
        <f t="shared" si="305"/>
        <v>+</v>
      </c>
      <c r="H1741" t="str">
        <f>"40817810016992194751"</f>
        <v>40817810016992194751</v>
      </c>
      <c r="I1741" t="str">
        <f>"1791"</f>
        <v>1791</v>
      </c>
      <c r="J1741" t="str">
        <f>"0081"</f>
        <v>0081</v>
      </c>
      <c r="K1741" t="str">
        <f>"20000.00"</f>
        <v>20000.00</v>
      </c>
      <c r="L1741" t="str">
        <f>"628285 ОБЛ ТЮМЕНСКАЯ Р-Н ХМАО Г УРАЙ   МКР 3 д. 51 кв. 26"</f>
        <v>628285 ОБЛ ТЮМЕНСКАЯ Р-Н ХМАО Г УРАЙ   МКР 3 д. 51 кв. 26</v>
      </c>
      <c r="M1741" t="str">
        <f t="shared" si="303"/>
        <v>2019-08-24</v>
      </c>
      <c r="N1741" t="str">
        <f>"ПЕНСИОНЕР"</f>
        <v>ПЕНСИОНЕР</v>
      </c>
      <c r="O1741" t="str">
        <f>"628285"</f>
        <v>628285</v>
      </c>
      <c r="P1741" t="str">
        <f>"ОБЛ ТЮМЕНСКАЯ"</f>
        <v>ОБЛ ТЮМЕНСКАЯ</v>
      </c>
      <c r="Q1741" t="str">
        <f>"Р-Н ХМАО"</f>
        <v>Р-Н ХМАО</v>
      </c>
      <c r="R1741" t="str">
        <f>"Г УРАЙ"</f>
        <v>Г УРАЙ</v>
      </c>
      <c r="S1741" t="str">
        <f>""</f>
        <v/>
      </c>
      <c r="T1741" t="str">
        <f>"МКР 3"</f>
        <v>МКР 3</v>
      </c>
      <c r="U1741" s="1" t="str">
        <f>"51"</f>
        <v>51</v>
      </c>
      <c r="V1741" s="1" t="str">
        <f>""</f>
        <v/>
      </c>
      <c r="W1741" s="1" t="str">
        <f>""</f>
        <v/>
      </c>
      <c r="X1741" s="1" t="str">
        <f>""</f>
        <v/>
      </c>
      <c r="Y1741" s="1" t="str">
        <f>"26"</f>
        <v>26</v>
      </c>
      <c r="Z1741" t="str">
        <f>"3467640225"</f>
        <v>3467640225</v>
      </c>
      <c r="AA1741" t="str">
        <f>"3467624671"</f>
        <v>3467624671</v>
      </c>
      <c r="AB1741" t="str">
        <f>"9526945953"</f>
        <v>9526945953</v>
      </c>
      <c r="AC1741" t="str">
        <f>"3467624671"</f>
        <v>3467624671</v>
      </c>
      <c r="AD1741" t="str">
        <f>"9526945953"</f>
        <v>9526945953</v>
      </c>
      <c r="AE1741" t="str">
        <f>"3467640225"</f>
        <v>3467640225</v>
      </c>
    </row>
    <row r="1742" spans="1:31" x14ac:dyDescent="0.45">
      <c r="A1742" t="str">
        <f>"БУДАНОВА ЛЮБОВЬ АРКАДЬЕВНА"</f>
        <v>БУДАНОВА ЛЮБОВЬ АРКАДЬЕВНА</v>
      </c>
      <c r="B1742" t="str">
        <f>"1958-11-05"</f>
        <v>1958-11-05</v>
      </c>
      <c r="C1742" t="str">
        <f>"65 04 310610"</f>
        <v>65 04 310610</v>
      </c>
      <c r="D1742" t="str">
        <f>"5313100010437795"</f>
        <v>5313100010437795</v>
      </c>
      <c r="E1742" t="str">
        <f>"2021-03-31"</f>
        <v>2021-03-31</v>
      </c>
      <c r="F1742" t="str">
        <f t="shared" si="305"/>
        <v>+</v>
      </c>
      <c r="G1742" t="str">
        <f t="shared" si="305"/>
        <v>+</v>
      </c>
      <c r="H1742" t="str">
        <f>"40817810216991470467"</f>
        <v>40817810216991470467</v>
      </c>
      <c r="I1742" t="str">
        <f>"7003"</f>
        <v>7003</v>
      </c>
      <c r="J1742" t="str">
        <f>"0808"</f>
        <v>0808</v>
      </c>
      <c r="K1742" t="str">
        <f>"300000.00"</f>
        <v>300000.00</v>
      </c>
      <c r="L1742" t="str">
        <f>"624740 ОБЛ СВЕРДЛОВСКАЯ   Г НИЖНЯЯ САЛДА   УЛ ПУГАЧЕВА д. 4"</f>
        <v>624740 ОБЛ СВЕРДЛОВСКАЯ   Г НИЖНЯЯ САЛДА   УЛ ПУГАЧЕВА д. 4</v>
      </c>
      <c r="M1742" t="str">
        <f t="shared" si="303"/>
        <v>2019-08-24</v>
      </c>
      <c r="N1742" t="str">
        <f>"ПЕНСИОНЕР"</f>
        <v>ПЕНСИОНЕР</v>
      </c>
      <c r="O1742" t="str">
        <f>"624740"</f>
        <v>624740</v>
      </c>
      <c r="P1742" t="str">
        <f>"ОБЛ СВЕРДЛОВСКАЯ"</f>
        <v>ОБЛ СВЕРДЛОВСКАЯ</v>
      </c>
      <c r="Q1742" t="str">
        <f>""</f>
        <v/>
      </c>
      <c r="R1742" t="str">
        <f>"Г НИЖНЯЯ САЛДА"</f>
        <v>Г НИЖНЯЯ САЛДА</v>
      </c>
      <c r="S1742" t="str">
        <f>""</f>
        <v/>
      </c>
      <c r="T1742" t="str">
        <f>"УЛ ПУГАЧЕВА"</f>
        <v>УЛ ПУГАЧЕВА</v>
      </c>
      <c r="U1742" s="1" t="str">
        <f>"4"</f>
        <v>4</v>
      </c>
      <c r="V1742" s="1" t="str">
        <f>""</f>
        <v/>
      </c>
      <c r="W1742" s="1" t="str">
        <f>""</f>
        <v/>
      </c>
      <c r="X1742" s="1" t="str">
        <f>""</f>
        <v/>
      </c>
      <c r="Y1742" s="1" t="str">
        <f>""</f>
        <v/>
      </c>
      <c r="Z1742" t="str">
        <f>"9221711044"</f>
        <v>9221711044</v>
      </c>
      <c r="AA1742" t="str">
        <f>"9326104695"</f>
        <v>9326104695</v>
      </c>
      <c r="AB1742" t="str">
        <f>"9326104695"</f>
        <v>9326104695</v>
      </c>
      <c r="AC1742" t="str">
        <f>"9326104695"</f>
        <v>9326104695</v>
      </c>
      <c r="AD1742" t="str">
        <f>"9326104695"</f>
        <v>9326104695</v>
      </c>
      <c r="AE1742" t="str">
        <f>"9221711044"</f>
        <v>9221711044</v>
      </c>
    </row>
    <row r="1743" spans="1:31" x14ac:dyDescent="0.45">
      <c r="A1743" t="str">
        <f>"ЗАКИРОВА ХАЛИМА ТАДЖИБАЕВНА"</f>
        <v>ЗАКИРОВА ХАЛИМА ТАДЖИБАЕВНА</v>
      </c>
      <c r="B1743" t="str">
        <f>"1957-06-12"</f>
        <v>1957-06-12</v>
      </c>
      <c r="C1743" t="str">
        <f>"80 07 329884"</f>
        <v>80 07 329884</v>
      </c>
      <c r="D1743" t="str">
        <f>"4854630376852342"</f>
        <v>4854630376852342</v>
      </c>
      <c r="E1743" t="str">
        <f>"2021-04-30"</f>
        <v>2021-04-30</v>
      </c>
      <c r="F1743" t="str">
        <f t="shared" si="305"/>
        <v>+</v>
      </c>
      <c r="G1743" t="str">
        <f t="shared" si="305"/>
        <v>+</v>
      </c>
      <c r="H1743" t="str">
        <f>"40817810516991470468"</f>
        <v>40817810516991470468</v>
      </c>
      <c r="I1743" t="str">
        <f>"8598"</f>
        <v>8598</v>
      </c>
      <c r="J1743" t="str">
        <f>"0490"</f>
        <v>0490</v>
      </c>
      <c r="K1743" t="str">
        <f>"15000.00"</f>
        <v>15000.00</v>
      </c>
      <c r="L1743" t="str">
        <f>"450000 РЕСП БАШКОРТОСТАН Р-Н МИЯКИНСКИЙ   С КИРГИЗ-МИЯКИ УЛ ЛЕНИНА д. 26"</f>
        <v>450000 РЕСП БАШКОРТОСТАН Р-Н МИЯКИНСКИЙ   С КИРГИЗ-МИЯКИ УЛ ЛЕНИНА д. 26</v>
      </c>
      <c r="M1743" t="str">
        <f t="shared" si="303"/>
        <v>2019-08-24</v>
      </c>
      <c r="N1743" t="str">
        <f>"ПФР"</f>
        <v>ПФР</v>
      </c>
      <c r="O1743" t="str">
        <f>"452092"</f>
        <v>452092</v>
      </c>
      <c r="P1743" t="str">
        <f>"РЕСП БАШКОРТОСТАН"</f>
        <v>РЕСП БАШКОРТОСТАН</v>
      </c>
      <c r="Q1743" t="str">
        <f>"Р-Н МИЯКИНСКИЙ"</f>
        <v>Р-Н МИЯКИНСКИЙ</v>
      </c>
      <c r="R1743" t="str">
        <f>""</f>
        <v/>
      </c>
      <c r="S1743" t="str">
        <f>"С ЗИЛЬДЯРОВО"</f>
        <v>С ЗИЛЬДЯРОВО</v>
      </c>
      <c r="T1743" t="str">
        <f>"УЛ МИРА"</f>
        <v>УЛ МИРА</v>
      </c>
      <c r="U1743" s="1" t="str">
        <f>"63"</f>
        <v>63</v>
      </c>
      <c r="V1743" s="1" t="str">
        <f>""</f>
        <v/>
      </c>
      <c r="W1743" s="1" t="str">
        <f>""</f>
        <v/>
      </c>
      <c r="X1743" s="1" t="str">
        <f>""</f>
        <v/>
      </c>
      <c r="Y1743" s="1" t="str">
        <f>""</f>
        <v/>
      </c>
      <c r="Z1743" t="str">
        <f>""</f>
        <v/>
      </c>
      <c r="AA1743" t="str">
        <f>"3478831581"</f>
        <v>3478831581</v>
      </c>
      <c r="AB1743" t="str">
        <f>"9273095916"</f>
        <v>9273095916</v>
      </c>
      <c r="AC1743" t="str">
        <f>"3478831581"</f>
        <v>3478831581</v>
      </c>
      <c r="AD1743" t="str">
        <f>"9273095916"</f>
        <v>9273095916</v>
      </c>
      <c r="AE1743" t="str">
        <f>""</f>
        <v/>
      </c>
    </row>
    <row r="1744" spans="1:31" x14ac:dyDescent="0.45">
      <c r="A1744" t="str">
        <f>"ТУРКИН НИКОЛАЙ АЛЕКСАНДРОВИЧ"</f>
        <v>ТУРКИН НИКОЛАЙ АЛЕКСАНДРОВИЧ</v>
      </c>
      <c r="B1744" t="str">
        <f>"1975-09-16"</f>
        <v>1975-09-16</v>
      </c>
      <c r="C1744" t="str">
        <f>"57 10 641990"</f>
        <v>57 10 641990</v>
      </c>
      <c r="D1744" t="str">
        <f>"4854630198934856"</f>
        <v>4854630198934856</v>
      </c>
      <c r="E1744" t="str">
        <f>"2021-04-30"</f>
        <v>2021-04-30</v>
      </c>
      <c r="F1744" t="str">
        <f t="shared" si="305"/>
        <v>+</v>
      </c>
      <c r="G1744" t="str">
        <f t="shared" si="305"/>
        <v>+</v>
      </c>
      <c r="H1744" t="str">
        <f>"40817810116991470499"</f>
        <v>40817810116991470499</v>
      </c>
      <c r="I1744" t="str">
        <f>"7003"</f>
        <v>7003</v>
      </c>
      <c r="J1744" t="str">
        <f>"0454"</f>
        <v>0454</v>
      </c>
      <c r="K1744" t="str">
        <f>"20000.00"</f>
        <v>20000.00</v>
      </c>
      <c r="L1744" t="str">
        <f>"620000 ОБЛ СВЕРДЛОВСКАЯ   Г ПЕРМЬ   УЛ ПУШКАРСКАЯ д. 140"</f>
        <v>620000 ОБЛ СВЕРДЛОВСКАЯ   Г ПЕРМЬ   УЛ ПУШКАРСКАЯ д. 140</v>
      </c>
      <c r="M1744" t="str">
        <f t="shared" si="303"/>
        <v>2019-08-24</v>
      </c>
      <c r="N1744" t="str">
        <f>"ООО КОМПАНИЯ СПЕЦСНАБ"</f>
        <v>ООО КОМПАНИЯ СПЕЦСНАБ</v>
      </c>
      <c r="O1744" t="str">
        <f>"618334"</f>
        <v>618334</v>
      </c>
      <c r="P1744" t="str">
        <f>"КРАЙ ПЕРМСКИЙ"</f>
        <v>КРАЙ ПЕРМСКИЙ</v>
      </c>
      <c r="Q1744" t="str">
        <f>""</f>
        <v/>
      </c>
      <c r="R1744" t="str">
        <f>"П ВСЕВОЛОДА-ВИЛЬВА"</f>
        <v>П ВСЕВОЛОДА-ВИЛЬВА</v>
      </c>
      <c r="S1744" t="str">
        <f>""</f>
        <v/>
      </c>
      <c r="T1744" t="str">
        <f>"УЛ ЛОСКУТОВА"</f>
        <v>УЛ ЛОСКУТОВА</v>
      </c>
      <c r="U1744" s="1" t="str">
        <f>"24"</f>
        <v>24</v>
      </c>
      <c r="V1744" s="1" t="str">
        <f>""</f>
        <v/>
      </c>
      <c r="W1744" s="1" t="str">
        <f>""</f>
        <v/>
      </c>
      <c r="X1744" s="1" t="str">
        <f>""</f>
        <v/>
      </c>
      <c r="Y1744" s="1" t="str">
        <f>"65"</f>
        <v>65</v>
      </c>
      <c r="Z1744" t="str">
        <f>""</f>
        <v/>
      </c>
      <c r="AA1744" t="str">
        <f>"9824419892"</f>
        <v>9824419892</v>
      </c>
      <c r="AB1744" t="str">
        <f>"9824419892"</f>
        <v>9824419892</v>
      </c>
      <c r="AC1744" t="str">
        <f>"9824419892"</f>
        <v>9824419892</v>
      </c>
      <c r="AD1744" t="str">
        <f>"9824419892"</f>
        <v>9824419892</v>
      </c>
      <c r="AE1744" t="str">
        <f>""</f>
        <v/>
      </c>
    </row>
    <row r="1745" spans="1:31" x14ac:dyDescent="0.45">
      <c r="A1745" t="str">
        <f>"АЮПОВА ИРИНА ЗАБИТОВНА"</f>
        <v>АЮПОВА ИРИНА ЗАБИТОВНА</v>
      </c>
      <c r="B1745" t="str">
        <f>"1976-06-11"</f>
        <v>1976-06-11</v>
      </c>
      <c r="C1745" t="str">
        <f>"80 03 684303"</f>
        <v>80 03 684303</v>
      </c>
      <c r="D1745" t="str">
        <f>"4854630411938577"</f>
        <v>4854630411938577</v>
      </c>
      <c r="E1745" t="str">
        <f>"2021-04-30"</f>
        <v>2021-04-30</v>
      </c>
      <c r="F1745" t="str">
        <f t="shared" si="305"/>
        <v>+</v>
      </c>
      <c r="G1745" t="str">
        <f t="shared" si="305"/>
        <v>+</v>
      </c>
      <c r="H1745" t="str">
        <f>"40817810416991470500"</f>
        <v>40817810416991470500</v>
      </c>
      <c r="I1745" t="str">
        <f>"8598"</f>
        <v>8598</v>
      </c>
      <c r="J1745" t="str">
        <f>"0415"</f>
        <v>0415</v>
      </c>
      <c r="K1745" t="str">
        <f>"115000.00"</f>
        <v>115000.00</v>
      </c>
      <c r="L1745" t="str">
        <f>"450000 РЕСП БАШКОРТОСТАН Р-Н КУШНАРЕНКОВСКИЙ   С СТАРЫЕ ТУКМАКЛЫ УЛ ЦЕНТРАЛЬНАЯ д. 9"</f>
        <v>450000 РЕСП БАШКОРТОСТАН Р-Н КУШНАРЕНКОВСКИЙ   С СТАРЫЕ ТУКМАКЛЫ УЛ ЦЕНТРАЛЬНАЯ д. 9</v>
      </c>
      <c r="M1745" t="str">
        <f t="shared" si="303"/>
        <v>2019-08-24</v>
      </c>
      <c r="N1745" t="str">
        <f>"ОТДЕЛ КУЛЬТУРЫ"</f>
        <v>ОТДЕЛ КУЛЬТУРЫ</v>
      </c>
      <c r="O1745" t="str">
        <f>"450000"</f>
        <v>450000</v>
      </c>
      <c r="P1745" t="str">
        <f>"РЕСП БАШКОРТОСТАН"</f>
        <v>РЕСП БАШКОРТОСТАН</v>
      </c>
      <c r="Q1745" t="str">
        <f>"Р-Н КУШНАРЕНКОВСКИЙ"</f>
        <v>Р-Н КУШНАРЕНКОВСКИЙ</v>
      </c>
      <c r="R1745" t="str">
        <f>""</f>
        <v/>
      </c>
      <c r="S1745" t="str">
        <f>"С СТАРЫЕ ТУКМАКЛЫ"</f>
        <v>С СТАРЫЕ ТУКМАКЛЫ</v>
      </c>
      <c r="T1745" t="str">
        <f>"УЛ РАБОЧАЯ"</f>
        <v>УЛ РАБОЧАЯ</v>
      </c>
      <c r="U1745" s="1" t="str">
        <f>"18"</f>
        <v>18</v>
      </c>
      <c r="V1745" s="1" t="str">
        <f>""</f>
        <v/>
      </c>
      <c r="W1745" s="1" t="str">
        <f>""</f>
        <v/>
      </c>
      <c r="X1745" s="1" t="str">
        <f>""</f>
        <v/>
      </c>
      <c r="Y1745" s="1" t="str">
        <f>""</f>
        <v/>
      </c>
      <c r="Z1745" t="str">
        <f>"3478052455"</f>
        <v>3478052455</v>
      </c>
      <c r="AA1745" t="str">
        <f>"9374772078"</f>
        <v>9374772078</v>
      </c>
      <c r="AB1745" t="str">
        <f>"9374772078"</f>
        <v>9374772078</v>
      </c>
      <c r="AC1745" t="str">
        <f>"9374772078"</f>
        <v>9374772078</v>
      </c>
      <c r="AD1745" t="str">
        <f>"9374772078"</f>
        <v>9374772078</v>
      </c>
      <c r="AE1745" t="str">
        <f>"9374772078"</f>
        <v>9374772078</v>
      </c>
    </row>
    <row r="1746" spans="1:31" x14ac:dyDescent="0.45">
      <c r="A1746" t="str">
        <f>"ТУЗОВА АЛЛА ЯКОВЛЕВНА"</f>
        <v>ТУЗОВА АЛЛА ЯКОВЛЕВНА</v>
      </c>
      <c r="B1746" t="str">
        <f>"1964-01-11"</f>
        <v>1964-01-11</v>
      </c>
      <c r="C1746" t="str">
        <f>"67 08 893521"</f>
        <v>67 08 893521</v>
      </c>
      <c r="D1746" t="str">
        <f>"4854630211724912"</f>
        <v>4854630211724912</v>
      </c>
      <c r="E1746" t="str">
        <f>"2021-04-30"</f>
        <v>2021-04-30</v>
      </c>
      <c r="F1746" t="str">
        <f t="shared" si="305"/>
        <v>+</v>
      </c>
      <c r="G1746" t="str">
        <f t="shared" si="305"/>
        <v>+</v>
      </c>
      <c r="H1746" t="str">
        <f>"40817810316992194383"</f>
        <v>40817810316992194383</v>
      </c>
      <c r="I1746" t="str">
        <f>"5940"</f>
        <v>5940</v>
      </c>
      <c r="J1746" t="str">
        <f>"0087"</f>
        <v>0087</v>
      </c>
      <c r="K1746" t="str">
        <f>"20000.00"</f>
        <v>20000.00</v>
      </c>
      <c r="L1746" t="str">
        <f>"628400 ОБЛ ТЮМЕНСКАЯ   Г СУРГУТ   УЛ УНИВЕРСИТЕТСКАЯ д. 41 кв. 557"</f>
        <v>628400 ОБЛ ТЮМЕНСКАЯ   Г СУРГУТ   УЛ УНИВЕРСИТЕТСКАЯ д. 41 кв. 557</v>
      </c>
      <c r="M1746" t="str">
        <f t="shared" si="303"/>
        <v>2019-08-24</v>
      </c>
      <c r="N1746" t="str">
        <f>"ПЕНСИОНЕР"</f>
        <v>ПЕНСИОНЕР</v>
      </c>
      <c r="O1746" t="str">
        <f>"628400"</f>
        <v>628400</v>
      </c>
      <c r="P1746" t="str">
        <f>"ОБЛ ТЮМЕНСКАЯ"</f>
        <v>ОБЛ ТЮМЕНСКАЯ</v>
      </c>
      <c r="Q1746" t="str">
        <f>""</f>
        <v/>
      </c>
      <c r="R1746" t="str">
        <f>"Г СУРГУТ"</f>
        <v>Г СУРГУТ</v>
      </c>
      <c r="S1746" t="str">
        <f>""</f>
        <v/>
      </c>
      <c r="T1746" t="str">
        <f>"УЛ УНИВЕРСИТЕТСКАЯ"</f>
        <v>УЛ УНИВЕРСИТЕТСКАЯ</v>
      </c>
      <c r="U1746" s="1" t="str">
        <f>"41"</f>
        <v>41</v>
      </c>
      <c r="V1746" s="1" t="str">
        <f>""</f>
        <v/>
      </c>
      <c r="W1746" s="1" t="str">
        <f>""</f>
        <v/>
      </c>
      <c r="X1746" s="1" t="str">
        <f>""</f>
        <v/>
      </c>
      <c r="Y1746" s="1" t="str">
        <f>"557"</f>
        <v>557</v>
      </c>
      <c r="Z1746" t="str">
        <f>""</f>
        <v/>
      </c>
      <c r="AA1746" t="str">
        <f>"9227835195"</f>
        <v>9227835195</v>
      </c>
      <c r="AB1746" t="str">
        <f>"9227715778"</f>
        <v>9227715778</v>
      </c>
      <c r="AC1746" t="str">
        <f>"9227835195"</f>
        <v>9227835195</v>
      </c>
      <c r="AD1746" t="str">
        <f>"9227715778"</f>
        <v>9227715778</v>
      </c>
      <c r="AE1746" t="str">
        <f>""</f>
        <v/>
      </c>
    </row>
    <row r="1747" spans="1:31" x14ac:dyDescent="0.45">
      <c r="A1747" t="str">
        <f>"КУКАРСКИХ НИКОЛАЙ АЛЕКСАНДРОВИЧ"</f>
        <v>КУКАРСКИХ НИКОЛАЙ АЛЕКСАНДРОВИЧ</v>
      </c>
      <c r="B1747" t="str">
        <f>"1968-08-09"</f>
        <v>1968-08-09</v>
      </c>
      <c r="C1747" t="str">
        <f>"37 13 546080"</f>
        <v>37 13 546080</v>
      </c>
      <c r="D1747" t="str">
        <f>"4854630411353264"</f>
        <v>4854630411353264</v>
      </c>
      <c r="E1747" t="str">
        <f>"2021-04-30"</f>
        <v>2021-04-30</v>
      </c>
      <c r="F1747" t="str">
        <f t="shared" si="305"/>
        <v>+</v>
      </c>
      <c r="G1747" t="str">
        <f t="shared" si="305"/>
        <v>+</v>
      </c>
      <c r="H1747" t="str">
        <f>"40817810716991470501"</f>
        <v>40817810716991470501</v>
      </c>
      <c r="I1747" t="str">
        <f>"8599"</f>
        <v>8599</v>
      </c>
      <c r="J1747" t="str">
        <f>"0025"</f>
        <v>0025</v>
      </c>
      <c r="K1747" t="str">
        <f>"115000.00"</f>
        <v>115000.00</v>
      </c>
      <c r="L1747" t="str">
        <f>"641000 ОБЛ КУРГАНСКАЯ   Г КУРГАН   УЛ ЧЕХОВА д. 1"</f>
        <v>641000 ОБЛ КУРГАНСКАЯ   Г КУРГАН   УЛ ЧЕХОВА д. 1</v>
      </c>
      <c r="M1747" t="str">
        <f t="shared" si="303"/>
        <v>2019-08-24</v>
      </c>
      <c r="N1747" t="str">
        <f>"ИП КУЗЬМИН В И"</f>
        <v>ИП КУЗЬМИН В И</v>
      </c>
      <c r="O1747" t="str">
        <f>"641000"</f>
        <v>641000</v>
      </c>
      <c r="P1747" t="str">
        <f>"ОБЛ КУРГАНСКАЯ"</f>
        <v>ОБЛ КУРГАНСКАЯ</v>
      </c>
      <c r="Q1747" t="str">
        <f>""</f>
        <v/>
      </c>
      <c r="R1747" t="str">
        <f>"Г КУРГАН"</f>
        <v>Г КУРГАН</v>
      </c>
      <c r="S1747" t="str">
        <f>""</f>
        <v/>
      </c>
      <c r="T1747" t="str">
        <f>"УЛ ГРИЗОДУБОВОЙ"</f>
        <v>УЛ ГРИЗОДУБОВОЙ</v>
      </c>
      <c r="U1747" s="1" t="str">
        <f>"8"</f>
        <v>8</v>
      </c>
      <c r="V1747" s="1" t="str">
        <f>""</f>
        <v/>
      </c>
      <c r="W1747" s="1" t="str">
        <f>""</f>
        <v/>
      </c>
      <c r="X1747" s="1" t="str">
        <f>""</f>
        <v/>
      </c>
      <c r="Y1747" s="1" t="str">
        <f>""</f>
        <v/>
      </c>
      <c r="Z1747" t="str">
        <f>"9058533412"</f>
        <v>9058533412</v>
      </c>
      <c r="AA1747" t="str">
        <f>"9058533412"</f>
        <v>9058533412</v>
      </c>
      <c r="AB1747" t="str">
        <f>"9129759614"</f>
        <v>9129759614</v>
      </c>
      <c r="AC1747" t="str">
        <f>"9058533412"</f>
        <v>9058533412</v>
      </c>
      <c r="AD1747" t="str">
        <f>"9129759614"</f>
        <v>9129759614</v>
      </c>
      <c r="AE1747" t="str">
        <f>"9058533412"</f>
        <v>9058533412</v>
      </c>
    </row>
    <row r="1748" spans="1:31" x14ac:dyDescent="0.45">
      <c r="A1748" t="str">
        <f>"ОСКИРКО ФЛЮЗА НУРМУХАМЕТОВНА"</f>
        <v>ОСКИРКО ФЛЮЗА НУРМУХАМЕТОВНА</v>
      </c>
      <c r="B1748" t="str">
        <f>"1958-10-19"</f>
        <v>1958-10-19</v>
      </c>
      <c r="C1748" t="str">
        <f>"80 05 236595"</f>
        <v>80 05 236595</v>
      </c>
      <c r="D1748" t="str">
        <f>"5313100425848347"</f>
        <v>5313100425848347</v>
      </c>
      <c r="E1748" t="str">
        <f>"2020-10-31"</f>
        <v>2020-10-31</v>
      </c>
      <c r="F1748" t="str">
        <f>"Q"</f>
        <v>Q</v>
      </c>
      <c r="G1748" t="str">
        <f>"Q"</f>
        <v>Q</v>
      </c>
      <c r="H1748" t="str">
        <f>"40817810716991470530"</f>
        <v>40817810716991470530</v>
      </c>
      <c r="I1748" t="str">
        <f>"8598"</f>
        <v>8598</v>
      </c>
      <c r="J1748" t="str">
        <f>"0227"</f>
        <v>0227</v>
      </c>
      <c r="K1748" t="str">
        <f>"0.00"</f>
        <v>0.00</v>
      </c>
      <c r="L1748" t="str">
        <f>"450000 РЕСП БАШКОРТОСТАН   Г УФА   УЛ ОРДЖОНИКИДЗЕ д. 26 кв. 56"</f>
        <v>450000 РЕСП БАШКОРТОСТАН   Г УФА   УЛ ОРДЖОНИКИДЗЕ д. 26 кв. 56</v>
      </c>
      <c r="M1748" t="str">
        <f t="shared" si="303"/>
        <v>2019-08-24</v>
      </c>
      <c r="N1748" t="str">
        <f>"ПЕНСИОНЕР"</f>
        <v>ПЕНСИОНЕР</v>
      </c>
      <c r="O1748" t="str">
        <f>"450000"</f>
        <v>450000</v>
      </c>
      <c r="P1748" t="str">
        <f>"РЕСП БАШКОРТОСТАН"</f>
        <v>РЕСП БАШКОРТОСТАН</v>
      </c>
      <c r="Q1748" t="str">
        <f>""</f>
        <v/>
      </c>
      <c r="R1748" t="str">
        <f>"Г УФА"</f>
        <v>Г УФА</v>
      </c>
      <c r="S1748" t="str">
        <f>""</f>
        <v/>
      </c>
      <c r="T1748" t="str">
        <f>"УЛ ОРДЖОНИКИДЗЕ"</f>
        <v>УЛ ОРДЖОНИКИДЗЕ</v>
      </c>
      <c r="U1748" s="1" t="str">
        <f>"26"</f>
        <v>26</v>
      </c>
      <c r="V1748" s="1" t="str">
        <f>""</f>
        <v/>
      </c>
      <c r="W1748" s="1" t="str">
        <f>""</f>
        <v/>
      </c>
      <c r="X1748" s="1" t="str">
        <f>""</f>
        <v/>
      </c>
      <c r="Y1748" s="1" t="str">
        <f>"56"</f>
        <v>56</v>
      </c>
      <c r="Z1748" t="str">
        <f>"347 2427733"</f>
        <v>347 2427733</v>
      </c>
      <c r="AA1748" t="str">
        <f>"9899519677"</f>
        <v>9899519677</v>
      </c>
      <c r="AB1748" t="str">
        <f>"9899519677"</f>
        <v>9899519677</v>
      </c>
      <c r="AC1748" t="str">
        <f>"3472834378"</f>
        <v>3472834378</v>
      </c>
      <c r="AD1748" t="str">
        <f>"9899519677"</f>
        <v>9899519677</v>
      </c>
      <c r="AE1748" t="str">
        <f>""</f>
        <v/>
      </c>
    </row>
    <row r="1749" spans="1:31" x14ac:dyDescent="0.45">
      <c r="A1749" t="str">
        <f>"ЧЕРЕНКОВ АЛЕКСАНДР ГЕРМАНОВИЧ"</f>
        <v>ЧЕРЕНКОВ АЛЕКСАНДР ГЕРМАНОВИЧ</v>
      </c>
      <c r="B1749" t="str">
        <f>"1985-04-19"</f>
        <v>1985-04-19</v>
      </c>
      <c r="C1749" t="str">
        <f>"20 04 485127"</f>
        <v>20 04 485127</v>
      </c>
      <c r="D1749" t="str">
        <f>"4276011680086457"</f>
        <v>4276011680086457</v>
      </c>
      <c r="E1749" t="str">
        <f>"2022-05-31"</f>
        <v>2022-05-31</v>
      </c>
      <c r="F1749" t="str">
        <f t="shared" ref="F1749:G1758" si="306">"+"</f>
        <v>+</v>
      </c>
      <c r="G1749" t="str">
        <f t="shared" si="306"/>
        <v>+</v>
      </c>
      <c r="H1749" t="str">
        <f>"40817810416992302295"</f>
        <v>40817810416992302295</v>
      </c>
      <c r="I1749" t="str">
        <f>"8369"</f>
        <v>8369</v>
      </c>
      <c r="J1749" t="str">
        <f>"0005"</f>
        <v>0005</v>
      </c>
      <c r="K1749" t="str">
        <f>"68000.00"</f>
        <v>68000.00</v>
      </c>
      <c r="L1749" t="str">
        <f>"629305 ОБЛ ТЮМЕНСКАЯ   Г НОВЫЙ УРЕНГОЙ   МКР СОВЕТСКИЙ д. 50"</f>
        <v>629305 ОБЛ ТЮМЕНСКАЯ   Г НОВЫЙ УРЕНГОЙ   МКР СОВЕТСКИЙ д. 50</v>
      </c>
      <c r="M1749" t="str">
        <f t="shared" si="303"/>
        <v>2019-08-24</v>
      </c>
      <c r="N1749" t="str">
        <f>"АЧИМГАЗ"</f>
        <v>АЧИМГАЗ</v>
      </c>
      <c r="O1749" t="str">
        <f>"629305"</f>
        <v>629305</v>
      </c>
      <c r="P1749" t="str">
        <f>"ОБЛ ТЮМЕНСКАЯ"</f>
        <v>ОБЛ ТЮМЕНСКАЯ</v>
      </c>
      <c r="Q1749" t="str">
        <f>""</f>
        <v/>
      </c>
      <c r="R1749" t="str">
        <f>"Г НОВЫЙ УРЕНГОЙ"</f>
        <v>Г НОВЫЙ УРЕНГОЙ</v>
      </c>
      <c r="S1749" t="str">
        <f>""</f>
        <v/>
      </c>
      <c r="T1749" t="str">
        <f>"МКР ДРУЖБА"</f>
        <v>МКР ДРУЖБА</v>
      </c>
      <c r="U1749" s="1" t="str">
        <f>"4"</f>
        <v>4</v>
      </c>
      <c r="V1749" s="1" t="str">
        <f>""</f>
        <v/>
      </c>
      <c r="W1749" s="1" t="str">
        <f>"1"</f>
        <v>1</v>
      </c>
      <c r="X1749" s="1" t="str">
        <f>""</f>
        <v/>
      </c>
      <c r="Y1749" s="1" t="str">
        <f>"85"</f>
        <v>85</v>
      </c>
      <c r="Z1749" t="str">
        <f>""</f>
        <v/>
      </c>
      <c r="AA1749" t="str">
        <f>"9124294488"</f>
        <v>9124294488</v>
      </c>
      <c r="AB1749" t="str">
        <f>"9220664079"</f>
        <v>9220664079</v>
      </c>
      <c r="AC1749" t="str">
        <f>"9124294488"</f>
        <v>9124294488</v>
      </c>
      <c r="AD1749" t="str">
        <f>"9220664079"</f>
        <v>9220664079</v>
      </c>
      <c r="AE1749" t="str">
        <f>""</f>
        <v/>
      </c>
    </row>
    <row r="1750" spans="1:31" x14ac:dyDescent="0.45">
      <c r="A1750" t="str">
        <f>"ДЕЙБУС ВИКТОР МИХАЙЛОВИЧ"</f>
        <v>ДЕЙБУС ВИКТОР МИХАЙЛОВИЧ</v>
      </c>
      <c r="B1750" t="str">
        <f>"1953-04-21"</f>
        <v>1953-04-21</v>
      </c>
      <c r="C1750" t="str">
        <f>"74 01 217646"</f>
        <v>74 01 217646</v>
      </c>
      <c r="D1750" t="str">
        <f>"4279016703326241"</f>
        <v>4279016703326241</v>
      </c>
      <c r="E1750" t="str">
        <f>"2021-06-30"</f>
        <v>2021-06-30</v>
      </c>
      <c r="F1750" t="str">
        <f t="shared" si="306"/>
        <v>+</v>
      </c>
      <c r="G1750" t="str">
        <f t="shared" si="306"/>
        <v>+</v>
      </c>
      <c r="H1750" t="str">
        <f>"40817810016992059650"</f>
        <v>40817810016992059650</v>
      </c>
      <c r="I1750" t="str">
        <f>"8647"</f>
        <v>8647</v>
      </c>
      <c r="J1750" t="str">
        <f>"0089"</f>
        <v>0089</v>
      </c>
      <c r="K1750" t="str">
        <f>"300000.00"</f>
        <v>300000.00</v>
      </c>
      <c r="L1750" t="str">
        <f>"629300 АО ЯМАЛО-НЕНЕЦКИЙ   Г НОВЫЙ УРЕНГОЙ   УЛ ПРОМЫШЛЕННАЯ д. 27 кв. 0"</f>
        <v>629300 АО ЯМАЛО-НЕНЕЦКИЙ   Г НОВЫЙ УРЕНГОЙ   УЛ ПРОМЫШЛЕННАЯ д. 27 кв. 0</v>
      </c>
      <c r="M1750" t="str">
        <f t="shared" si="303"/>
        <v>2019-08-24</v>
      </c>
      <c r="N1750" t="str">
        <f>"НУБР"</f>
        <v>НУБР</v>
      </c>
      <c r="O1750" t="str">
        <f>"625000"</f>
        <v>625000</v>
      </c>
      <c r="P1750" t="str">
        <f>"ОБЛ ТЮМЕНСКАЯ"</f>
        <v>ОБЛ ТЮМЕНСКАЯ</v>
      </c>
      <c r="Q1750" t="str">
        <f>"Р-Н ТЮМЕНСКИЙ"</f>
        <v>Р-Н ТЮМЕНСКИЙ</v>
      </c>
      <c r="R1750" t="str">
        <f>"Г ТЮМЕНЬ"</f>
        <v>Г ТЮМЕНЬ</v>
      </c>
      <c r="S1750" t="str">
        <f>""</f>
        <v/>
      </c>
      <c r="T1750" t="str">
        <f>"УЛ ПЕРМЯКОВА"</f>
        <v>УЛ ПЕРМЯКОВА</v>
      </c>
      <c r="U1750" s="1" t="str">
        <f>"48"</f>
        <v>48</v>
      </c>
      <c r="V1750" s="1" t="str">
        <f>""</f>
        <v/>
      </c>
      <c r="W1750" s="1" t="str">
        <f>"2"</f>
        <v>2</v>
      </c>
      <c r="X1750" s="1" t="str">
        <f>""</f>
        <v/>
      </c>
      <c r="Y1750" s="1" t="str">
        <f>"31"</f>
        <v>31</v>
      </c>
      <c r="Z1750" t="str">
        <f>"9199504075"</f>
        <v>9199504075</v>
      </c>
      <c r="AA1750" t="str">
        <f>"9220445060"</f>
        <v>9220445060</v>
      </c>
      <c r="AB1750" t="str">
        <f>"9222678747"</f>
        <v>9222678747</v>
      </c>
      <c r="AC1750" t="str">
        <f>"9220445060"</f>
        <v>9220445060</v>
      </c>
      <c r="AD1750" t="str">
        <f>"9222678747"</f>
        <v>9222678747</v>
      </c>
      <c r="AE1750" t="str">
        <f>""</f>
        <v/>
      </c>
    </row>
    <row r="1751" spans="1:31" x14ac:dyDescent="0.45">
      <c r="A1751" t="str">
        <f>"ХАБИБРАХМАНОВ АСГАТ МАСГУТОВИЧ"</f>
        <v>ХАБИБРАХМАНОВ АСГАТ МАСГУТОВИЧ</v>
      </c>
      <c r="B1751" t="str">
        <f>"1962-07-10"</f>
        <v>1962-07-10</v>
      </c>
      <c r="C1751" t="str">
        <f>"80 06 295408"</f>
        <v>80 06 295408</v>
      </c>
      <c r="D1751" t="str">
        <f>"4854630356556194"</f>
        <v>4854630356556194</v>
      </c>
      <c r="E1751" t="str">
        <f t="shared" ref="E1751:E1756" si="307">"2021-04-30"</f>
        <v>2021-04-30</v>
      </c>
      <c r="F1751" t="str">
        <f t="shared" si="306"/>
        <v>+</v>
      </c>
      <c r="G1751" t="str">
        <f t="shared" si="306"/>
        <v>+</v>
      </c>
      <c r="H1751" t="str">
        <f>"40817810216991442615"</f>
        <v>40817810216991442615</v>
      </c>
      <c r="I1751" t="str">
        <f>"8598"</f>
        <v>8598</v>
      </c>
      <c r="J1751" t="str">
        <f>"0195"</f>
        <v>0195</v>
      </c>
      <c r="K1751" t="str">
        <f>"25000.00"</f>
        <v>25000.00</v>
      </c>
      <c r="L1751" t="str">
        <f>"450000 РЕСП БАШКОРТОСТАН   Г УФА   УЛ ЧЕКМАГУШЕВСКАЯ д. 1 корп. А"</f>
        <v>450000 РЕСП БАШКОРТОСТАН   Г УФА   УЛ ЧЕКМАГУШЕВСКАЯ д. 1 корп. А</v>
      </c>
      <c r="M1751" t="str">
        <f t="shared" si="303"/>
        <v>2019-08-24</v>
      </c>
      <c r="N1751" t="str">
        <f>"ОАО БАШКИРНЕФТЕПРОДУКТ"</f>
        <v>ОАО БАШКИРНЕФТЕПРОДУКТ</v>
      </c>
      <c r="O1751" t="str">
        <f>"450106"</f>
        <v>450106</v>
      </c>
      <c r="P1751" t="str">
        <f>"РЕСП БАШКОРТОСТАН"</f>
        <v>РЕСП БАШКОРТОСТАН</v>
      </c>
      <c r="Q1751" t="str">
        <f>""</f>
        <v/>
      </c>
      <c r="R1751" t="str">
        <f>"Г УФА"</f>
        <v>Г УФА</v>
      </c>
      <c r="S1751" t="str">
        <f>""</f>
        <v/>
      </c>
      <c r="T1751" t="str">
        <f>"УЛ РАБКОРОВ"</f>
        <v>УЛ РАБКОРОВ</v>
      </c>
      <c r="U1751" s="1" t="str">
        <f>"4"</f>
        <v>4</v>
      </c>
      <c r="V1751" s="1" t="str">
        <f>""</f>
        <v/>
      </c>
      <c r="W1751" s="1" t="str">
        <f>"1"</f>
        <v>1</v>
      </c>
      <c r="X1751" s="1" t="str">
        <f>""</f>
        <v/>
      </c>
      <c r="Y1751" s="1" t="str">
        <f>"34"</f>
        <v>34</v>
      </c>
      <c r="Z1751" t="str">
        <f>"3472560738"</f>
        <v>3472560738</v>
      </c>
      <c r="AA1751" t="str">
        <f>"3472560738"</f>
        <v>3472560738</v>
      </c>
      <c r="AB1751" t="str">
        <f>"9174109785"</f>
        <v>9174109785</v>
      </c>
      <c r="AC1751" t="str">
        <f>"3472560738"</f>
        <v>3472560738</v>
      </c>
      <c r="AD1751" t="str">
        <f>"9174109785"</f>
        <v>9174109785</v>
      </c>
      <c r="AE1751" t="str">
        <f>""</f>
        <v/>
      </c>
    </row>
    <row r="1752" spans="1:31" x14ac:dyDescent="0.45">
      <c r="A1752" t="str">
        <f>"ЧИКУНОВ АНДРЕЙ КОНСТАНТИНОВИЧ"</f>
        <v>ЧИКУНОВ АНДРЕЙ КОНСТАНТИНОВИЧ</v>
      </c>
      <c r="B1752" t="str">
        <f>"1993-04-12"</f>
        <v>1993-04-12</v>
      </c>
      <c r="C1752" t="str">
        <f>"65 13 613704"</f>
        <v>65 13 613704</v>
      </c>
      <c r="D1752" t="str">
        <f>"4854630402612843"</f>
        <v>4854630402612843</v>
      </c>
      <c r="E1752" t="str">
        <f t="shared" si="307"/>
        <v>2021-04-30</v>
      </c>
      <c r="F1752" t="str">
        <f t="shared" si="306"/>
        <v>+</v>
      </c>
      <c r="G1752" t="str">
        <f t="shared" si="306"/>
        <v>+</v>
      </c>
      <c r="H1752" t="str">
        <f>"40817810616991442626"</f>
        <v>40817810616991442626</v>
      </c>
      <c r="I1752" t="str">
        <f>"7003"</f>
        <v>7003</v>
      </c>
      <c r="J1752" t="str">
        <f>"0636"</f>
        <v>0636</v>
      </c>
      <c r="K1752" t="str">
        <f>"180000.00"</f>
        <v>180000.00</v>
      </c>
      <c r="L1752" t="str">
        <f>"620000 ОБЛ СВЕРДЛОВСКАЯ Р-Н - Г ЗАРЕЧНЫЙ Г - УЛ МИРА д. 38"</f>
        <v>620000 ОБЛ СВЕРДЛОВСКАЯ Р-Н - Г ЗАРЕЧНЫЙ Г - УЛ МИРА д. 38</v>
      </c>
      <c r="M1752" t="str">
        <f t="shared" si="303"/>
        <v>2019-08-24</v>
      </c>
      <c r="N1752" t="str">
        <f>"16541084"</f>
        <v>16541084</v>
      </c>
      <c r="O1752" t="str">
        <f>"624860"</f>
        <v>624860</v>
      </c>
      <c r="P1752" t="str">
        <f>"ОБЛ СВЕРДЛОВСКАЯ"</f>
        <v>ОБЛ СВЕРДЛОВСКАЯ</v>
      </c>
      <c r="Q1752" t="str">
        <f>"Р-Н -"</f>
        <v>Р-Н -</v>
      </c>
      <c r="R1752" t="str">
        <f>"Г КАМЫШЛОВ"</f>
        <v>Г КАМЫШЛОВ</v>
      </c>
      <c r="S1752" t="str">
        <f>"Г -"</f>
        <v>Г -</v>
      </c>
      <c r="T1752" t="str">
        <f>"УЛ СЕВЕРНАЯ"</f>
        <v>УЛ СЕВЕРНАЯ</v>
      </c>
      <c r="U1752" s="1" t="str">
        <f>"63"</f>
        <v>63</v>
      </c>
      <c r="V1752" s="1" t="str">
        <f>""</f>
        <v/>
      </c>
      <c r="W1752" s="1" t="str">
        <f>"Г"</f>
        <v>Г</v>
      </c>
      <c r="X1752" s="1" t="str">
        <f>""</f>
        <v/>
      </c>
      <c r="Y1752" s="1" t="str">
        <f>"24"</f>
        <v>24</v>
      </c>
      <c r="Z1752" t="str">
        <f>""</f>
        <v/>
      </c>
      <c r="AA1752" t="str">
        <f>"9655198646"</f>
        <v>9655198646</v>
      </c>
      <c r="AB1752" t="str">
        <f>"9655198646"</f>
        <v>9655198646</v>
      </c>
      <c r="AC1752" t="str">
        <f>"9655198646"</f>
        <v>9655198646</v>
      </c>
      <c r="AD1752" t="str">
        <f>"9655198646"</f>
        <v>9655198646</v>
      </c>
      <c r="AE1752" t="str">
        <f>""</f>
        <v/>
      </c>
    </row>
    <row r="1753" spans="1:31" x14ac:dyDescent="0.45">
      <c r="A1753" t="str">
        <f>"ТОМИЛЕНКО ИВАН ИВАНОВИЧ"</f>
        <v>ТОМИЛЕНКО ИВАН ИВАНОВИЧ</v>
      </c>
      <c r="B1753" t="str">
        <f>"1980-08-18"</f>
        <v>1980-08-18</v>
      </c>
      <c r="C1753" t="str">
        <f>"18 08 158224"</f>
        <v>18 08 158224</v>
      </c>
      <c r="D1753" t="str">
        <f>"4854630378401973"</f>
        <v>4854630378401973</v>
      </c>
      <c r="E1753" t="str">
        <f t="shared" si="307"/>
        <v>2021-04-30</v>
      </c>
      <c r="F1753" t="str">
        <f t="shared" si="306"/>
        <v>+</v>
      </c>
      <c r="G1753" t="str">
        <f t="shared" si="306"/>
        <v>+</v>
      </c>
      <c r="H1753" t="str">
        <f>"40817810516992063748"</f>
        <v>40817810516992063748</v>
      </c>
      <c r="I1753" t="str">
        <f>"5940"</f>
        <v>5940</v>
      </c>
      <c r="J1753" t="str">
        <f>"0135"</f>
        <v>0135</v>
      </c>
      <c r="K1753" t="str">
        <f>"230000.00"</f>
        <v>230000.00</v>
      </c>
      <c r="L1753" t="str">
        <f>"628600 ОБЛ ТЮМЕНСКАЯ АО ХМАО Г НИЖНЕВАРТОВСК   УЛ АВИАТОРОВ д. 4А"</f>
        <v>628600 ОБЛ ТЮМЕНСКАЯ АО ХМАО Г НИЖНЕВАРТОВСК   УЛ АВИАТОРОВ д. 4А</v>
      </c>
      <c r="M1753" t="str">
        <f t="shared" si="303"/>
        <v>2019-08-24</v>
      </c>
      <c r="N1753" t="str">
        <f>"ОАО ННГФ"</f>
        <v>ОАО ННГФ</v>
      </c>
      <c r="O1753" t="str">
        <f>"404033"</f>
        <v>404033</v>
      </c>
      <c r="P1753" t="str">
        <f>"ОБЛ ВОЛГОГРАДСКАЯ"</f>
        <v>ОБЛ ВОЛГОГРАДСКАЯ</v>
      </c>
      <c r="Q1753" t="str">
        <f>"Р-Н НИКОЛАЕВСКИЙ"</f>
        <v>Р-Н НИКОЛАЕВСКИЙ</v>
      </c>
      <c r="R1753" t="str">
        <f>"Г НИКОЛАЕВСК"</f>
        <v>Г НИКОЛАЕВСК</v>
      </c>
      <c r="S1753" t="str">
        <f>""</f>
        <v/>
      </c>
      <c r="T1753" t="str">
        <f>"УЛ КАРЛА МАРКСА"</f>
        <v>УЛ КАРЛА МАРКСА</v>
      </c>
      <c r="U1753" s="1" t="str">
        <f>"110"</f>
        <v>110</v>
      </c>
      <c r="V1753" s="1" t="str">
        <f>""</f>
        <v/>
      </c>
      <c r="W1753" s="1" t="str">
        <f>""</f>
        <v/>
      </c>
      <c r="X1753" s="1" t="str">
        <f>""</f>
        <v/>
      </c>
      <c r="Y1753" s="1" t="str">
        <f>""</f>
        <v/>
      </c>
      <c r="Z1753" t="str">
        <f>"3466633264"</f>
        <v>3466633264</v>
      </c>
      <c r="AA1753" t="str">
        <f>"9275156366"</f>
        <v>9275156366</v>
      </c>
      <c r="AB1753" t="str">
        <f>"9377038769"</f>
        <v>9377038769</v>
      </c>
      <c r="AC1753" t="str">
        <f>"9275156366"</f>
        <v>9275156366</v>
      </c>
      <c r="AD1753" t="str">
        <f>"9377038769"</f>
        <v>9377038769</v>
      </c>
      <c r="AE1753" t="str">
        <f>"3466633264"</f>
        <v>3466633264</v>
      </c>
    </row>
    <row r="1754" spans="1:31" x14ac:dyDescent="0.45">
      <c r="A1754" t="str">
        <f>"ПРУШИНСКИЙ РОМАН РУСЛАНОВИЧ"</f>
        <v>ПРУШИНСКИЙ РОМАН РУСЛАНОВИЧ</v>
      </c>
      <c r="B1754" t="str">
        <f>"1986-07-19"</f>
        <v>1986-07-19</v>
      </c>
      <c r="C1754" t="str">
        <f>"67 05 591736"</f>
        <v>67 05 591736</v>
      </c>
      <c r="D1754" t="str">
        <f>"4854630377964765"</f>
        <v>4854630377964765</v>
      </c>
      <c r="E1754" t="str">
        <f t="shared" si="307"/>
        <v>2021-04-30</v>
      </c>
      <c r="F1754" t="str">
        <f t="shared" si="306"/>
        <v>+</v>
      </c>
      <c r="G1754" t="str">
        <f t="shared" si="306"/>
        <v>+</v>
      </c>
      <c r="H1754" t="str">
        <f>"40817810016992063743"</f>
        <v>40817810016992063743</v>
      </c>
      <c r="I1754" t="str">
        <f>"5940"</f>
        <v>5940</v>
      </c>
      <c r="J1754" t="str">
        <f>"0100"</f>
        <v>0100</v>
      </c>
      <c r="K1754" t="str">
        <f>"600000.00"</f>
        <v>600000.00</v>
      </c>
      <c r="L1754" t="str">
        <f>"628311 ОБЛ ТЮМЕНСКАЯ   Г НЕФТЕЮГАНСКЕ   МКР 8 д. 6"</f>
        <v>628311 ОБЛ ТЮМЕНСКАЯ   Г НЕФТЕЮГАНСКЕ   МКР 8 д. 6</v>
      </c>
      <c r="M1754" t="str">
        <f t="shared" si="303"/>
        <v>2019-08-24</v>
      </c>
      <c r="N1754" t="str">
        <f>"ООО ЦИФРОВОЙ ВЕК"</f>
        <v>ООО ЦИФРОВОЙ ВЕК</v>
      </c>
      <c r="O1754" t="str">
        <f>"628311"</f>
        <v>628311</v>
      </c>
      <c r="P1754" t="str">
        <f>"ОБЛ ТЮМЕНСКАЯ"</f>
        <v>ОБЛ ТЮМЕНСКАЯ</v>
      </c>
      <c r="Q1754" t="str">
        <f>""</f>
        <v/>
      </c>
      <c r="R1754" t="str">
        <f>"Г НЕФТЕЮГАНСКЕ"</f>
        <v>Г НЕФТЕЮГАНСКЕ</v>
      </c>
      <c r="S1754" t="str">
        <f>""</f>
        <v/>
      </c>
      <c r="T1754" t="str">
        <f>"МКР 8А"</f>
        <v>МКР 8А</v>
      </c>
      <c r="U1754" s="1" t="str">
        <f>"19"</f>
        <v>19</v>
      </c>
      <c r="V1754" s="1" t="str">
        <f>""</f>
        <v/>
      </c>
      <c r="W1754" s="1" t="str">
        <f>""</f>
        <v/>
      </c>
      <c r="X1754" s="1" t="str">
        <f>""</f>
        <v/>
      </c>
      <c r="Y1754" s="1" t="str">
        <f>"48"</f>
        <v>48</v>
      </c>
      <c r="Z1754" t="str">
        <f>"+7 (3463) 227471"</f>
        <v>+7 (3463) 227471</v>
      </c>
      <c r="AA1754" t="str">
        <f>"+7 (922) 4060090"</f>
        <v>+7 (922) 4060090</v>
      </c>
      <c r="AB1754" t="str">
        <f>"+7 (922) 4060090"</f>
        <v>+7 (922) 4060090</v>
      </c>
      <c r="AC1754" t="str">
        <f>"9227924400"</f>
        <v>9227924400</v>
      </c>
      <c r="AD1754" t="str">
        <f>"9224060090"</f>
        <v>9224060090</v>
      </c>
      <c r="AE1754" t="str">
        <f>"9224060090"</f>
        <v>9224060090</v>
      </c>
    </row>
    <row r="1755" spans="1:31" x14ac:dyDescent="0.45">
      <c r="A1755" t="str">
        <f>"ИМАНГУЛОВА РИММА ВАЛЕРИЕВНА"</f>
        <v>ИМАНГУЛОВА РИММА ВАЛЕРИЕВНА</v>
      </c>
      <c r="B1755" t="str">
        <f>"1968-03-01"</f>
        <v>1968-03-01</v>
      </c>
      <c r="C1755" t="str">
        <f>"80 13 777409"</f>
        <v>80 13 777409</v>
      </c>
      <c r="D1755" t="str">
        <f>"4854630358074956"</f>
        <v>4854630358074956</v>
      </c>
      <c r="E1755" t="str">
        <f t="shared" si="307"/>
        <v>2021-04-30</v>
      </c>
      <c r="F1755" t="str">
        <f t="shared" si="306"/>
        <v>+</v>
      </c>
      <c r="G1755" t="str">
        <f t="shared" si="306"/>
        <v>+</v>
      </c>
      <c r="H1755" t="str">
        <f>"40817810916991442627"</f>
        <v>40817810916991442627</v>
      </c>
      <c r="I1755" t="str">
        <f>"8598"</f>
        <v>8598</v>
      </c>
      <c r="J1755" t="str">
        <f>"0172"</f>
        <v>0172</v>
      </c>
      <c r="K1755" t="str">
        <f>"48000.00"</f>
        <v>48000.00</v>
      </c>
      <c r="L1755" t="str">
        <f>"450095 РЕСП БАШКОРТОСТАН   Г УФА   УЛ ЦЕНТРАЛЬНАЯ д. 13"</f>
        <v>450095 РЕСП БАШКОРТОСТАН   Г УФА   УЛ ЦЕНТРАЛЬНАЯ д. 13</v>
      </c>
      <c r="M1755" t="str">
        <f t="shared" si="303"/>
        <v>2019-08-24</v>
      </c>
      <c r="N1755" t="str">
        <f>"БАШКОРТОСТАНСКАЯ ППК"</f>
        <v>БАШКОРТОСТАНСКАЯ ППК</v>
      </c>
      <c r="O1755" t="str">
        <f>"452175"</f>
        <v>452175</v>
      </c>
      <c r="P1755" t="str">
        <f>"РЕСП БАШКОРТОСТАН"</f>
        <v>РЕСП БАШКОРТОСТАН</v>
      </c>
      <c r="Q1755" t="str">
        <f>"Р-Н ЧИШМИНСКИЙ"</f>
        <v>Р-Н ЧИШМИНСКИЙ</v>
      </c>
      <c r="R1755" t="str">
        <f>""</f>
        <v/>
      </c>
      <c r="S1755" t="str">
        <f>"РП ЧИШМЫ"</f>
        <v>РП ЧИШМЫ</v>
      </c>
      <c r="T1755" t="str">
        <f>"УЛ РАХИМА САТТАРА"</f>
        <v>УЛ РАХИМА САТТАРА</v>
      </c>
      <c r="U1755" s="1" t="str">
        <f>"1А"</f>
        <v>1А</v>
      </c>
      <c r="V1755" s="1" t="str">
        <f>""</f>
        <v/>
      </c>
      <c r="W1755" s="1" t="str">
        <f>""</f>
        <v/>
      </c>
      <c r="X1755" s="1" t="str">
        <f>""</f>
        <v/>
      </c>
      <c r="Y1755" s="1" t="str">
        <f>""</f>
        <v/>
      </c>
      <c r="Z1755" t="str">
        <f>"8007750000"</f>
        <v>8007750000</v>
      </c>
      <c r="AA1755" t="str">
        <f>"9279473255"</f>
        <v>9279473255</v>
      </c>
      <c r="AB1755" t="str">
        <f>"9279473255"</f>
        <v>9279473255</v>
      </c>
      <c r="AC1755" t="str">
        <f>"9279473255"</f>
        <v>9279473255</v>
      </c>
      <c r="AD1755" t="str">
        <f>"9279473255"</f>
        <v>9279473255</v>
      </c>
      <c r="AE1755" t="str">
        <f>"8007750000"</f>
        <v>8007750000</v>
      </c>
    </row>
    <row r="1756" spans="1:31" x14ac:dyDescent="0.45">
      <c r="A1756" t="str">
        <f>"ИСАКОВ ГЕННАДИЙ ВАСИЛЬЕВИЧ"</f>
        <v>ИСАКОВ ГЕННАДИЙ ВАСИЛЬЕВИЧ</v>
      </c>
      <c r="B1756" t="str">
        <f>"1956-10-21"</f>
        <v>1956-10-21</v>
      </c>
      <c r="C1756" t="str">
        <f>"65 04 113207"</f>
        <v>65 04 113207</v>
      </c>
      <c r="D1756" t="str">
        <f>"4854630230098595"</f>
        <v>4854630230098595</v>
      </c>
      <c r="E1756" t="str">
        <f t="shared" si="307"/>
        <v>2021-04-30</v>
      </c>
      <c r="F1756" t="str">
        <f t="shared" si="306"/>
        <v>+</v>
      </c>
      <c r="G1756" t="str">
        <f t="shared" si="306"/>
        <v>+</v>
      </c>
      <c r="H1756" t="str">
        <f>"40817810916991470385"</f>
        <v>40817810916991470385</v>
      </c>
      <c r="I1756" t="str">
        <f>"7003"</f>
        <v>7003</v>
      </c>
      <c r="J1756" t="str">
        <f>"0813"</f>
        <v>0813</v>
      </c>
      <c r="K1756" t="str">
        <f>"18000.00"</f>
        <v>18000.00</v>
      </c>
      <c r="L1756" t="str">
        <f>"624480 ОБЛ СВЕРДЛОВСКАЯ   Г СЕВЕРОУРАЛЬСК   УЛ ШАХТЕРСКАЯ д. 3"</f>
        <v>624480 ОБЛ СВЕРДЛОВСКАЯ   Г СЕВЕРОУРАЛЬСК   УЛ ШАХТЕРСКАЯ д. 3</v>
      </c>
      <c r="M1756" t="str">
        <f t="shared" si="303"/>
        <v>2019-08-24</v>
      </c>
      <c r="N1756" t="s">
        <v>100</v>
      </c>
      <c r="O1756" t="str">
        <f>"624480"</f>
        <v>624480</v>
      </c>
      <c r="P1756" t="str">
        <f>"ОБЛ СВЕРДЛОВСКАЯ"</f>
        <v>ОБЛ СВЕРДЛОВСКАЯ</v>
      </c>
      <c r="Q1756" t="str">
        <f>""</f>
        <v/>
      </c>
      <c r="R1756" t="str">
        <f>"Г СЕВЕРОУРАЛЬСК"</f>
        <v>Г СЕВЕРОУРАЛЬСК</v>
      </c>
      <c r="S1756" t="str">
        <f>""</f>
        <v/>
      </c>
      <c r="T1756" t="str">
        <f>"УЛ КОТОВСКОГО"</f>
        <v>УЛ КОТОВСКОГО</v>
      </c>
      <c r="U1756" s="1" t="str">
        <f>"10"</f>
        <v>10</v>
      </c>
      <c r="V1756" s="1" t="str">
        <f>""</f>
        <v/>
      </c>
      <c r="W1756" s="1" t="str">
        <f>""</f>
        <v/>
      </c>
      <c r="X1756" s="1" t="str">
        <f>""</f>
        <v/>
      </c>
      <c r="Y1756" s="1" t="str">
        <f>"2"</f>
        <v>2</v>
      </c>
      <c r="Z1756" t="str">
        <f>""</f>
        <v/>
      </c>
      <c r="AA1756" t="str">
        <f>"3438031225"</f>
        <v>3438031225</v>
      </c>
      <c r="AB1756" t="str">
        <f>"9530091984"</f>
        <v>9530091984</v>
      </c>
      <c r="AC1756" t="str">
        <f>"3438031225"</f>
        <v>3438031225</v>
      </c>
      <c r="AD1756" t="str">
        <f>"9530091984"</f>
        <v>9530091984</v>
      </c>
      <c r="AE1756" t="str">
        <f>""</f>
        <v/>
      </c>
    </row>
    <row r="1757" spans="1:31" x14ac:dyDescent="0.45">
      <c r="A1757" t="str">
        <f>"МУРАТОВА ФАРИДА ФАТХЕТДИНОВНА"</f>
        <v>МУРАТОВА ФАРИДА ФАТХЕТДИНОВНА</v>
      </c>
      <c r="B1757" t="str">
        <f>"1953-02-25"</f>
        <v>1953-02-25</v>
      </c>
      <c r="C1757" t="str">
        <f>"80 03 941504"</f>
        <v>80 03 941504</v>
      </c>
      <c r="D1757" t="str">
        <f>"4854630302684934"</f>
        <v>4854630302684934</v>
      </c>
      <c r="E1757" t="str">
        <f>"2020-11-30"</f>
        <v>2020-11-30</v>
      </c>
      <c r="F1757" t="str">
        <f t="shared" si="306"/>
        <v>+</v>
      </c>
      <c r="G1757" t="str">
        <f t="shared" si="306"/>
        <v>+</v>
      </c>
      <c r="H1757" t="str">
        <f>"40817810216991470386"</f>
        <v>40817810216991470386</v>
      </c>
      <c r="I1757" t="str">
        <f>"8598"</f>
        <v>8598</v>
      </c>
      <c r="J1757" t="str">
        <f>"0562"</f>
        <v>0562</v>
      </c>
      <c r="K1757" t="str">
        <f>"15000.00"</f>
        <v>15000.00</v>
      </c>
      <c r="L1757" t="str">
        <f>"453020 РЕСП БАШКОРТОСТАН Р-Н КАРМАСКАЛИНСКИЙ   С КАРМАСКАЛЫ УЛ КИРОВА д. 84"</f>
        <v>453020 РЕСП БАШКОРТОСТАН Р-Н КАРМАСКАЛИНСКИЙ   С КАРМАСКАЛЫ УЛ КИРОВА д. 84</v>
      </c>
      <c r="M1757" t="str">
        <f t="shared" si="303"/>
        <v>2019-08-24</v>
      </c>
      <c r="N1757" t="str">
        <f>"ПФР"</f>
        <v>ПФР</v>
      </c>
      <c r="O1757" t="str">
        <f>"453015"</f>
        <v>453015</v>
      </c>
      <c r="P1757" t="str">
        <f>"РЕСП БАШКОРТОСТАН"</f>
        <v>РЕСП БАШКОРТОСТАН</v>
      </c>
      <c r="Q1757" t="str">
        <f>"Р-Н КАРМАСКАЛИНСКИЙ"</f>
        <v>Р-Н КАРМАСКАЛИНСКИЙ</v>
      </c>
      <c r="R1757" t="str">
        <f>""</f>
        <v/>
      </c>
      <c r="S1757" t="str">
        <f>"Д МУКСИНОВО"</f>
        <v>Д МУКСИНОВО</v>
      </c>
      <c r="T1757" t="str">
        <f>"УЛ АБСАЛЯМОВА"</f>
        <v>УЛ АБСАЛЯМОВА</v>
      </c>
      <c r="U1757" s="1" t="str">
        <f>"44"</f>
        <v>44</v>
      </c>
      <c r="V1757" s="1" t="str">
        <f>""</f>
        <v/>
      </c>
      <c r="W1757" s="1" t="str">
        <f>""</f>
        <v/>
      </c>
      <c r="X1757" s="1" t="str">
        <f>""</f>
        <v/>
      </c>
      <c r="Y1757" s="1" t="str">
        <f>""</f>
        <v/>
      </c>
      <c r="Z1757" t="str">
        <f>""</f>
        <v/>
      </c>
      <c r="AA1757" t="str">
        <f>"8"</f>
        <v>8</v>
      </c>
      <c r="AB1757" t="str">
        <f>"9177673894"</f>
        <v>9177673894</v>
      </c>
      <c r="AC1757" t="str">
        <f>"9639093766"</f>
        <v>9639093766</v>
      </c>
      <c r="AD1757" t="str">
        <f>"9639093766"</f>
        <v>9639093766</v>
      </c>
      <c r="AE1757" t="str">
        <f>""</f>
        <v/>
      </c>
    </row>
    <row r="1758" spans="1:31" x14ac:dyDescent="0.45">
      <c r="A1758" t="str">
        <f>"САЛТЫКОВ СЕРГЕЙ ВЛАДИМИРОВИЧ"</f>
        <v>САЛТЫКОВ СЕРГЕЙ ВЛАДИМИРОВИЧ</v>
      </c>
      <c r="B1758" t="str">
        <f>"1969-05-09"</f>
        <v>1969-05-09</v>
      </c>
      <c r="C1758" t="str">
        <f>"03 15 041554"</f>
        <v>03 15 041554</v>
      </c>
      <c r="D1758" t="str">
        <f>"4854630429029955"</f>
        <v>4854630429029955</v>
      </c>
      <c r="E1758" t="str">
        <f>"2021-04-30"</f>
        <v>2021-04-30</v>
      </c>
      <c r="F1758" t="str">
        <f t="shared" si="306"/>
        <v>+</v>
      </c>
      <c r="G1758" t="str">
        <f t="shared" si="306"/>
        <v>+</v>
      </c>
      <c r="H1758" t="str">
        <f>"40817810916992192277"</f>
        <v>40817810916992192277</v>
      </c>
      <c r="I1758" t="str">
        <f>"5940"</f>
        <v>5940</v>
      </c>
      <c r="J1758" t="str">
        <f>"0071"</f>
        <v>0071</v>
      </c>
      <c r="K1758" t="str">
        <f>"23000.00"</f>
        <v>23000.00</v>
      </c>
      <c r="L1758" t="str">
        <f>"190000   Г САНКТ-ПЕТЕРБУРГ   УЛ ЦЕНТРАЛЬНАЯ д. 1"</f>
        <v>190000   Г САНКТ-ПЕТЕРБУРГ   УЛ ЦЕНТРАЛЬНАЯ д. 1</v>
      </c>
      <c r="M1758" t="str">
        <f t="shared" si="303"/>
        <v>2019-08-24</v>
      </c>
      <c r="N1758" t="str">
        <f>"ООО ПОЛИНФОРМ"</f>
        <v>ООО ПОЛИНФОРМ</v>
      </c>
      <c r="O1758" t="str">
        <f>"345150"</f>
        <v>345150</v>
      </c>
      <c r="P1758" t="str">
        <f>"КРАЙ КРАСНОДАРСКИЙ"</f>
        <v>КРАЙ КРАСНОДАРСКИЙ</v>
      </c>
      <c r="Q1758" t="str">
        <f>""</f>
        <v/>
      </c>
      <c r="R1758" t="str">
        <f>""</f>
        <v/>
      </c>
      <c r="S1758" t="str">
        <f>"П БОЛЬШЕВИК"</f>
        <v>П БОЛЬШЕВИК</v>
      </c>
      <c r="T1758" t="str">
        <f>"УЛ НАБЕРЕЖНАЯ"</f>
        <v>УЛ НАБЕРЕЖНАЯ</v>
      </c>
      <c r="U1758" s="1" t="str">
        <f>"18"</f>
        <v>18</v>
      </c>
      <c r="V1758" s="1" t="str">
        <f>""</f>
        <v/>
      </c>
      <c r="W1758" s="1" t="str">
        <f>""</f>
        <v/>
      </c>
      <c r="X1758" s="1" t="str">
        <f>""</f>
        <v/>
      </c>
      <c r="Y1758" s="1" t="str">
        <f>""</f>
        <v/>
      </c>
      <c r="Z1758" t="str">
        <f>""</f>
        <v/>
      </c>
      <c r="AA1758" t="str">
        <f>"9124126874"</f>
        <v>9124126874</v>
      </c>
      <c r="AB1758" t="str">
        <f>"9124126874"</f>
        <v>9124126874</v>
      </c>
      <c r="AC1758" t="str">
        <f>"9124126874"</f>
        <v>9124126874</v>
      </c>
      <c r="AD1758" t="str">
        <f>"9124126874"</f>
        <v>9124126874</v>
      </c>
      <c r="AE1758" t="str">
        <f>""</f>
        <v/>
      </c>
    </row>
    <row r="1759" spans="1:31" x14ac:dyDescent="0.45">
      <c r="A1759" t="str">
        <f>"ПЕНЬКОВА ВАЛЕНТИНА ПЕТРОВНА"</f>
        <v>ПЕНЬКОВА ВАЛЕНТИНА ПЕТРОВНА</v>
      </c>
      <c r="B1759" t="str">
        <f>"1981-09-02"</f>
        <v>1981-09-02</v>
      </c>
      <c r="C1759" t="str">
        <f>"37 11 472031"</f>
        <v>37 11 472031</v>
      </c>
      <c r="D1759" t="str">
        <f>"4854630364362775"</f>
        <v>4854630364362775</v>
      </c>
      <c r="E1759" t="str">
        <f>"2021-05-31"</f>
        <v>2021-05-31</v>
      </c>
      <c r="F1759" t="str">
        <f>"Q"</f>
        <v>Q</v>
      </c>
      <c r="G1759" t="str">
        <f>"Q"</f>
        <v>Q</v>
      </c>
      <c r="H1759" t="str">
        <f>"40817810516991470387"</f>
        <v>40817810516991470387</v>
      </c>
      <c r="I1759" t="str">
        <f>"7003"</f>
        <v>7003</v>
      </c>
      <c r="J1759" t="str">
        <f>"0393"</f>
        <v>0393</v>
      </c>
      <c r="K1759" t="str">
        <f>"0.00"</f>
        <v>0.00</v>
      </c>
      <c r="L1759" t="str">
        <f>"620000 ОБЛ СВЕРДЛОВСКАЯ   Г ЕКАТЕРИНБУРГ   УЛ МОСКОСКАЯ д. 46"</f>
        <v>620000 ОБЛ СВЕРДЛОВСКАЯ   Г ЕКАТЕРИНБУРГ   УЛ МОСКОСКАЯ д. 46</v>
      </c>
      <c r="M1759" t="str">
        <f t="shared" si="303"/>
        <v>2019-08-24</v>
      </c>
      <c r="N1759" t="str">
        <f>"ИП ПЕНЬКОВА"</f>
        <v>ИП ПЕНЬКОВА</v>
      </c>
      <c r="O1759" t="str">
        <f>"620000"</f>
        <v>620000</v>
      </c>
      <c r="P1759" t="str">
        <f>"ОБЛ СВЕРДЛОВСКАЯ"</f>
        <v>ОБЛ СВЕРДЛОВСКАЯ</v>
      </c>
      <c r="Q1759" t="str">
        <f>""</f>
        <v/>
      </c>
      <c r="R1759" t="str">
        <f>"Г ЕКАТЕРИНБУРГ"</f>
        <v>Г ЕКАТЕРИНБУРГ</v>
      </c>
      <c r="S1759" t="str">
        <f>""</f>
        <v/>
      </c>
      <c r="T1759" t="str">
        <f>"УЛ МОСКОВСКАЯ"</f>
        <v>УЛ МОСКОВСКАЯ</v>
      </c>
      <c r="U1759" s="1" t="str">
        <f>"46"</f>
        <v>46</v>
      </c>
      <c r="V1759" s="1" t="str">
        <f>""</f>
        <v/>
      </c>
      <c r="W1759" s="1" t="str">
        <f>""</f>
        <v/>
      </c>
      <c r="X1759" s="1" t="str">
        <f>""</f>
        <v/>
      </c>
      <c r="Y1759" s="1" t="str">
        <f>"16"</f>
        <v>16</v>
      </c>
      <c r="Z1759" t="str">
        <f>""</f>
        <v/>
      </c>
      <c r="AA1759" t="str">
        <f>"9122404438"</f>
        <v>9122404438</v>
      </c>
      <c r="AB1759" t="str">
        <f>"9122404438"</f>
        <v>9122404438</v>
      </c>
      <c r="AC1759" t="str">
        <f>"9122404438"</f>
        <v>9122404438</v>
      </c>
      <c r="AD1759" t="str">
        <f>"9122404438"</f>
        <v>9122404438</v>
      </c>
      <c r="AE1759" t="str">
        <f>""</f>
        <v/>
      </c>
    </row>
    <row r="1760" spans="1:31" x14ac:dyDescent="0.45">
      <c r="A1760" t="str">
        <f>"МИРСАЕВА ГУЗАЛИЯ МУСТАФАЕВНА"</f>
        <v>МИРСАЕВА ГУЗАЛИЯ МУСТАФАЕВНА</v>
      </c>
      <c r="B1760" t="str">
        <f>"1958-01-01"</f>
        <v>1958-01-01</v>
      </c>
      <c r="C1760" t="str">
        <f>"80 05 955746"</f>
        <v>80 05 955746</v>
      </c>
      <c r="D1760" t="str">
        <f>"4854630414843360"</f>
        <v>4854630414843360</v>
      </c>
      <c r="E1760" t="str">
        <f>"2021-04-30"</f>
        <v>2021-04-30</v>
      </c>
      <c r="F1760" t="str">
        <f>"Q"</f>
        <v>Q</v>
      </c>
      <c r="G1760" t="str">
        <f>"Q"</f>
        <v>Q</v>
      </c>
      <c r="H1760" t="str">
        <f>"40817810816991470388"</f>
        <v>40817810816991470388</v>
      </c>
      <c r="I1760" t="str">
        <f>"8598"</f>
        <v>8598</v>
      </c>
      <c r="J1760" t="str">
        <f>"0260"</f>
        <v>0260</v>
      </c>
      <c r="K1760" t="str">
        <f>"0.00"</f>
        <v>0.00</v>
      </c>
      <c r="L1760" t="str">
        <f>"450000 РЕСП БАШКОРТОСТАН Р-Н КИГИНСКИЙ   С ВЕРХНИЕ КИГИ УЛ САЛАВАТА д. 3"</f>
        <v>450000 РЕСП БАШКОРТОСТАН Р-Н КИГИНСКИЙ   С ВЕРХНИЕ КИГИ УЛ САЛАВАТА д. 3</v>
      </c>
      <c r="M1760" t="str">
        <f t="shared" si="303"/>
        <v>2019-08-24</v>
      </c>
      <c r="N1760" t="str">
        <f>"ПЕНСИОНЕР"</f>
        <v>ПЕНСИОНЕР</v>
      </c>
      <c r="O1760" t="str">
        <f>"450000"</f>
        <v>450000</v>
      </c>
      <c r="P1760" t="str">
        <f>"РЕСП БАШКОРТОСТАН"</f>
        <v>РЕСП БАШКОРТОСТАН</v>
      </c>
      <c r="Q1760" t="str">
        <f>"Р-Н КИГИНСКИЙ"</f>
        <v>Р-Н КИГИНСКИЙ</v>
      </c>
      <c r="R1760" t="str">
        <f>""</f>
        <v/>
      </c>
      <c r="S1760" t="str">
        <f>"С ЕЛАНЛИНО"</f>
        <v>С ЕЛАНЛИНО</v>
      </c>
      <c r="T1760" t="str">
        <f>"УЛ НАГОРНАЯ"</f>
        <v>УЛ НАГОРНАЯ</v>
      </c>
      <c r="U1760" s="1" t="str">
        <f>"18"</f>
        <v>18</v>
      </c>
      <c r="V1760" s="1" t="str">
        <f>""</f>
        <v/>
      </c>
      <c r="W1760" s="1" t="str">
        <f>""</f>
        <v/>
      </c>
      <c r="X1760" s="1" t="str">
        <f>""</f>
        <v/>
      </c>
      <c r="Y1760" s="1" t="str">
        <f>""</f>
        <v/>
      </c>
      <c r="Z1760" t="str">
        <f>""</f>
        <v/>
      </c>
      <c r="AA1760" t="str">
        <f>"3744832655"</f>
        <v>3744832655</v>
      </c>
      <c r="AB1760" t="str">
        <f>"9050071685"</f>
        <v>9050071685</v>
      </c>
      <c r="AC1760" t="str">
        <f>"3744832655"</f>
        <v>3744832655</v>
      </c>
      <c r="AD1760" t="str">
        <f>"9050071685"</f>
        <v>9050071685</v>
      </c>
      <c r="AE1760" t="str">
        <f>""</f>
        <v/>
      </c>
    </row>
    <row r="1761" spans="1:31" x14ac:dyDescent="0.45">
      <c r="A1761" t="str">
        <f>"ЯРОВ РУСЛАН РАФАИЛОВИЧ"</f>
        <v>ЯРОВ РУСЛАН РАФАИЛОВИЧ</v>
      </c>
      <c r="B1761" t="str">
        <f>"1976-02-22"</f>
        <v>1976-02-22</v>
      </c>
      <c r="C1761" t="str">
        <f>"71 02 811075"</f>
        <v>71 02 811075</v>
      </c>
      <c r="D1761" t="str">
        <f>"4854630374786682"</f>
        <v>4854630374786682</v>
      </c>
      <c r="E1761" t="str">
        <f>"2021-04-30"</f>
        <v>2021-04-30</v>
      </c>
      <c r="F1761" t="str">
        <f>"+"</f>
        <v>+</v>
      </c>
      <c r="G1761" t="str">
        <f>"+"</f>
        <v>+</v>
      </c>
      <c r="H1761" t="str">
        <f>"40817810916992193056"</f>
        <v>40817810916992193056</v>
      </c>
      <c r="I1761" t="str">
        <f>"8647"</f>
        <v>8647</v>
      </c>
      <c r="J1761" t="str">
        <f>"0330"</f>
        <v>0330</v>
      </c>
      <c r="K1761" t="str">
        <f>"170000.00"</f>
        <v>170000.00</v>
      </c>
      <c r="L1761" t="str">
        <f>"625000 ОБЛ ТЮМЕНСКАЯ   Г ТЮМЕНЬ   ПРОЕЗД СОЛНЕЧНЫЙ д. 0"</f>
        <v>625000 ОБЛ ТЮМЕНСКАЯ   Г ТЮМЕНЬ   ПРОЕЗД СОЛНЕЧНЫЙ д. 0</v>
      </c>
      <c r="M1761" t="str">
        <f t="shared" si="303"/>
        <v>2019-08-24</v>
      </c>
      <c r="N1761" t="str">
        <f>"ООО ПРОМЕТЕЙ"</f>
        <v>ООО ПРОМЕТЕЙ</v>
      </c>
      <c r="O1761" t="str">
        <f>"625000"</f>
        <v>625000</v>
      </c>
      <c r="P1761" t="str">
        <f>"ОБЛ ТЮМЕНСКАЯ"</f>
        <v>ОБЛ ТЮМЕНСКАЯ</v>
      </c>
      <c r="Q1761" t="str">
        <f>""</f>
        <v/>
      </c>
      <c r="R1761" t="str">
        <f>"Г ТЮМЕНЬ"</f>
        <v>Г ТЮМЕНЬ</v>
      </c>
      <c r="S1761" t="str">
        <f>""</f>
        <v/>
      </c>
      <c r="T1761" t="str">
        <f>"УЛ ВОССТАНИЯ"</f>
        <v>УЛ ВОССТАНИЯ</v>
      </c>
      <c r="U1761" s="1" t="str">
        <f>"19"</f>
        <v>19</v>
      </c>
      <c r="V1761" s="1" t="str">
        <f>""</f>
        <v/>
      </c>
      <c r="W1761" s="1" t="str">
        <f>""</f>
        <v/>
      </c>
      <c r="X1761" s="1" t="str">
        <f>""</f>
        <v/>
      </c>
      <c r="Y1761" s="1" t="str">
        <f>"116"</f>
        <v>116</v>
      </c>
      <c r="Z1761" t="str">
        <f>"3452000000"</f>
        <v>3452000000</v>
      </c>
      <c r="AA1761" t="str">
        <f>"9088698557"</f>
        <v>9088698557</v>
      </c>
      <c r="AB1761" t="str">
        <f>"9088698557"</f>
        <v>9088698557</v>
      </c>
      <c r="AC1761" t="str">
        <f>"9504828728"</f>
        <v>9504828728</v>
      </c>
      <c r="AD1761" t="str">
        <f>"9088698557"</f>
        <v>9088698557</v>
      </c>
      <c r="AE1761" t="str">
        <f>""</f>
        <v/>
      </c>
    </row>
    <row r="1762" spans="1:31" x14ac:dyDescent="0.45">
      <c r="A1762" t="str">
        <f>"ДЫМШАКОВА НАДЕЖДА ИВАНОВНА"</f>
        <v>ДЫМШАКОВА НАДЕЖДА ИВАНОВНА</v>
      </c>
      <c r="B1762" t="str">
        <f>"1953-11-18"</f>
        <v>1953-11-18</v>
      </c>
      <c r="C1762" t="str">
        <f>"65 00 558818"</f>
        <v>65 00 558818</v>
      </c>
      <c r="D1762" t="str">
        <f>"5313100808590342"</f>
        <v>5313100808590342</v>
      </c>
      <c r="E1762" t="str">
        <f>"2021-03-31"</f>
        <v>2021-03-31</v>
      </c>
      <c r="F1762" t="str">
        <f>"Q"</f>
        <v>Q</v>
      </c>
      <c r="G1762" t="str">
        <f>"Q"</f>
        <v>Q</v>
      </c>
      <c r="H1762" t="str">
        <f>"40817810616991470436"</f>
        <v>40817810616991470436</v>
      </c>
      <c r="I1762" t="str">
        <f>"8599"</f>
        <v>8599</v>
      </c>
      <c r="J1762" t="str">
        <f>"0227"</f>
        <v>0227</v>
      </c>
      <c r="K1762" t="str">
        <f>"0.00"</f>
        <v>0.00</v>
      </c>
      <c r="L1762" t="str">
        <f>"641000 ОБЛ КУРГАНСКАЯ   Г ШАДРИНСК   УЛ ВОЛОДАРСКОГО д. 44"</f>
        <v>641000 ОБЛ КУРГАНСКАЯ   Г ШАДРИНСК   УЛ ВОЛОДАРСКОГО д. 44</v>
      </c>
      <c r="M1762" t="str">
        <f t="shared" si="303"/>
        <v>2019-08-24</v>
      </c>
      <c r="N1762" t="str">
        <f>"ПФР"</f>
        <v>ПФР</v>
      </c>
      <c r="O1762" t="str">
        <f>"641000"</f>
        <v>641000</v>
      </c>
      <c r="P1762" t="str">
        <f>"ОБЛ КУРГАНСКАЯ"</f>
        <v>ОБЛ КУРГАНСКАЯ</v>
      </c>
      <c r="Q1762" t="str">
        <f>""</f>
        <v/>
      </c>
      <c r="R1762" t="str">
        <f>"Г ШАДРИНСК"</f>
        <v>Г ШАДРИНСК</v>
      </c>
      <c r="S1762" t="str">
        <f>""</f>
        <v/>
      </c>
      <c r="T1762" t="str">
        <f>"УЛ КАРЛА МАРКСА"</f>
        <v>УЛ КАРЛА МАРКСА</v>
      </c>
      <c r="U1762" s="1" t="str">
        <f>"166"</f>
        <v>166</v>
      </c>
      <c r="V1762" s="1" t="str">
        <f>""</f>
        <v/>
      </c>
      <c r="W1762" s="1" t="str">
        <f>""</f>
        <v/>
      </c>
      <c r="X1762" s="1" t="str">
        <f>""</f>
        <v/>
      </c>
      <c r="Y1762" s="1" t="str">
        <f>"18"</f>
        <v>18</v>
      </c>
      <c r="Z1762" t="str">
        <f>"9924227126"</f>
        <v>9924227126</v>
      </c>
      <c r="AA1762" t="str">
        <f>"9924227126"</f>
        <v>9924227126</v>
      </c>
      <c r="AB1762" t="str">
        <f>"9924227126"</f>
        <v>9924227126</v>
      </c>
      <c r="AC1762" t="str">
        <f>"9924227126"</f>
        <v>9924227126</v>
      </c>
      <c r="AD1762" t="str">
        <f>"9924227126"</f>
        <v>9924227126</v>
      </c>
      <c r="AE1762" t="str">
        <f>"9924227126"</f>
        <v>9924227126</v>
      </c>
    </row>
    <row r="1763" spans="1:31" x14ac:dyDescent="0.45">
      <c r="A1763" t="str">
        <f>"АБДУЛЛИН РИФ АБДУЛХАКОВИЧ"</f>
        <v>АБДУЛЛИН РИФ АБДУЛХАКОВИЧ</v>
      </c>
      <c r="B1763" t="str">
        <f>"1966-11-03"</f>
        <v>1966-11-03</v>
      </c>
      <c r="C1763" t="str">
        <f>"80 11 421128"</f>
        <v>80 11 421128</v>
      </c>
      <c r="D1763" t="str">
        <f>"4854630316867350"</f>
        <v>4854630316867350</v>
      </c>
      <c r="E1763" t="str">
        <f>"2021-05-31"</f>
        <v>2021-05-31</v>
      </c>
      <c r="F1763" t="str">
        <f t="shared" ref="F1763:G1777" si="308">"+"</f>
        <v>+</v>
      </c>
      <c r="G1763" t="str">
        <f t="shared" si="308"/>
        <v>+</v>
      </c>
      <c r="H1763" t="str">
        <f>"40817810916991470437"</f>
        <v>40817810916991470437</v>
      </c>
      <c r="I1763" t="str">
        <f>"8597"</f>
        <v>8597</v>
      </c>
      <c r="J1763" t="str">
        <f>"0342"</f>
        <v>0342</v>
      </c>
      <c r="K1763" t="str">
        <f>"60000.00"</f>
        <v>60000.00</v>
      </c>
      <c r="L1763" t="str">
        <f>"454000 ОБЛ ЧЕЛЯБИНСКАЯ   Г МАГНИТОГОРСК   УЛ КИРОВА д. 104Б"</f>
        <v>454000 ОБЛ ЧЕЛЯБИНСКАЯ   Г МАГНИТОГОРСК   УЛ КИРОВА д. 104Б</v>
      </c>
      <c r="M1763" t="str">
        <f t="shared" si="303"/>
        <v>2019-08-24</v>
      </c>
      <c r="N1763" t="str">
        <f>"ОАО ПРОКАТМОНТАЖ"</f>
        <v>ОАО ПРОКАТМОНТАЖ</v>
      </c>
      <c r="O1763" t="str">
        <f>"450000"</f>
        <v>450000</v>
      </c>
      <c r="P1763" t="str">
        <f>"РЕСП БАШКОРТОСТАН"</f>
        <v>РЕСП БАШКОРТОСТАН</v>
      </c>
      <c r="Q1763" t="str">
        <f>"Р-Н АБЗЕЛИЛОВСКИЙ"</f>
        <v>Р-Н АБЗЕЛИЛОВСКИЙ</v>
      </c>
      <c r="R1763" t="str">
        <f>""</f>
        <v/>
      </c>
      <c r="S1763" t="str">
        <f>"Д АХМЕТОВО"</f>
        <v>Д АХМЕТОВО</v>
      </c>
      <c r="T1763" t="str">
        <f>"УЛ АХМЕТ ЗАКИ ВАЛИДИ"</f>
        <v>УЛ АХМЕТ ЗАКИ ВАЛИДИ</v>
      </c>
      <c r="U1763" s="1" t="str">
        <f>"2"</f>
        <v>2</v>
      </c>
      <c r="V1763" s="1" t="str">
        <f>""</f>
        <v/>
      </c>
      <c r="W1763" s="1" t="str">
        <f>""</f>
        <v/>
      </c>
      <c r="X1763" s="1" t="str">
        <f>""</f>
        <v/>
      </c>
      <c r="Y1763" s="1" t="str">
        <f>""</f>
        <v/>
      </c>
      <c r="Z1763" t="str">
        <f>""</f>
        <v/>
      </c>
      <c r="AA1763" t="str">
        <f>"9026018988"</f>
        <v>9026018988</v>
      </c>
      <c r="AB1763" t="str">
        <f>"9681205666"</f>
        <v>9681205666</v>
      </c>
      <c r="AC1763" t="str">
        <f>"9026018988"</f>
        <v>9026018988</v>
      </c>
      <c r="AD1763" t="str">
        <f>"9681205666"</f>
        <v>9681205666</v>
      </c>
      <c r="AE1763" t="str">
        <f>""</f>
        <v/>
      </c>
    </row>
    <row r="1764" spans="1:31" x14ac:dyDescent="0.45">
      <c r="A1764" t="str">
        <f>"БУРМИСТРОВА ЛЮДМИЛА ГРИГОРЬЕВНА"</f>
        <v>БУРМИСТРОВА ЛЮДМИЛА ГРИГОРЬЕВНА</v>
      </c>
      <c r="B1764" t="str">
        <f>"1967-09-25"</f>
        <v>1967-09-25</v>
      </c>
      <c r="C1764" t="str">
        <f>"71 14 081636"</f>
        <v>71 14 081636</v>
      </c>
      <c r="D1764" t="str">
        <f>"4854630376827666"</f>
        <v>4854630376827666</v>
      </c>
      <c r="E1764" t="str">
        <f>"2021-04-30"</f>
        <v>2021-04-30</v>
      </c>
      <c r="F1764" t="str">
        <f t="shared" si="308"/>
        <v>+</v>
      </c>
      <c r="G1764" t="str">
        <f t="shared" si="308"/>
        <v>+</v>
      </c>
      <c r="H1764" t="str">
        <f>"40817810016992556603"</f>
        <v>40817810016992556603</v>
      </c>
      <c r="I1764" t="str">
        <f>"8647"</f>
        <v>8647</v>
      </c>
      <c r="J1764" t="str">
        <f>"0094"</f>
        <v>0094</v>
      </c>
      <c r="K1764" t="str">
        <f>"10000.00"</f>
        <v>10000.00</v>
      </c>
      <c r="L1764" t="str">
        <f>"625000 ОБЛ ТЮМЕНСКАЯ   Г ТЮМЕНЬ   УЛ ОЛИМПИЙСКАЯ д. 12 кв. 201"</f>
        <v>625000 ОБЛ ТЮМЕНСКАЯ   Г ТЮМЕНЬ   УЛ ОЛИМПИЙСКАЯ д. 12 кв. 201</v>
      </c>
      <c r="M1764" t="str">
        <f t="shared" si="303"/>
        <v>2019-08-24</v>
      </c>
      <c r="N1764" t="str">
        <f>"ЗООСАЛОН"</f>
        <v>ЗООСАЛОН</v>
      </c>
      <c r="O1764" t="str">
        <f>"627000"</f>
        <v>627000</v>
      </c>
      <c r="P1764" t="str">
        <f>"ОБЛ ТЮМЕНСКАЯ"</f>
        <v>ОБЛ ТЮМЕНСКАЯ</v>
      </c>
      <c r="Q1764" t="str">
        <f>""</f>
        <v/>
      </c>
      <c r="R1764" t="str">
        <f>"Г ИШИМ"</f>
        <v>Г ИШИМ</v>
      </c>
      <c r="S1764" t="str">
        <f>""</f>
        <v/>
      </c>
      <c r="T1764" t="str">
        <f>"УЛ КОММУНАРОВ"</f>
        <v>УЛ КОММУНАРОВ</v>
      </c>
      <c r="U1764" s="1" t="str">
        <f>"15"</f>
        <v>15</v>
      </c>
      <c r="V1764" s="1" t="str">
        <f>""</f>
        <v/>
      </c>
      <c r="W1764" s="1" t="str">
        <f>""</f>
        <v/>
      </c>
      <c r="X1764" s="1" t="str">
        <f>""</f>
        <v/>
      </c>
      <c r="Y1764" s="1" t="str">
        <f>"27"</f>
        <v>27</v>
      </c>
      <c r="Z1764" t="str">
        <f>""</f>
        <v/>
      </c>
      <c r="AA1764" t="str">
        <f>"9048770494"</f>
        <v>9048770494</v>
      </c>
      <c r="AB1764" t="str">
        <f>"9612072246"</f>
        <v>9612072246</v>
      </c>
      <c r="AC1764" t="str">
        <f>"9048770494"</f>
        <v>9048770494</v>
      </c>
      <c r="AD1764" t="str">
        <f>"9612072246"</f>
        <v>9612072246</v>
      </c>
      <c r="AE1764" t="str">
        <f>""</f>
        <v/>
      </c>
    </row>
    <row r="1765" spans="1:31" x14ac:dyDescent="0.45">
      <c r="A1765" t="str">
        <f>"БАЙРАМГУЛОВ ФАИЛЬ ФАНИЛЕВИЧ"</f>
        <v>БАЙРАМГУЛОВ ФАИЛЬ ФАНИЛЕВИЧ</v>
      </c>
      <c r="B1765" t="str">
        <f>"1990-11-19"</f>
        <v>1990-11-19</v>
      </c>
      <c r="C1765" t="str">
        <f>"80 10 005253"</f>
        <v>80 10 005253</v>
      </c>
      <c r="D1765" t="str">
        <f>"4854630374325937"</f>
        <v>4854630374325937</v>
      </c>
      <c r="E1765" t="str">
        <f>"2021-04-30"</f>
        <v>2021-04-30</v>
      </c>
      <c r="F1765" t="str">
        <f t="shared" si="308"/>
        <v>+</v>
      </c>
      <c r="G1765" t="str">
        <f t="shared" si="308"/>
        <v>+</v>
      </c>
      <c r="H1765" t="str">
        <f>"40817810516992556747"</f>
        <v>40817810516992556747</v>
      </c>
      <c r="I1765" t="str">
        <f>"5940"</f>
        <v>5940</v>
      </c>
      <c r="J1765" t="str">
        <f>"0138"</f>
        <v>0138</v>
      </c>
      <c r="K1765" t="str">
        <f>"30000.00"</f>
        <v>30000.00</v>
      </c>
      <c r="L1765" t="str">
        <f>"628600 ОБЛ ТЮМЕНСКАЯ   Г НИЖНЕВАРТОВСК   УЛ ИНДУСТРИАЛЬНАЯ д. 63"</f>
        <v>628600 ОБЛ ТЮМЕНСКАЯ   Г НИЖНЕВАРТОВСК   УЛ ИНДУСТРИАЛЬНАЯ д. 63</v>
      </c>
      <c r="M1765" t="str">
        <f t="shared" si="303"/>
        <v>2019-08-24</v>
      </c>
      <c r="N1765" t="str">
        <f>"РН ОХРАНА"</f>
        <v>РН ОХРАНА</v>
      </c>
      <c r="O1765" t="str">
        <f>"450000"</f>
        <v>450000</v>
      </c>
      <c r="P1765" t="str">
        <f>"РЕСП БАШКОРТОСТАН"</f>
        <v>РЕСП БАШКОРТОСТАН</v>
      </c>
      <c r="Q1765" t="str">
        <f>""</f>
        <v/>
      </c>
      <c r="R1765" t="str">
        <f>""</f>
        <v/>
      </c>
      <c r="S1765" t="str">
        <f>"С СУЛТАНИМИРОВО"</f>
        <v>С СУЛТАНИМИРОВО</v>
      </c>
      <c r="T1765" t="str">
        <f>"УЛ С. ЮЛАЕВА"</f>
        <v>УЛ С. ЮЛАЕВА</v>
      </c>
      <c r="U1765" s="1" t="str">
        <f>"36"</f>
        <v>36</v>
      </c>
      <c r="V1765" s="1" t="str">
        <f>""</f>
        <v/>
      </c>
      <c r="W1765" s="1" t="str">
        <f>""</f>
        <v/>
      </c>
      <c r="X1765" s="1" t="str">
        <f>""</f>
        <v/>
      </c>
      <c r="Y1765" s="1" t="str">
        <f>""</f>
        <v/>
      </c>
      <c r="Z1765" t="str">
        <f>"9276388631"</f>
        <v>9276388631</v>
      </c>
      <c r="AA1765" t="str">
        <f>"9276388631"</f>
        <v>9276388631</v>
      </c>
      <c r="AB1765" t="str">
        <f>"9120883034"</f>
        <v>9120883034</v>
      </c>
      <c r="AC1765" t="str">
        <f>"9276388631"</f>
        <v>9276388631</v>
      </c>
      <c r="AD1765" t="str">
        <f>"9120883034"</f>
        <v>9120883034</v>
      </c>
      <c r="AE1765" t="str">
        <f>"9276388631"</f>
        <v>9276388631</v>
      </c>
    </row>
    <row r="1766" spans="1:31" x14ac:dyDescent="0.45">
      <c r="A1766" t="str">
        <f>"СЕРГЕЕВ ИГОРЬ СЕМЕНОВИЧ"</f>
        <v>СЕРГЕЕВ ИГОРЬ СЕМЕНОВИЧ</v>
      </c>
      <c r="B1766" t="str">
        <f>"1969-06-07"</f>
        <v>1969-06-07</v>
      </c>
      <c r="C1766" t="str">
        <f>"67 14 417077"</f>
        <v>67 14 417077</v>
      </c>
      <c r="D1766" t="str">
        <f>"4854630428344769"</f>
        <v>4854630428344769</v>
      </c>
      <c r="E1766" t="str">
        <f>"2021-04-30"</f>
        <v>2021-04-30</v>
      </c>
      <c r="F1766" t="str">
        <f t="shared" si="308"/>
        <v>+</v>
      </c>
      <c r="G1766" t="str">
        <f t="shared" si="308"/>
        <v>+</v>
      </c>
      <c r="H1766" t="str">
        <f>"40817810516992194439"</f>
        <v>40817810516992194439</v>
      </c>
      <c r="I1766" t="str">
        <f>"5940"</f>
        <v>5940</v>
      </c>
      <c r="J1766" t="str">
        <f>"0066"</f>
        <v>0066</v>
      </c>
      <c r="K1766" t="str">
        <f>"150000.00"</f>
        <v>150000.00</v>
      </c>
      <c r="L1766" t="str">
        <f>"628449 ОБЛ ТЮМЕНСКАЯ Р-Н СУРГУТСКИЙ Г СУРГУТ   УЛ НЕФТЯНИКОВ д. 49 стр. 1"</f>
        <v>628449 ОБЛ ТЮМЕНСКАЯ Р-Н СУРГУТСКИЙ Г СУРГУТ   УЛ НЕФТЯНИКОВ д. 49 стр. 1</v>
      </c>
      <c r="M1766" t="str">
        <f t="shared" si="303"/>
        <v>2019-08-24</v>
      </c>
      <c r="N1766" t="str">
        <f>"ОАО СУРГУТНЕФТЕГАЗ"</f>
        <v>ОАО СУРГУТНЕФТЕГАЗ</v>
      </c>
      <c r="O1766" t="str">
        <f>"628449"</f>
        <v>628449</v>
      </c>
      <c r="P1766" t="str">
        <f>"ОБЛ ТЮМЕНСКАЯ"</f>
        <v>ОБЛ ТЮМЕНСКАЯ</v>
      </c>
      <c r="Q1766" t="str">
        <f>"Р-Н СУРГУТСКИЙ"</f>
        <v>Р-Н СУРГУТСКИЙ</v>
      </c>
      <c r="R1766" t="str">
        <f>"Г ЛЯНТОР"</f>
        <v>Г ЛЯНТОР</v>
      </c>
      <c r="S1766" t="str">
        <f>""</f>
        <v/>
      </c>
      <c r="T1766" t="str">
        <f>"УЛ 4 МКР"</f>
        <v>УЛ 4 МКР</v>
      </c>
      <c r="U1766" s="1" t="str">
        <f>"25"</f>
        <v>25</v>
      </c>
      <c r="V1766" s="1" t="str">
        <f>""</f>
        <v/>
      </c>
      <c r="W1766" s="1" t="str">
        <f>""</f>
        <v/>
      </c>
      <c r="X1766" s="1" t="str">
        <f>""</f>
        <v/>
      </c>
      <c r="Y1766" s="1" t="str">
        <f>"25"</f>
        <v>25</v>
      </c>
      <c r="Z1766" t="str">
        <f>"3463871894"</f>
        <v>3463871894</v>
      </c>
      <c r="AA1766" t="str">
        <f>"3463820410"</f>
        <v>3463820410</v>
      </c>
      <c r="AB1766" t="str">
        <f>"9124198951"</f>
        <v>9124198951</v>
      </c>
      <c r="AC1766" t="str">
        <f>"3463820410"</f>
        <v>3463820410</v>
      </c>
      <c r="AD1766" t="str">
        <f>"9124198951"</f>
        <v>9124198951</v>
      </c>
      <c r="AE1766" t="str">
        <f>"3463871894"</f>
        <v>3463871894</v>
      </c>
    </row>
    <row r="1767" spans="1:31" x14ac:dyDescent="0.45">
      <c r="A1767" t="str">
        <f>"ПЕРЕПЕЧИНА ВЕРА МИХАЙЛОВНА"</f>
        <v>ПЕРЕПЕЧИНА ВЕРА МИХАЙЛОВНА</v>
      </c>
      <c r="B1767" t="str">
        <f>"1957-01-15"</f>
        <v>1957-01-15</v>
      </c>
      <c r="C1767" t="str">
        <f>"37 02 438788"</f>
        <v>37 02 438788</v>
      </c>
      <c r="D1767" t="str">
        <f>"4854630412190269"</f>
        <v>4854630412190269</v>
      </c>
      <c r="E1767" t="str">
        <f>"2021-04-30"</f>
        <v>2021-04-30</v>
      </c>
      <c r="F1767" t="str">
        <f t="shared" si="308"/>
        <v>+</v>
      </c>
      <c r="G1767" t="str">
        <f t="shared" si="308"/>
        <v>+</v>
      </c>
      <c r="H1767" t="str">
        <f>"40817810016991470502"</f>
        <v>40817810016991470502</v>
      </c>
      <c r="I1767" t="str">
        <f>"8599"</f>
        <v>8599</v>
      </c>
      <c r="J1767" t="str">
        <f>"0051"</f>
        <v>0051</v>
      </c>
      <c r="K1767" t="str">
        <f>"15000.00"</f>
        <v>15000.00</v>
      </c>
      <c r="L1767" t="str">
        <f>"641000 ОБЛ КУРГАНСКАЯ   Г КУРГАН   УЛ ТОМИНА д. 61"</f>
        <v>641000 ОБЛ КУРГАНСКАЯ   Г КУРГАН   УЛ ТОМИНА д. 61</v>
      </c>
      <c r="M1767" t="str">
        <f t="shared" si="303"/>
        <v>2019-08-24</v>
      </c>
      <c r="N1767" t="str">
        <f>"ПЕНСИОНЕР"</f>
        <v>ПЕНСИОНЕР</v>
      </c>
      <c r="O1767" t="str">
        <f>"641000"</f>
        <v>641000</v>
      </c>
      <c r="P1767" t="str">
        <f>"ОБЛ КУРГАНСКАЯ"</f>
        <v>ОБЛ КУРГАНСКАЯ</v>
      </c>
      <c r="Q1767" t="str">
        <f>""</f>
        <v/>
      </c>
      <c r="R1767" t="str">
        <f>"Г КУРГАН"</f>
        <v>Г КУРГАН</v>
      </c>
      <c r="S1767" t="str">
        <f>""</f>
        <v/>
      </c>
      <c r="T1767" t="str">
        <f>"УЛ 9 МАЯ"</f>
        <v>УЛ 9 МАЯ</v>
      </c>
      <c r="U1767" s="1" t="str">
        <f>"4В"</f>
        <v>4В</v>
      </c>
      <c r="V1767" s="1" t="str">
        <f>""</f>
        <v/>
      </c>
      <c r="W1767" s="1" t="str">
        <f>""</f>
        <v/>
      </c>
      <c r="X1767" s="1" t="str">
        <f>""</f>
        <v/>
      </c>
      <c r="Y1767" s="1" t="str">
        <f>"67"</f>
        <v>67</v>
      </c>
      <c r="Z1767" t="str">
        <f>"9195728076"</f>
        <v>9195728076</v>
      </c>
      <c r="AA1767" t="str">
        <f>"9195721305"</f>
        <v>9195721305</v>
      </c>
      <c r="AB1767" t="str">
        <f>"9195721305"</f>
        <v>9195721305</v>
      </c>
      <c r="AC1767" t="str">
        <f>"9195721305"</f>
        <v>9195721305</v>
      </c>
      <c r="AD1767" t="str">
        <f>"9195721305"</f>
        <v>9195721305</v>
      </c>
      <c r="AE1767" t="str">
        <f>"9195728076"</f>
        <v>9195728076</v>
      </c>
    </row>
    <row r="1768" spans="1:31" x14ac:dyDescent="0.45">
      <c r="A1768" t="str">
        <f>"КИСЕЛЕВА СВЕТЛАНА ИВАНОВНА"</f>
        <v>КИСЕЛЕВА СВЕТЛАНА ИВАНОВНА</v>
      </c>
      <c r="B1768" t="str">
        <f>"1971-04-15"</f>
        <v>1971-04-15</v>
      </c>
      <c r="C1768" t="str">
        <f>"80 16 363496"</f>
        <v>80 16 363496</v>
      </c>
      <c r="D1768" t="str">
        <f>"4854630353924445"</f>
        <v>4854630353924445</v>
      </c>
      <c r="E1768" t="str">
        <f>"2021-04-30"</f>
        <v>2021-04-30</v>
      </c>
      <c r="F1768" t="str">
        <f t="shared" si="308"/>
        <v>+</v>
      </c>
      <c r="G1768" t="str">
        <f t="shared" si="308"/>
        <v>+</v>
      </c>
      <c r="H1768" t="str">
        <f>"40817810016991470531"</f>
        <v>40817810016991470531</v>
      </c>
      <c r="I1768" t="str">
        <f>"8598"</f>
        <v>8598</v>
      </c>
      <c r="J1768" t="str">
        <f>"0551"</f>
        <v>0551</v>
      </c>
      <c r="K1768" t="str">
        <f>"15000.00"</f>
        <v>15000.00</v>
      </c>
      <c r="L1768" t="str">
        <f>"450000 РЕСП БАШКОРТОСТАН Р-Н КАРАИДЕЛЬСКИЙ   С КРУШ УЛ ЦЕНТРАЛЬНАЯ д. 28"</f>
        <v>450000 РЕСП БАШКОРТОСТАН Р-Н КАРАИДЕЛЬСКИЙ   С КРУШ УЛ ЦЕНТРАЛЬНАЯ д. 28</v>
      </c>
      <c r="M1768" t="str">
        <f t="shared" si="303"/>
        <v>2019-08-24</v>
      </c>
      <c r="N1768" t="str">
        <f>"МУТПП МАГИНСК"</f>
        <v>МУТПП МАГИНСК</v>
      </c>
      <c r="O1768" t="str">
        <f>"450000"</f>
        <v>450000</v>
      </c>
      <c r="P1768" t="str">
        <f>"РЕСП БАШКОРТОСТАН"</f>
        <v>РЕСП БАШКОРТОСТАН</v>
      </c>
      <c r="Q1768" t="str">
        <f>"Р-Н КАРАИДЕЛЬСКИЙ"</f>
        <v>Р-Н КАРАИДЕЛЬСКИЙ</v>
      </c>
      <c r="R1768" t="str">
        <f>""</f>
        <v/>
      </c>
      <c r="S1768" t="str">
        <f>"С КРУШ"</f>
        <v>С КРУШ</v>
      </c>
      <c r="T1768" t="str">
        <f>"УЛ ЦЕНТРАЛЬНАЯ"</f>
        <v>УЛ ЦЕНТРАЛЬНАЯ</v>
      </c>
      <c r="U1768" s="1" t="str">
        <f>"7"</f>
        <v>7</v>
      </c>
      <c r="V1768" s="1" t="str">
        <f>""</f>
        <v/>
      </c>
      <c r="W1768" s="1" t="str">
        <f>""</f>
        <v/>
      </c>
      <c r="X1768" s="1" t="str">
        <f>""</f>
        <v/>
      </c>
      <c r="Y1768" s="1" t="str">
        <f>""</f>
        <v/>
      </c>
      <c r="Z1768" t="str">
        <f>""</f>
        <v/>
      </c>
      <c r="AA1768" t="str">
        <f>"9651318345"</f>
        <v>9651318345</v>
      </c>
      <c r="AB1768" t="str">
        <f>"9651318345"</f>
        <v>9651318345</v>
      </c>
      <c r="AC1768" t="str">
        <f>"9651318345"</f>
        <v>9651318345</v>
      </c>
      <c r="AD1768" t="str">
        <f>"9651318345"</f>
        <v>9651318345</v>
      </c>
      <c r="AE1768" t="str">
        <f>""</f>
        <v/>
      </c>
    </row>
    <row r="1769" spans="1:31" x14ac:dyDescent="0.45">
      <c r="A1769" t="str">
        <f>"ТАГИРОВА АЛИЯ ЗАМИЛОВНА"</f>
        <v>ТАГИРОВА АЛИЯ ЗАМИЛОВНА</v>
      </c>
      <c r="B1769" t="str">
        <f>"1977-07-13"</f>
        <v>1977-07-13</v>
      </c>
      <c r="C1769" t="str">
        <f>"65 99 225787"</f>
        <v>65 99 225787</v>
      </c>
      <c r="D1769" t="str">
        <f>"4854630281643414"</f>
        <v>4854630281643414</v>
      </c>
      <c r="E1769" t="str">
        <f>"2020-11-30"</f>
        <v>2020-11-30</v>
      </c>
      <c r="F1769" t="str">
        <f t="shared" si="308"/>
        <v>+</v>
      </c>
      <c r="G1769" t="str">
        <f t="shared" si="308"/>
        <v>+</v>
      </c>
      <c r="H1769" t="str">
        <f>"40817810316991470532"</f>
        <v>40817810316991470532</v>
      </c>
      <c r="I1769" t="str">
        <f>"7003"</f>
        <v>7003</v>
      </c>
      <c r="J1769" t="str">
        <f>"0637"</f>
        <v>0637</v>
      </c>
      <c r="K1769" t="str">
        <f>"20000.00"</f>
        <v>20000.00</v>
      </c>
      <c r="L1769" t="str">
        <f>"624260 ОБЛ СВЕРДЛОВСКАЯ   Г АСБЕСТ   УЛ УРАЛЬСКАЯ д. 66"</f>
        <v>624260 ОБЛ СВЕРДЛОВСКАЯ   Г АСБЕСТ   УЛ УРАЛЬСКАЯ д. 66</v>
      </c>
      <c r="M1769" t="str">
        <f t="shared" si="303"/>
        <v>2019-08-24</v>
      </c>
      <c r="N1769" t="s">
        <v>101</v>
      </c>
      <c r="O1769" t="str">
        <f>"624260"</f>
        <v>624260</v>
      </c>
      <c r="P1769" t="str">
        <f>"ОБЛ СВЕРДЛОВСКАЯ"</f>
        <v>ОБЛ СВЕРДЛОВСКАЯ</v>
      </c>
      <c r="Q1769" t="str">
        <f>""</f>
        <v/>
      </c>
      <c r="R1769" t="str">
        <f>"Г АСБЕСТ"</f>
        <v>Г АСБЕСТ</v>
      </c>
      <c r="S1769" t="str">
        <f>""</f>
        <v/>
      </c>
      <c r="T1769" t="str">
        <f>"УЛ СОВЕТСКАЯ"</f>
        <v>УЛ СОВЕТСКАЯ</v>
      </c>
      <c r="U1769" s="1" t="str">
        <f>"19"</f>
        <v>19</v>
      </c>
      <c r="V1769" s="1" t="str">
        <f>""</f>
        <v/>
      </c>
      <c r="W1769" s="1" t="str">
        <f>""</f>
        <v/>
      </c>
      <c r="X1769" s="1" t="str">
        <f>""</f>
        <v/>
      </c>
      <c r="Y1769" s="1" t="str">
        <f>"98"</f>
        <v>98</v>
      </c>
      <c r="Z1769" t="str">
        <f>""</f>
        <v/>
      </c>
      <c r="AA1769" t="str">
        <f>"+7 (34365) 73503"</f>
        <v>+7 (34365) 73503</v>
      </c>
      <c r="AB1769" t="str">
        <f>"+7 (952) 7314821"</f>
        <v>+7 (952) 7314821</v>
      </c>
      <c r="AC1769" t="str">
        <f>"3436573503"</f>
        <v>3436573503</v>
      </c>
      <c r="AD1769" t="str">
        <f>"9527314821"</f>
        <v>9527314821</v>
      </c>
      <c r="AE1769" t="str">
        <f>""</f>
        <v/>
      </c>
    </row>
    <row r="1770" spans="1:31" x14ac:dyDescent="0.45">
      <c r="A1770" t="str">
        <f>"АХМЕТШИНА ФИЛИНА ИДИЯТОВНА"</f>
        <v>АХМЕТШИНА ФИЛИНА ИДИЯТОВНА</v>
      </c>
      <c r="B1770" t="str">
        <f>"1963-04-17"</f>
        <v>1963-04-17</v>
      </c>
      <c r="C1770" t="str">
        <f>"74 12 804233"</f>
        <v>74 12 804233</v>
      </c>
      <c r="D1770" t="str">
        <f>"4854630174618911"</f>
        <v>4854630174618911</v>
      </c>
      <c r="E1770" t="str">
        <f>"2020-04-30"</f>
        <v>2020-04-30</v>
      </c>
      <c r="F1770" t="str">
        <f t="shared" si="308"/>
        <v>+</v>
      </c>
      <c r="G1770" t="str">
        <f t="shared" si="308"/>
        <v>+</v>
      </c>
      <c r="H1770" t="str">
        <f>"40817810616991470533"</f>
        <v>40817810616991470533</v>
      </c>
      <c r="I1770" t="str">
        <f>"8598"</f>
        <v>8598</v>
      </c>
      <c r="J1770" t="str">
        <f>"0585"</f>
        <v>0585</v>
      </c>
      <c r="K1770" t="str">
        <f>"105000.00"</f>
        <v>105000.00</v>
      </c>
      <c r="L1770" t="str">
        <f>"452440 РЕСП БАШКОРТОСТАН Р-Н НУРИМАНОВСКИЙ   С КРАСНАЯ ГОРКА УЛ СОВЕТСКАЯ д. 60"</f>
        <v>452440 РЕСП БАШКОРТОСТАН Р-Н НУРИМАНОВСКИЙ   С КРАСНАЯ ГОРКА УЛ СОВЕТСКАЯ д. 60</v>
      </c>
      <c r="M1770" t="str">
        <f t="shared" si="303"/>
        <v>2019-08-24</v>
      </c>
      <c r="N1770" t="str">
        <f>"ПЕНСИОННЫЙ ФОНД НУРИМАНОВСКОГО РАЙОНА"</f>
        <v>ПЕНСИОННЫЙ ФОНД НУРИМАНОВСКОГО РАЙОНА</v>
      </c>
      <c r="O1770" t="str">
        <f>"629307"</f>
        <v>629307</v>
      </c>
      <c r="P1770" t="str">
        <f>"ОБЛ ТЮМЕНСКАЯ"</f>
        <v>ОБЛ ТЮМЕНСКАЯ</v>
      </c>
      <c r="Q1770" t="str">
        <f>"АО ЯМАЛО-НЕНЕЦКИЙ"</f>
        <v>АО ЯМАЛО-НЕНЕЦКИЙ</v>
      </c>
      <c r="R1770" t="str">
        <f>"Г НОВЫЙ УРЕНГОЙ"</f>
        <v>Г НОВЫЙ УРЕНГОЙ</v>
      </c>
      <c r="S1770" t="str">
        <f>""</f>
        <v/>
      </c>
      <c r="T1770" t="str">
        <f>"УЛ НАБЕРЕЖНАЯ"</f>
        <v>УЛ НАБЕРЕЖНАЯ</v>
      </c>
      <c r="U1770" s="1" t="str">
        <f>"57"</f>
        <v>57</v>
      </c>
      <c r="V1770" s="1" t="str">
        <f>""</f>
        <v/>
      </c>
      <c r="W1770" s="1" t="str">
        <f>""</f>
        <v/>
      </c>
      <c r="X1770" s="1" t="str">
        <f>""</f>
        <v/>
      </c>
      <c r="Y1770" s="1" t="str">
        <f>"12"</f>
        <v>12</v>
      </c>
      <c r="Z1770" t="str">
        <f>""</f>
        <v/>
      </c>
      <c r="AA1770" t="str">
        <f>"9177426634"</f>
        <v>9177426634</v>
      </c>
      <c r="AB1770" t="str">
        <f>"9177426634"</f>
        <v>9177426634</v>
      </c>
      <c r="AC1770" t="str">
        <f>"9177426634"</f>
        <v>9177426634</v>
      </c>
      <c r="AD1770" t="str">
        <f>"9177426634"</f>
        <v>9177426634</v>
      </c>
      <c r="AE1770" t="str">
        <f>""</f>
        <v/>
      </c>
    </row>
    <row r="1771" spans="1:31" x14ac:dyDescent="0.45">
      <c r="A1771" t="str">
        <f>"ГАЙБАДУЛИНА ВЕНЕРА РАВИЛЬЕВНА"</f>
        <v>ГАЙБАДУЛИНА ВЕНЕРА РАВИЛЬЕВНА</v>
      </c>
      <c r="B1771" t="str">
        <f>"1967-05-22"</f>
        <v>1967-05-22</v>
      </c>
      <c r="C1771" t="str">
        <f>"80 12 553954"</f>
        <v>80 12 553954</v>
      </c>
      <c r="D1771" t="str">
        <f>"4854630379269403"</f>
        <v>4854630379269403</v>
      </c>
      <c r="E1771" t="str">
        <f>"2021-04-30"</f>
        <v>2021-04-30</v>
      </c>
      <c r="F1771" t="str">
        <f>"K"</f>
        <v>K</v>
      </c>
      <c r="G1771" t="str">
        <f t="shared" si="308"/>
        <v>+</v>
      </c>
      <c r="H1771" t="str">
        <f>"40817810916991470534"</f>
        <v>40817810916991470534</v>
      </c>
      <c r="I1771" t="str">
        <f>"8598"</f>
        <v>8598</v>
      </c>
      <c r="J1771" t="str">
        <f>"0148"</f>
        <v>0148</v>
      </c>
      <c r="K1771" t="str">
        <f>"160000.00"</f>
        <v>160000.00</v>
      </c>
      <c r="L1771" t="str">
        <f>"450000 РЕСП БАШКОРТОСТАН   Г УФА   УЛ АДМИРАЛА МАКАРОВА д. 16 кв. 15"</f>
        <v>450000 РЕСП БАШКОРТОСТАН   Г УФА   УЛ АДМИРАЛА МАКАРОВА д. 16 кв. 15</v>
      </c>
      <c r="M1771" t="str">
        <f t="shared" si="303"/>
        <v>2019-08-24</v>
      </c>
      <c r="N1771" t="str">
        <f>"ДОМОХОЗЯЙКА"</f>
        <v>ДОМОХОЗЯЙКА</v>
      </c>
      <c r="O1771" t="str">
        <f>"450000"</f>
        <v>450000</v>
      </c>
      <c r="P1771" t="str">
        <f>"РЕСП БАШКОРТОСТАН"</f>
        <v>РЕСП БАШКОРТОСТАН</v>
      </c>
      <c r="Q1771" t="str">
        <f>""</f>
        <v/>
      </c>
      <c r="R1771" t="str">
        <f>"Г УФА"</f>
        <v>Г УФА</v>
      </c>
      <c r="S1771" t="str">
        <f>""</f>
        <v/>
      </c>
      <c r="T1771" t="str">
        <f>"УЛ АДМИРАЛА МАКАРОВА"</f>
        <v>УЛ АДМИРАЛА МАКАРОВА</v>
      </c>
      <c r="U1771" s="1" t="str">
        <f>"16"</f>
        <v>16</v>
      </c>
      <c r="V1771" s="1" t="str">
        <f>""</f>
        <v/>
      </c>
      <c r="W1771" s="1" t="str">
        <f>""</f>
        <v/>
      </c>
      <c r="X1771" s="1" t="str">
        <f>""</f>
        <v/>
      </c>
      <c r="Y1771" s="1" t="str">
        <f>"15"</f>
        <v>15</v>
      </c>
      <c r="Z1771" t="str">
        <f>""</f>
        <v/>
      </c>
      <c r="AA1771" t="str">
        <f>"9177546018"</f>
        <v>9177546018</v>
      </c>
      <c r="AB1771" t="str">
        <f>"9177546018"</f>
        <v>9177546018</v>
      </c>
      <c r="AC1771" t="str">
        <f>"9273145541"</f>
        <v>9273145541</v>
      </c>
      <c r="AD1771" t="str">
        <f>"9177546018"</f>
        <v>9177546018</v>
      </c>
      <c r="AE1771" t="str">
        <f>""</f>
        <v/>
      </c>
    </row>
    <row r="1772" spans="1:31" x14ac:dyDescent="0.45">
      <c r="A1772" t="str">
        <f>"ЧЕРНЫШЕВА ТАТЬЯНА ЯКОВЛЕВНА"</f>
        <v>ЧЕРНЫШЕВА ТАТЬЯНА ЯКОВЛЕВНА</v>
      </c>
      <c r="B1772" t="str">
        <f>"1958-08-30"</f>
        <v>1958-08-30</v>
      </c>
      <c r="C1772" t="str">
        <f>"71 04 279151"</f>
        <v>71 04 279151</v>
      </c>
      <c r="D1772" t="str">
        <f>"4854630078416636"</f>
        <v>4854630078416636</v>
      </c>
      <c r="E1772" t="str">
        <f>"2021-05-31"</f>
        <v>2021-05-31</v>
      </c>
      <c r="F1772" t="str">
        <f t="shared" ref="F1772:F1777" si="309">"+"</f>
        <v>+</v>
      </c>
      <c r="G1772" t="str">
        <f t="shared" si="308"/>
        <v>+</v>
      </c>
      <c r="H1772" t="str">
        <f>"40817810316992557470"</f>
        <v>40817810316992557470</v>
      </c>
      <c r="I1772" t="str">
        <f>"8647"</f>
        <v>8647</v>
      </c>
      <c r="J1772" t="str">
        <f>"0186"</f>
        <v>0186</v>
      </c>
      <c r="K1772" t="str">
        <f>"20000.00"</f>
        <v>20000.00</v>
      </c>
      <c r="L1772" t="str">
        <f>"627750 ОБЛ ТЮМЕНСКАЯ   Г ИШИМ   УЛ К.МАРКСА д. 40"</f>
        <v>627750 ОБЛ ТЮМЕНСКАЯ   Г ИШИМ   УЛ К.МАРКСА д. 40</v>
      </c>
      <c r="M1772" t="str">
        <f t="shared" si="303"/>
        <v>2019-08-24</v>
      </c>
      <c r="N1772" t="str">
        <f>"ПЕНСИОНЕР"</f>
        <v>ПЕНСИОНЕР</v>
      </c>
      <c r="O1772" t="str">
        <f>"627750"</f>
        <v>627750</v>
      </c>
      <c r="P1772" t="str">
        <f>"ОБЛ ТЮМЕНСКАЯ"</f>
        <v>ОБЛ ТЮМЕНСКАЯ</v>
      </c>
      <c r="Q1772" t="str">
        <f>""</f>
        <v/>
      </c>
      <c r="R1772" t="str">
        <f>"Г ИШИМ"</f>
        <v>Г ИШИМ</v>
      </c>
      <c r="S1772" t="str">
        <f>""</f>
        <v/>
      </c>
      <c r="T1772" t="str">
        <f>"УЛ КУЙБЫШЕВА"</f>
        <v>УЛ КУЙБЫШЕВА</v>
      </c>
      <c r="U1772" s="1" t="str">
        <f>"65"</f>
        <v>65</v>
      </c>
      <c r="V1772" s="1" t="str">
        <f>""</f>
        <v/>
      </c>
      <c r="W1772" s="1" t="str">
        <f>"А"</f>
        <v>А</v>
      </c>
      <c r="X1772" s="1" t="str">
        <f>""</f>
        <v/>
      </c>
      <c r="Y1772" s="1" t="str">
        <f>""</f>
        <v/>
      </c>
      <c r="Z1772" t="str">
        <f>""</f>
        <v/>
      </c>
      <c r="AA1772" t="str">
        <f>"9827770527"</f>
        <v>9827770527</v>
      </c>
      <c r="AB1772" t="str">
        <f>"9829044178"</f>
        <v>9829044178</v>
      </c>
      <c r="AC1772" t="str">
        <f>"9827770527"</f>
        <v>9827770527</v>
      </c>
      <c r="AD1772" t="str">
        <f>"9829044178"</f>
        <v>9829044178</v>
      </c>
      <c r="AE1772" t="str">
        <f>""</f>
        <v/>
      </c>
    </row>
    <row r="1773" spans="1:31" x14ac:dyDescent="0.45">
      <c r="A1773" t="str">
        <f>"БРУСНИЦИНА ГАЛИНА АНАТОЛЬЕВНА"</f>
        <v>БРУСНИЦИНА ГАЛИНА АНАТОЛЬЕВНА</v>
      </c>
      <c r="B1773" t="str">
        <f>"1962-02-03"</f>
        <v>1962-02-03</v>
      </c>
      <c r="C1773" t="str">
        <f>"65 07 078875"</f>
        <v>65 07 078875</v>
      </c>
      <c r="D1773" t="str">
        <f>"4854630216492325"</f>
        <v>4854630216492325</v>
      </c>
      <c r="E1773" t="str">
        <f>"2021-04-30"</f>
        <v>2021-04-30</v>
      </c>
      <c r="F1773" t="str">
        <f t="shared" si="309"/>
        <v>+</v>
      </c>
      <c r="G1773" t="str">
        <f t="shared" si="308"/>
        <v>+</v>
      </c>
      <c r="H1773" t="str">
        <f>"40817810716991430622"</f>
        <v>40817810716991430622</v>
      </c>
      <c r="I1773" t="str">
        <f>"7003"</f>
        <v>7003</v>
      </c>
      <c r="J1773" t="str">
        <f>"0369"</f>
        <v>0369</v>
      </c>
      <c r="K1773" t="str">
        <f>"100000.00"</f>
        <v>100000.00</v>
      </c>
      <c r="L1773" t="str">
        <f>"620000 ОБЛ СВЕРДЛОВСКАЯ   Г ЕКАТЕРИНБУРГ   УЛ О КОШЕВОГО д. 32 кв. 30"</f>
        <v>620000 ОБЛ СВЕРДЛОВСКАЯ   Г ЕКАТЕРИНБУРГ   УЛ О КОШЕВОГО д. 32 кв. 30</v>
      </c>
      <c r="M1773" t="str">
        <f t="shared" si="303"/>
        <v>2019-08-24</v>
      </c>
      <c r="N1773" t="str">
        <f>"ГАУ КЦСОН"</f>
        <v>ГАУ КЦСОН</v>
      </c>
      <c r="O1773" t="str">
        <f>"620000"</f>
        <v>620000</v>
      </c>
      <c r="P1773" t="str">
        <f>"ОБЛ СВЕРДЛОВСКАЯ"</f>
        <v>ОБЛ СВЕРДЛОВСКАЯ</v>
      </c>
      <c r="Q1773" t="str">
        <f>""</f>
        <v/>
      </c>
      <c r="R1773" t="str">
        <f>"Г ЕКАТЕРИНБУРГ"</f>
        <v>Г ЕКАТЕРИНБУРГ</v>
      </c>
      <c r="S1773" t="str">
        <f>""</f>
        <v/>
      </c>
      <c r="T1773" t="str">
        <f>"УЛ О КОШЕВОГО"</f>
        <v>УЛ О КОШЕВОГО</v>
      </c>
      <c r="U1773" s="1" t="str">
        <f>"32"</f>
        <v>32</v>
      </c>
      <c r="V1773" s="1" t="str">
        <f>""</f>
        <v/>
      </c>
      <c r="W1773" s="1" t="str">
        <f>""</f>
        <v/>
      </c>
      <c r="X1773" s="1" t="str">
        <f>""</f>
        <v/>
      </c>
      <c r="Y1773" s="1" t="str">
        <f>"30"</f>
        <v>30</v>
      </c>
      <c r="Z1773" t="str">
        <f>""</f>
        <v/>
      </c>
      <c r="AA1773" t="str">
        <f>"9502064789"</f>
        <v>9502064789</v>
      </c>
      <c r="AB1773" t="str">
        <f>"9502064789"</f>
        <v>9502064789</v>
      </c>
      <c r="AC1773" t="str">
        <f>"9502064789"</f>
        <v>9502064789</v>
      </c>
      <c r="AD1773" t="str">
        <f>"9502064789"</f>
        <v>9502064789</v>
      </c>
      <c r="AE1773" t="str">
        <f>""</f>
        <v/>
      </c>
    </row>
    <row r="1774" spans="1:31" x14ac:dyDescent="0.45">
      <c r="A1774" t="str">
        <f>"ИСЛАМГАЛЕЕВ ТИМУР МУДАРИСОВИЧ"</f>
        <v>ИСЛАМГАЛЕЕВ ТИМУР МУДАРИСОВИЧ</v>
      </c>
      <c r="B1774" t="str">
        <f>"1986-11-08"</f>
        <v>1986-11-08</v>
      </c>
      <c r="C1774" t="str">
        <f>"80 06 003409"</f>
        <v>80 06 003409</v>
      </c>
      <c r="D1774" t="str">
        <f>"4854630383440438"</f>
        <v>4854630383440438</v>
      </c>
      <c r="E1774" t="str">
        <f>"2021-04-30"</f>
        <v>2021-04-30</v>
      </c>
      <c r="F1774" t="str">
        <f t="shared" si="309"/>
        <v>+</v>
      </c>
      <c r="G1774" t="str">
        <f t="shared" si="308"/>
        <v>+</v>
      </c>
      <c r="H1774" t="str">
        <f>"40817810016991430623"</f>
        <v>40817810016991430623</v>
      </c>
      <c r="I1774" t="str">
        <f>"8598"</f>
        <v>8598</v>
      </c>
      <c r="J1774" t="str">
        <f>"0059"</f>
        <v>0059</v>
      </c>
      <c r="K1774" t="str">
        <f>"200000.00"</f>
        <v>200000.00</v>
      </c>
      <c r="L1774" t="str">
        <f>"450000 РЕСП БАШКОРТОСТАН   Г УФА   УЛ ГВАРДЕЙСКАЯ д. 55 корп. А"</f>
        <v>450000 РЕСП БАШКОРТОСТАН   Г УФА   УЛ ГВАРДЕЙСКАЯ д. 55 корп. А</v>
      </c>
      <c r="M1774" t="str">
        <f t="shared" si="303"/>
        <v>2019-08-24</v>
      </c>
      <c r="N1774" t="str">
        <f>"ООО ПРОМ ЦЕНТР"</f>
        <v>ООО ПРОМ ЦЕНТР</v>
      </c>
      <c r="O1774" t="str">
        <f>"450000"</f>
        <v>450000</v>
      </c>
      <c r="P1774" t="str">
        <f>"РЕСП БАШКОРТОСТАН"</f>
        <v>РЕСП БАШКОРТОСТАН</v>
      </c>
      <c r="Q1774" t="str">
        <f>""</f>
        <v/>
      </c>
      <c r="R1774" t="str">
        <f>"Г УФА"</f>
        <v>Г УФА</v>
      </c>
      <c r="S1774" t="str">
        <f>""</f>
        <v/>
      </c>
      <c r="T1774" t="str">
        <f>"УЛ ВЫСОКОВОЛЬТНАЯ"</f>
        <v>УЛ ВЫСОКОВОЛЬТНАЯ</v>
      </c>
      <c r="U1774" s="1" t="str">
        <f>"2"</f>
        <v>2</v>
      </c>
      <c r="V1774" s="1" t="str">
        <f>""</f>
        <v/>
      </c>
      <c r="W1774" s="1" t="str">
        <f>""</f>
        <v/>
      </c>
      <c r="X1774" s="1" t="str">
        <f>""</f>
        <v/>
      </c>
      <c r="Y1774" s="1" t="str">
        <f>""</f>
        <v/>
      </c>
      <c r="Z1774" t="str">
        <f>"9174577065"</f>
        <v>9174577065</v>
      </c>
      <c r="AA1774" t="str">
        <f>"9632379252"</f>
        <v>9632379252</v>
      </c>
      <c r="AB1774" t="str">
        <f>"9632379252"</f>
        <v>9632379252</v>
      </c>
      <c r="AC1774" t="str">
        <f>"9632379252"</f>
        <v>9632379252</v>
      </c>
      <c r="AD1774" t="str">
        <f>"9632379252"</f>
        <v>9632379252</v>
      </c>
      <c r="AE1774" t="str">
        <f>"9174577065"</f>
        <v>9174577065</v>
      </c>
    </row>
    <row r="1775" spans="1:31" x14ac:dyDescent="0.45">
      <c r="A1775" t="str">
        <f>"КОТЕЛЕВЕЦ МАРИНА ДМИТРИЕВНА"</f>
        <v>КОТЕЛЕВЕЦ МАРИНА ДМИТРИЕВНА</v>
      </c>
      <c r="B1775" t="str">
        <f>"1963-08-12"</f>
        <v>1963-08-12</v>
      </c>
      <c r="C1775" t="str">
        <f>"67 08 812738"</f>
        <v>67 08 812738</v>
      </c>
      <c r="D1775" t="str">
        <f>"4279016748901545"</f>
        <v>4279016748901545</v>
      </c>
      <c r="E1775" t="str">
        <f>"2021-06-30"</f>
        <v>2021-06-30</v>
      </c>
      <c r="F1775" t="str">
        <f t="shared" si="309"/>
        <v>+</v>
      </c>
      <c r="G1775" t="str">
        <f t="shared" si="308"/>
        <v>+</v>
      </c>
      <c r="H1775" t="str">
        <f>"40817810516992060534"</f>
        <v>40817810516992060534</v>
      </c>
      <c r="I1775" t="str">
        <f>"5940"</f>
        <v>5940</v>
      </c>
      <c r="J1775" t="str">
        <f>"0133"</f>
        <v>0133</v>
      </c>
      <c r="K1775" t="str">
        <f>"100000.00"</f>
        <v>100000.00</v>
      </c>
      <c r="L1775" t="str">
        <f>"628672 ОБЛ ТЮМЕНСКАЯ     Г ЛАНГЕПАС УЛ ЛЕНИНА д. 11"</f>
        <v>628672 ОБЛ ТЮМЕНСКАЯ     Г ЛАНГЕПАС УЛ ЛЕНИНА д. 11</v>
      </c>
      <c r="M1775" t="str">
        <f t="shared" si="303"/>
        <v>2019-08-24</v>
      </c>
      <c r="N1775" t="s">
        <v>102</v>
      </c>
      <c r="O1775" t="str">
        <f>"628672"</f>
        <v>628672</v>
      </c>
      <c r="P1775" t="str">
        <f>"ОБЛ ТЮМЕНСКАЯ"</f>
        <v>ОБЛ ТЮМЕНСКАЯ</v>
      </c>
      <c r="Q1775" t="str">
        <f>""</f>
        <v/>
      </c>
      <c r="R1775" t="str">
        <f>""</f>
        <v/>
      </c>
      <c r="S1775" t="str">
        <f>"Г ЛАНГЕПАС"</f>
        <v>Г ЛАНГЕПАС</v>
      </c>
      <c r="T1775" t="str">
        <f>"УЛ МИРА"</f>
        <v>УЛ МИРА</v>
      </c>
      <c r="U1775" s="1" t="str">
        <f>"44"</f>
        <v>44</v>
      </c>
      <c r="V1775" s="1" t="str">
        <f>""</f>
        <v/>
      </c>
      <c r="W1775" s="1" t="str">
        <f>""</f>
        <v/>
      </c>
      <c r="X1775" s="1" t="str">
        <f>""</f>
        <v/>
      </c>
      <c r="Y1775" s="1" t="str">
        <f>"44"</f>
        <v>44</v>
      </c>
      <c r="Z1775" t="str">
        <f>"9895297892"</f>
        <v>9895297892</v>
      </c>
      <c r="AA1775" t="str">
        <f>"3466920091"</f>
        <v>3466920091</v>
      </c>
      <c r="AB1775" t="str">
        <f>"9519817026"</f>
        <v>9519817026</v>
      </c>
      <c r="AC1775" t="str">
        <f>"9895297892"</f>
        <v>9895297892</v>
      </c>
      <c r="AD1775" t="str">
        <f>"9519817026"</f>
        <v>9519817026</v>
      </c>
      <c r="AE1775" t="str">
        <f>"9895297892"</f>
        <v>9895297892</v>
      </c>
    </row>
    <row r="1776" spans="1:31" x14ac:dyDescent="0.45">
      <c r="A1776" t="str">
        <f>"СЕИДОВ ЭЛЬВИН МИРКАЗЫМОВИЧ"</f>
        <v>СЕИДОВ ЭЛЬВИН МИРКАЗЫМОВИЧ</v>
      </c>
      <c r="B1776" t="str">
        <f>"1992-03-09"</f>
        <v>1992-03-09</v>
      </c>
      <c r="C1776" t="str">
        <f>"74 15 913915"</f>
        <v>74 15 913915</v>
      </c>
      <c r="D1776" t="str">
        <f>"4279016709323291"</f>
        <v>4279016709323291</v>
      </c>
      <c r="E1776" t="str">
        <f>"2021-06-30"</f>
        <v>2021-06-30</v>
      </c>
      <c r="F1776" t="str">
        <f t="shared" si="309"/>
        <v>+</v>
      </c>
      <c r="G1776" t="str">
        <f t="shared" si="308"/>
        <v>+</v>
      </c>
      <c r="H1776" t="str">
        <f>"40817810416992060760"</f>
        <v>40817810416992060760</v>
      </c>
      <c r="I1776" t="str">
        <f>"8369"</f>
        <v>8369</v>
      </c>
      <c r="J1776" t="str">
        <f>"0025"</f>
        <v>0025</v>
      </c>
      <c r="K1776" t="str">
        <f>"300000.00"</f>
        <v>300000.00</v>
      </c>
      <c r="L1776" t="str">
        <f>"629800 ОБЛ ТЮМЕНСКАЯ   Г НОЯБРЬСК   УЛ МУРАВЛЕНКО д. 42Б"</f>
        <v>629800 ОБЛ ТЮМЕНСКАЯ   Г НОЯБРЬСК   УЛ МУРАВЛЕНКО д. 42Б</v>
      </c>
      <c r="M1776" t="str">
        <f t="shared" si="303"/>
        <v>2019-08-24</v>
      </c>
      <c r="N1776" t="str">
        <f>"НЦГБ"</f>
        <v>НЦГБ</v>
      </c>
      <c r="O1776" t="str">
        <f>"629800"</f>
        <v>629800</v>
      </c>
      <c r="P1776" t="str">
        <f>"ОБЛ ТЮМЕНСКАЯ"</f>
        <v>ОБЛ ТЮМЕНСКАЯ</v>
      </c>
      <c r="Q1776" t="str">
        <f>"АО ЯМАЛО-НЕНЕЦКИЙ"</f>
        <v>АО ЯМАЛО-НЕНЕЦКИЙ</v>
      </c>
      <c r="R1776" t="str">
        <f>"Г НОЯБРЬСК"</f>
        <v>Г НОЯБРЬСК</v>
      </c>
      <c r="S1776" t="str">
        <f>""</f>
        <v/>
      </c>
      <c r="T1776" t="str">
        <f>"УЛ ХОЛМОГОРСКАЯ"</f>
        <v>УЛ ХОЛМОГОРСКАЯ</v>
      </c>
      <c r="U1776" s="1" t="str">
        <f>"62"</f>
        <v>62</v>
      </c>
      <c r="V1776" s="1" t="str">
        <f>""</f>
        <v/>
      </c>
      <c r="W1776" s="1" t="str">
        <f>""</f>
        <v/>
      </c>
      <c r="X1776" s="1" t="str">
        <f>""</f>
        <v/>
      </c>
      <c r="Y1776" s="1" t="str">
        <f>"4"</f>
        <v>4</v>
      </c>
      <c r="Z1776" t="str">
        <f>"3496320080"</f>
        <v>3496320080</v>
      </c>
      <c r="AA1776" t="str">
        <f>"9224629666"</f>
        <v>9224629666</v>
      </c>
      <c r="AB1776" t="str">
        <f>"9220556545"</f>
        <v>9220556545</v>
      </c>
      <c r="AC1776" t="str">
        <f>"9224629666"</f>
        <v>9224629666</v>
      </c>
      <c r="AD1776" t="str">
        <f>"9220556545"</f>
        <v>9220556545</v>
      </c>
      <c r="AE1776" t="str">
        <f>"3496320080"</f>
        <v>3496320080</v>
      </c>
    </row>
    <row r="1777" spans="1:31" x14ac:dyDescent="0.45">
      <c r="A1777" t="str">
        <f>"КУЗЬМИНЫХ СЕРГЕЙ АЛЕКСАНДРОВИЧ"</f>
        <v>КУЗЬМИНЫХ СЕРГЕЙ АЛЕКСАНДРОВИЧ</v>
      </c>
      <c r="B1777" t="str">
        <f>"1993-04-12"</f>
        <v>1993-04-12</v>
      </c>
      <c r="C1777" t="str">
        <f>"80 13 752281"</f>
        <v>80 13 752281</v>
      </c>
      <c r="D1777" t="str">
        <f>"4276016708396192"</f>
        <v>4276016708396192</v>
      </c>
      <c r="E1777" t="str">
        <f>"2021-06-30"</f>
        <v>2021-06-30</v>
      </c>
      <c r="F1777" t="str">
        <f t="shared" si="309"/>
        <v>+</v>
      </c>
      <c r="G1777" t="str">
        <f t="shared" si="308"/>
        <v>+</v>
      </c>
      <c r="H1777" t="str">
        <f>"40817810416992304390"</f>
        <v>40817810416992304390</v>
      </c>
      <c r="I1777" t="str">
        <f>"5940"</f>
        <v>5940</v>
      </c>
      <c r="J1777" t="str">
        <f>"0131"</f>
        <v>0131</v>
      </c>
      <c r="K1777" t="str">
        <f>"60000.00"</f>
        <v>60000.00</v>
      </c>
      <c r="L1777" t="str">
        <f>"628464 АО ХАНТЫ-МАНСИЙСКИЙ   Г РАДУЖНЫЙ   МКР 2 д. 21"</f>
        <v>628464 АО ХАНТЫ-МАНСИЙСКИЙ   Г РАДУЖНЫЙ   МКР 2 д. 21</v>
      </c>
      <c r="M1777" t="str">
        <f t="shared" si="303"/>
        <v>2019-08-24</v>
      </c>
      <c r="N1777" t="str">
        <f>"ПАО ВАРЬЕГАННЕФТЕГАЗ"</f>
        <v>ПАО ВАРЬЕГАННЕФТЕГАЗ</v>
      </c>
      <c r="O1777" t="str">
        <f>"452860"</f>
        <v>452860</v>
      </c>
      <c r="P1777" t="str">
        <f>"РЕСП БАШКОРТОСТАН"</f>
        <v>РЕСП БАШКОРТОСТАН</v>
      </c>
      <c r="Q1777" t="str">
        <f>"Р-Н КАЛТАСИНСКИЙ"</f>
        <v>Р-Н КАЛТАСИНСКИЙ</v>
      </c>
      <c r="R1777" t="str">
        <f>""</f>
        <v/>
      </c>
      <c r="S1777" t="str">
        <f>"С КАЛТАСЫ"</f>
        <v>С КАЛТАСЫ</v>
      </c>
      <c r="T1777" t="str">
        <f>"УЛ ЛЕНИНА"</f>
        <v>УЛ ЛЕНИНА</v>
      </c>
      <c r="U1777" s="1" t="str">
        <f>"38"</f>
        <v>38</v>
      </c>
      <c r="V1777" s="1" t="str">
        <f>""</f>
        <v/>
      </c>
      <c r="W1777" s="1" t="str">
        <f>""</f>
        <v/>
      </c>
      <c r="X1777" s="1" t="str">
        <f>""</f>
        <v/>
      </c>
      <c r="Y1777" s="1" t="str">
        <f>""</f>
        <v/>
      </c>
      <c r="Z1777" t="str">
        <f>"9224236955"</f>
        <v>9224236955</v>
      </c>
      <c r="AA1777" t="str">
        <f>""</f>
        <v/>
      </c>
      <c r="AB1777" t="str">
        <f>"9829306536"</f>
        <v>9829306536</v>
      </c>
      <c r="AC1777" t="str">
        <f>""</f>
        <v/>
      </c>
      <c r="AD1777" t="str">
        <f>"9829306536"</f>
        <v>9829306536</v>
      </c>
      <c r="AE1777" t="str">
        <f>"9224236955"</f>
        <v>9224236955</v>
      </c>
    </row>
    <row r="1778" spans="1:31" x14ac:dyDescent="0.45">
      <c r="A1778" t="str">
        <f>"НИКИТИН ПАВЕЛ ВЛАДИМИРОВИЧ"</f>
        <v>НИКИТИН ПАВЕЛ ВЛАДИМИРОВИЧ</v>
      </c>
      <c r="B1778" t="str">
        <f>"1989-08-13"</f>
        <v>1989-08-13</v>
      </c>
      <c r="C1778" t="str">
        <f>"71 09 712155"</f>
        <v>71 09 712155</v>
      </c>
      <c r="D1778" t="str">
        <f>"4854630360580750"</f>
        <v>4854630360580750</v>
      </c>
      <c r="E1778" t="str">
        <f>"2021-04-30"</f>
        <v>2021-04-30</v>
      </c>
      <c r="F1778" t="str">
        <f>"Y"</f>
        <v>Y</v>
      </c>
      <c r="G1778" t="str">
        <f>"Q"</f>
        <v>Q</v>
      </c>
      <c r="H1778" t="str">
        <f>"40817810116992063371"</f>
        <v>40817810116992063371</v>
      </c>
      <c r="I1778" t="str">
        <f>"8647"</f>
        <v>8647</v>
      </c>
      <c r="J1778" t="str">
        <f>"0137"</f>
        <v>0137</v>
      </c>
      <c r="K1778" t="str">
        <f>"0.00"</f>
        <v>0.00</v>
      </c>
      <c r="L1778" t="str">
        <f>"626050 ОБЛ ТЮМЕНСКАЯ Р-Н ЯРКОВСКИЙ Г ТЮМЕНЬ   УЛ ЯМСКАЯ д. 33"</f>
        <v>626050 ОБЛ ТЮМЕНСКАЯ Р-Н ЯРКОВСКИЙ Г ТЮМЕНЬ   УЛ ЯМСКАЯ д. 33</v>
      </c>
      <c r="M1778" t="str">
        <f t="shared" si="303"/>
        <v>2019-08-24</v>
      </c>
      <c r="N1778" t="str">
        <f>"ФИЛИАЛ ОАО ГАЗПРОМ ЮЖНО УРАЛЬС"</f>
        <v>ФИЛИАЛ ОАО ГАЗПРОМ ЮЖНО УРАЛЬС</v>
      </c>
      <c r="O1778" t="str">
        <f>"626050"</f>
        <v>626050</v>
      </c>
      <c r="P1778" t="str">
        <f>"ОБЛ ТЮМЕНСКАЯ"</f>
        <v>ОБЛ ТЮМЕНСКАЯ</v>
      </c>
      <c r="Q1778" t="str">
        <f>"Р-Н ЯРКОВСКИЙ"</f>
        <v>Р-Н ЯРКОВСКИЙ</v>
      </c>
      <c r="R1778" t="str">
        <f>""</f>
        <v/>
      </c>
      <c r="S1778" t="str">
        <f>"С ЯРКОВО"</f>
        <v>С ЯРКОВО</v>
      </c>
      <c r="T1778" t="str">
        <f>"УЛ РЕСПУБЛИКИ"</f>
        <v>УЛ РЕСПУБЛИКИ</v>
      </c>
      <c r="U1778" s="1" t="str">
        <f>"12"</f>
        <v>12</v>
      </c>
      <c r="V1778" s="1" t="str">
        <f>""</f>
        <v/>
      </c>
      <c r="W1778" s="1" t="str">
        <f>""</f>
        <v/>
      </c>
      <c r="X1778" s="1" t="str">
        <f>""</f>
        <v/>
      </c>
      <c r="Y1778" s="1" t="str">
        <f>""</f>
        <v/>
      </c>
      <c r="Z1778" t="str">
        <f>"3433597422"</f>
        <v>3433597422</v>
      </c>
      <c r="AA1778" t="str">
        <f>"9923114077"</f>
        <v>9923114077</v>
      </c>
      <c r="AB1778" t="str">
        <f>"9220007008"</f>
        <v>9220007008</v>
      </c>
      <c r="AC1778" t="str">
        <f>"9923114077"</f>
        <v>9923114077</v>
      </c>
      <c r="AD1778" t="str">
        <f>"9220007008"</f>
        <v>9220007008</v>
      </c>
      <c r="AE1778" t="str">
        <f>""</f>
        <v/>
      </c>
    </row>
    <row r="1779" spans="1:31" x14ac:dyDescent="0.45">
      <c r="A1779" t="str">
        <f>"СЕМЕНОВ ВАЛЕРИЙ ЮРЬЕВИЧ"</f>
        <v>СЕМЕНОВ ВАЛЕРИЙ ЮРЬЕВИЧ</v>
      </c>
      <c r="B1779" t="str">
        <f>"1965-03-22"</f>
        <v>1965-03-22</v>
      </c>
      <c r="C1779" t="str">
        <f>"67 09 990693"</f>
        <v>67 09 990693</v>
      </c>
      <c r="D1779" t="str">
        <f>"4854630376367911"</f>
        <v>4854630376367911</v>
      </c>
      <c r="E1779" t="str">
        <f>"2021-04-30"</f>
        <v>2021-04-30</v>
      </c>
      <c r="F1779" t="str">
        <f t="shared" ref="F1779:G1781" si="310">"+"</f>
        <v>+</v>
      </c>
      <c r="G1779" t="str">
        <f t="shared" si="310"/>
        <v>+</v>
      </c>
      <c r="H1779" t="str">
        <f>"40817810216992352047"</f>
        <v>40817810216992352047</v>
      </c>
      <c r="I1779" t="str">
        <f>"1791"</f>
        <v>1791</v>
      </c>
      <c r="J1779" t="str">
        <f>"0072"</f>
        <v>0072</v>
      </c>
      <c r="K1779" t="str">
        <f>"60000.00"</f>
        <v>60000.00</v>
      </c>
      <c r="L1779" t="str">
        <f>"628146 ОБЛ ТЮМЕНСКАЯ Р-Н БЕРЕЗОВСКИЙ Г ИГРИМ   УЛ ЭНТУЗИАСТОВ д. 14"</f>
        <v>628146 ОБЛ ТЮМЕНСКАЯ Р-Н БЕРЕЗОВСКИЙ Г ИГРИМ   УЛ ЭНТУЗИАСТОВ д. 14</v>
      </c>
      <c r="M1779" t="str">
        <f t="shared" si="303"/>
        <v>2019-08-24</v>
      </c>
      <c r="N1779" t="str">
        <f>"ДЕТСКИЙ САД СНЕЖИНКА"</f>
        <v>ДЕТСКИЙ САД СНЕЖИНКА</v>
      </c>
      <c r="O1779" t="str">
        <f>"628146"</f>
        <v>628146</v>
      </c>
      <c r="P1779" t="str">
        <f>"ОБЛ ТЮМЕНСКАЯ"</f>
        <v>ОБЛ ТЮМЕНСКАЯ</v>
      </c>
      <c r="Q1779" t="str">
        <f>"Р-Н БЕРЕЗОВСКИЙ"</f>
        <v>Р-Н БЕРЕЗОВСКИЙ</v>
      </c>
      <c r="R1779" t="str">
        <f>"ПГТ ИГРИМ"</f>
        <v>ПГТ ИГРИМ</v>
      </c>
      <c r="S1779" t="str">
        <f>""</f>
        <v/>
      </c>
      <c r="T1779" t="str">
        <f>"УЛ АСТРАХАНЦЕВА"</f>
        <v>УЛ АСТРАХАНЦЕВА</v>
      </c>
      <c r="U1779" s="1" t="str">
        <f>"31"</f>
        <v>31</v>
      </c>
      <c r="V1779" s="1" t="str">
        <f>""</f>
        <v/>
      </c>
      <c r="W1779" s="1" t="str">
        <f>""</f>
        <v/>
      </c>
      <c r="X1779" s="1" t="str">
        <f>""</f>
        <v/>
      </c>
      <c r="Y1779" s="1" t="str">
        <f>"11"</f>
        <v>11</v>
      </c>
      <c r="Z1779" t="str">
        <f>"3467461568"</f>
        <v>3467461568</v>
      </c>
      <c r="AA1779" t="str">
        <f>"9003885621"</f>
        <v>9003885621</v>
      </c>
      <c r="AB1779" t="str">
        <f>"9003885621"</f>
        <v>9003885621</v>
      </c>
      <c r="AC1779" t="str">
        <f>"9003885621"</f>
        <v>9003885621</v>
      </c>
      <c r="AD1779" t="str">
        <f>"9003885621"</f>
        <v>9003885621</v>
      </c>
      <c r="AE1779" t="str">
        <f>"3467461568"</f>
        <v>3467461568</v>
      </c>
    </row>
    <row r="1780" spans="1:31" x14ac:dyDescent="0.45">
      <c r="A1780" t="str">
        <f>"КУРЗАЕВА ОЛЬГА ВАСИЛЬЕВНА"</f>
        <v>КУРЗАЕВА ОЛЬГА ВАСИЛЬЕВНА</v>
      </c>
      <c r="B1780" t="str">
        <f>"1954-09-18"</f>
        <v>1954-09-18</v>
      </c>
      <c r="C1780" t="str">
        <f>"75 03 984140"</f>
        <v>75 03 984140</v>
      </c>
      <c r="D1780" t="str">
        <f>"4854630385532174"</f>
        <v>4854630385532174</v>
      </c>
      <c r="E1780" t="str">
        <f>"2021-04-30"</f>
        <v>2021-04-30</v>
      </c>
      <c r="F1780" t="str">
        <f t="shared" si="310"/>
        <v>+</v>
      </c>
      <c r="G1780" t="str">
        <f t="shared" si="310"/>
        <v>+</v>
      </c>
      <c r="H1780" t="str">
        <f>"40817810216991442628"</f>
        <v>40817810216991442628</v>
      </c>
      <c r="I1780" t="str">
        <f>"8597"</f>
        <v>8597</v>
      </c>
      <c r="J1780" t="str">
        <f>"0376"</f>
        <v>0376</v>
      </c>
      <c r="K1780" t="str">
        <f>"40000.00"</f>
        <v>40000.00</v>
      </c>
      <c r="L1780" t="str">
        <f>"455000 ОБЛ ЧЕЛЯБИНСКАЯ   Г МАГНИТОГОРСК   УЛ КАЛМЫКОВА д. 4 кв. 17"</f>
        <v>455000 ОБЛ ЧЕЛЯБИНСКАЯ   Г МАГНИТОГОРСК   УЛ КАЛМЫКОВА д. 4 кв. 17</v>
      </c>
      <c r="M1780" t="str">
        <f t="shared" si="303"/>
        <v>2019-08-24</v>
      </c>
      <c r="N1780" t="str">
        <f>"ПЕНСИОННЫЙ ФОНД"</f>
        <v>ПЕНСИОННЫЙ ФОНД</v>
      </c>
      <c r="O1780" t="str">
        <f>"455000"</f>
        <v>455000</v>
      </c>
      <c r="P1780" t="str">
        <f>"ОБЛ ЧЕЛЯБИНСКАЯ"</f>
        <v>ОБЛ ЧЕЛЯБИНСКАЯ</v>
      </c>
      <c r="Q1780" t="str">
        <f>""</f>
        <v/>
      </c>
      <c r="R1780" t="str">
        <f>"Г МАГНИТОГОРСК"</f>
        <v>Г МАГНИТОГОРСК</v>
      </c>
      <c r="S1780" t="str">
        <f>""</f>
        <v/>
      </c>
      <c r="T1780" t="str">
        <f>"УЛ КАЛМЫКОВА"</f>
        <v>УЛ КАЛМЫКОВА</v>
      </c>
      <c r="U1780" s="1" t="str">
        <f>"4"</f>
        <v>4</v>
      </c>
      <c r="V1780" s="1" t="str">
        <f>""</f>
        <v/>
      </c>
      <c r="W1780" s="1" t="str">
        <f>""</f>
        <v/>
      </c>
      <c r="X1780" s="1" t="str">
        <f>""</f>
        <v/>
      </c>
      <c r="Y1780" s="1" t="str">
        <f>"17"</f>
        <v>17</v>
      </c>
      <c r="Z1780" t="str">
        <f>"3519000000"</f>
        <v>3519000000</v>
      </c>
      <c r="AA1780" t="str">
        <f>"(3519)308485"</f>
        <v>(3519)308485</v>
      </c>
      <c r="AB1780" t="str">
        <f>"9514767090"</f>
        <v>9514767090</v>
      </c>
      <c r="AC1780" t="str">
        <f>"3519000000"</f>
        <v>3519000000</v>
      </c>
      <c r="AD1780" t="str">
        <f>"9630961617"</f>
        <v>9630961617</v>
      </c>
      <c r="AE1780" t="str">
        <f>"3519000000"</f>
        <v>3519000000</v>
      </c>
    </row>
    <row r="1781" spans="1:31" x14ac:dyDescent="0.45">
      <c r="A1781" t="str">
        <f>"СЕЛЕЗНЕВА ОЛЬГА ЕВГЕНЬЕВНА"</f>
        <v>СЕЛЕЗНЕВА ОЛЬГА ЕВГЕНЬЕВНА</v>
      </c>
      <c r="B1781" t="str">
        <f>"1976-02-10"</f>
        <v>1976-02-10</v>
      </c>
      <c r="C1781" t="str">
        <f>"75 13 350306"</f>
        <v>75 13 350306</v>
      </c>
      <c r="D1781" t="str">
        <f>"4854630420608724"</f>
        <v>4854630420608724</v>
      </c>
      <c r="E1781" t="str">
        <f>"2021-04-30"</f>
        <v>2021-04-30</v>
      </c>
      <c r="F1781" t="str">
        <f t="shared" si="310"/>
        <v>+</v>
      </c>
      <c r="G1781" t="str">
        <f t="shared" si="310"/>
        <v>+</v>
      </c>
      <c r="H1781" t="str">
        <f>"40817810116991470389"</f>
        <v>40817810116991470389</v>
      </c>
      <c r="I1781" t="str">
        <f>"8597"</f>
        <v>8597</v>
      </c>
      <c r="J1781" t="str">
        <f>"0476"</f>
        <v>0476</v>
      </c>
      <c r="K1781" t="str">
        <f>"16000.00"</f>
        <v>16000.00</v>
      </c>
      <c r="L1781" t="str">
        <f>"454000 ОБЛ ЧЕЛЯБИНСКАЯ Р-Н КОРКИНСКИЙ Г КОРКИНО   УЛ 30 ЛЕТ ВЛКСМ д. 100"</f>
        <v>454000 ОБЛ ЧЕЛЯБИНСКАЯ Р-Н КОРКИНСКИЙ Г КОРКИНО   УЛ 30 ЛЕТ ВЛКСМ д. 100</v>
      </c>
      <c r="M1781" t="str">
        <f t="shared" si="303"/>
        <v>2019-08-24</v>
      </c>
      <c r="N1781" t="str">
        <f>"ООО ПТУ"</f>
        <v>ООО ПТУ</v>
      </c>
      <c r="O1781" t="str">
        <f>"454000"</f>
        <v>454000</v>
      </c>
      <c r="P1781" t="str">
        <f>"ОБЛ ЧЕЛЯБИНСКАЯ"</f>
        <v>ОБЛ ЧЕЛЯБИНСКАЯ</v>
      </c>
      <c r="Q1781" t="str">
        <f>"Р-Н КОРКИНСКИЙ"</f>
        <v>Р-Н КОРКИНСКИЙ</v>
      </c>
      <c r="R1781" t="str">
        <f>"Г КОРКИНО"</f>
        <v>Г КОРКИНО</v>
      </c>
      <c r="S1781" t="str">
        <f>""</f>
        <v/>
      </c>
      <c r="T1781" t="str">
        <f>"ПЕР ЯБЛОЧНЫЙ"</f>
        <v>ПЕР ЯБЛОЧНЫЙ</v>
      </c>
      <c r="U1781" s="1" t="str">
        <f>"3"</f>
        <v>3</v>
      </c>
      <c r="V1781" s="1" t="str">
        <f>""</f>
        <v/>
      </c>
      <c r="W1781" s="1" t="str">
        <f>""</f>
        <v/>
      </c>
      <c r="X1781" s="1" t="str">
        <f>""</f>
        <v/>
      </c>
      <c r="Y1781" s="1" t="str">
        <f>""</f>
        <v/>
      </c>
      <c r="Z1781" t="str">
        <f>"3515237975"</f>
        <v>3515237975</v>
      </c>
      <c r="AA1781" t="str">
        <f>"9043065020"</f>
        <v>9043065020</v>
      </c>
      <c r="AB1781" t="str">
        <f>"9085705535"</f>
        <v>9085705535</v>
      </c>
      <c r="AC1781" t="str">
        <f>"9043065020"</f>
        <v>9043065020</v>
      </c>
      <c r="AD1781" t="str">
        <f>"9085705535"</f>
        <v>9085705535</v>
      </c>
      <c r="AE1781" t="str">
        <f>""</f>
        <v/>
      </c>
    </row>
    <row r="1782" spans="1:31" x14ac:dyDescent="0.45">
      <c r="A1782" t="str">
        <f>"ОКАТЬЕВА АЛЛА ВАЛЕРЬЕВНА"</f>
        <v>ОКАТЬЕВА АЛЛА ВАЛЕРЬЕВНА</v>
      </c>
      <c r="B1782" t="str">
        <f>"1969-08-04"</f>
        <v>1969-08-04</v>
      </c>
      <c r="C1782" t="str">
        <f>"65 14 867844"</f>
        <v>65 14 867844</v>
      </c>
      <c r="D1782" t="str">
        <f>"4854630406793581"</f>
        <v>4854630406793581</v>
      </c>
      <c r="E1782" t="str">
        <f>"2021-04-30"</f>
        <v>2021-04-30</v>
      </c>
      <c r="F1782" t="str">
        <f>"Y"</f>
        <v>Y</v>
      </c>
      <c r="G1782" t="str">
        <f>"Q"</f>
        <v>Q</v>
      </c>
      <c r="H1782" t="str">
        <f>"40817810516991470390"</f>
        <v>40817810516991470390</v>
      </c>
      <c r="I1782" t="str">
        <f>"7003"</f>
        <v>7003</v>
      </c>
      <c r="J1782" t="str">
        <f>"0506"</f>
        <v>0506</v>
      </c>
      <c r="K1782" t="str">
        <f>"0.00"</f>
        <v>0.00</v>
      </c>
      <c r="L1782" t="str">
        <f>"620000 ОБЛ СВЕРДЛОВСКАЯ   Г АЛАПАЕВСК   УЛ ЛЕНИНА д. 15"</f>
        <v>620000 ОБЛ СВЕРДЛОВСКАЯ   Г АЛАПАЕВСК   УЛ ЛЕНИНА д. 15</v>
      </c>
      <c r="M1782" t="str">
        <f t="shared" si="303"/>
        <v>2019-08-24</v>
      </c>
      <c r="N1782" t="str">
        <f>"ДОМ МОДЫ"</f>
        <v>ДОМ МОДЫ</v>
      </c>
      <c r="O1782" t="str">
        <f>"620000"</f>
        <v>620000</v>
      </c>
      <c r="P1782" t="str">
        <f>"ОБЛ СВЕРДЛОВСКАЯ"</f>
        <v>ОБЛ СВЕРДЛОВСКАЯ</v>
      </c>
      <c r="Q1782" t="str">
        <f>""</f>
        <v/>
      </c>
      <c r="R1782" t="str">
        <f>"Г АЛАПАЕВСК"</f>
        <v>Г АЛАПАЕВСК</v>
      </c>
      <c r="S1782" t="str">
        <f>""</f>
        <v/>
      </c>
      <c r="T1782" t="str">
        <f>"УЛ ЛЕНИНА"</f>
        <v>УЛ ЛЕНИНА</v>
      </c>
      <c r="U1782" s="1" t="str">
        <f>"41"</f>
        <v>41</v>
      </c>
      <c r="V1782" s="1" t="str">
        <f>""</f>
        <v/>
      </c>
      <c r="W1782" s="1" t="str">
        <f>""</f>
        <v/>
      </c>
      <c r="X1782" s="1" t="str">
        <f>""</f>
        <v/>
      </c>
      <c r="Y1782" s="1" t="str">
        <f>"1"</f>
        <v>1</v>
      </c>
      <c r="Z1782" t="str">
        <f>""</f>
        <v/>
      </c>
      <c r="AA1782" t="str">
        <f>"9827259475"</f>
        <v>9827259475</v>
      </c>
      <c r="AB1782" t="str">
        <f>"9617756064"</f>
        <v>9617756064</v>
      </c>
      <c r="AC1782" t="str">
        <f>"3434624901"</f>
        <v>3434624901</v>
      </c>
      <c r="AD1782" t="str">
        <f>"9827259475"</f>
        <v>9827259475</v>
      </c>
      <c r="AE1782" t="str">
        <f>""</f>
        <v/>
      </c>
    </row>
    <row r="1783" spans="1:31" x14ac:dyDescent="0.45">
      <c r="A1783" t="str">
        <f>"ГОРОХОВ АЛЕКСЕЙ СЕРГЕЕВИЧ"</f>
        <v>ГОРОХОВ АЛЕКСЕЙ СЕРГЕЕВИЧ</v>
      </c>
      <c r="B1783" t="str">
        <f>"1972-05-02"</f>
        <v>1972-05-02</v>
      </c>
      <c r="C1783" t="str">
        <f>"65 17 410799"</f>
        <v>65 17 410799</v>
      </c>
      <c r="D1783" t="str">
        <f>"4854630412510201"</f>
        <v>4854630412510201</v>
      </c>
      <c r="E1783" t="str">
        <f>"2021-05-31"</f>
        <v>2021-05-31</v>
      </c>
      <c r="F1783" t="str">
        <f t="shared" ref="F1783:G1785" si="311">"+"</f>
        <v>+</v>
      </c>
      <c r="G1783" t="str">
        <f t="shared" si="311"/>
        <v>+</v>
      </c>
      <c r="H1783" t="str">
        <f>"40817810216991470438"</f>
        <v>40817810216991470438</v>
      </c>
      <c r="I1783" t="str">
        <f>"7003"</f>
        <v>7003</v>
      </c>
      <c r="J1783" t="str">
        <f>"0504"</f>
        <v>0504</v>
      </c>
      <c r="K1783" t="str">
        <f>"15000.00"</f>
        <v>15000.00</v>
      </c>
      <c r="L1783" t="str">
        <f>"620000 ОБЛ СВЕРДЛОВСКАЯ   Г ЕКАТЕРИНБУРГ   УЛ ЧЕРЕПАНОВА д. 18 кв. 175"</f>
        <v>620000 ОБЛ СВЕРДЛОВСКАЯ   Г ЕКАТЕРИНБУРГ   УЛ ЧЕРЕПАНОВА д. 18 кв. 175</v>
      </c>
      <c r="M1783" t="str">
        <f t="shared" si="303"/>
        <v>2019-08-24</v>
      </c>
      <c r="N1783" t="str">
        <f>"1044621"</f>
        <v>1044621</v>
      </c>
      <c r="O1783" t="str">
        <f>"620000"</f>
        <v>620000</v>
      </c>
      <c r="P1783" t="str">
        <f>"ОБЛ СВЕРДЛОВСКАЯ"</f>
        <v>ОБЛ СВЕРДЛОВСКАЯ</v>
      </c>
      <c r="Q1783" t="str">
        <f>""</f>
        <v/>
      </c>
      <c r="R1783" t="str">
        <f>"Г ЕКАТЕРИНБУРГ"</f>
        <v>Г ЕКАТЕРИНБУРГ</v>
      </c>
      <c r="S1783" t="str">
        <f>""</f>
        <v/>
      </c>
      <c r="T1783" t="str">
        <f>"УЛ ЧЕРЕПАНОВА"</f>
        <v>УЛ ЧЕРЕПАНОВА</v>
      </c>
      <c r="U1783" s="1" t="str">
        <f>"18"</f>
        <v>18</v>
      </c>
      <c r="V1783" s="1" t="str">
        <f>""</f>
        <v/>
      </c>
      <c r="W1783" s="1" t="str">
        <f>""</f>
        <v/>
      </c>
      <c r="X1783" s="1" t="str">
        <f>""</f>
        <v/>
      </c>
      <c r="Y1783" s="1" t="str">
        <f>"175"</f>
        <v>175</v>
      </c>
      <c r="Z1783" t="str">
        <f>""</f>
        <v/>
      </c>
      <c r="AA1783" t="str">
        <f>"9049806991"</f>
        <v>9049806991</v>
      </c>
      <c r="AB1783" t="str">
        <f>"9049806991"</f>
        <v>9049806991</v>
      </c>
      <c r="AC1783" t="str">
        <f>"9049806991"</f>
        <v>9049806991</v>
      </c>
      <c r="AD1783" t="str">
        <f>"9049806991"</f>
        <v>9049806991</v>
      </c>
      <c r="AE1783" t="str">
        <f>""</f>
        <v/>
      </c>
    </row>
    <row r="1784" spans="1:31" x14ac:dyDescent="0.45">
      <c r="A1784" t="str">
        <f>"КОСЫХ ВАЛЕНТИНА НИКОЛАЕВНА"</f>
        <v>КОСЫХ ВАЛЕНТИНА НИКОЛАЕВНА</v>
      </c>
      <c r="B1784" t="str">
        <f>"1955-08-02"</f>
        <v>1955-08-02</v>
      </c>
      <c r="C1784" t="str">
        <f>"37 05 076466"</f>
        <v>37 05 076466</v>
      </c>
      <c r="D1784" t="str">
        <f>"4854630285129576"</f>
        <v>4854630285129576</v>
      </c>
      <c r="E1784" t="str">
        <f>"2019-12-31"</f>
        <v>2019-12-31</v>
      </c>
      <c r="F1784" t="str">
        <f t="shared" si="311"/>
        <v>+</v>
      </c>
      <c r="G1784" t="str">
        <f t="shared" si="311"/>
        <v>+</v>
      </c>
      <c r="H1784" t="str">
        <f>"40817810516991470439"</f>
        <v>40817810516991470439</v>
      </c>
      <c r="I1784" t="str">
        <f>"8599"</f>
        <v>8599</v>
      </c>
      <c r="J1784" t="str">
        <f>"0269"</f>
        <v>0269</v>
      </c>
      <c r="K1784" t="str">
        <f>"27000.00"</f>
        <v>27000.00</v>
      </c>
      <c r="L1784" t="str">
        <f>"641000 ОБЛ КУРГАНСКАЯ   Г ШАДРИНСК   ПЕР ПРОКАТЧИКОВ д. 5"</f>
        <v>641000 ОБЛ КУРГАНСКАЯ   Г ШАДРИНСК   ПЕР ПРОКАТЧИКОВ д. 5</v>
      </c>
      <c r="M1784" t="str">
        <f t="shared" si="303"/>
        <v>2019-08-24</v>
      </c>
      <c r="N1784" t="str">
        <f>"ПЕНСИОНЕР"</f>
        <v>ПЕНСИОНЕР</v>
      </c>
      <c r="O1784" t="str">
        <f>"641000"</f>
        <v>641000</v>
      </c>
      <c r="P1784" t="str">
        <f>"ОБЛ КУРГАНСКАЯ"</f>
        <v>ОБЛ КУРГАНСКАЯ</v>
      </c>
      <c r="Q1784" t="str">
        <f>""</f>
        <v/>
      </c>
      <c r="R1784" t="str">
        <f>"Г ШАДРИНСК"</f>
        <v>Г ШАДРИНСК</v>
      </c>
      <c r="S1784" t="str">
        <f>""</f>
        <v/>
      </c>
      <c r="T1784" t="str">
        <f>"ПЕР ПРОКАТЧИКОВ"</f>
        <v>ПЕР ПРОКАТЧИКОВ</v>
      </c>
      <c r="U1784" s="1" t="str">
        <f>"5"</f>
        <v>5</v>
      </c>
      <c r="V1784" s="1" t="str">
        <f>""</f>
        <v/>
      </c>
      <c r="W1784" s="1" t="str">
        <f>""</f>
        <v/>
      </c>
      <c r="X1784" s="1" t="str">
        <f>""</f>
        <v/>
      </c>
      <c r="Y1784" s="1" t="str">
        <f>""</f>
        <v/>
      </c>
      <c r="Z1784" t="str">
        <f>""</f>
        <v/>
      </c>
      <c r="AA1784" t="str">
        <f>"9828059711"</f>
        <v>9828059711</v>
      </c>
      <c r="AB1784" t="str">
        <f>"9828059711"</f>
        <v>9828059711</v>
      </c>
      <c r="AC1784" t="str">
        <f>"9828059711"</f>
        <v>9828059711</v>
      </c>
      <c r="AD1784" t="str">
        <f>"9828059711"</f>
        <v>9828059711</v>
      </c>
      <c r="AE1784" t="str">
        <f>""</f>
        <v/>
      </c>
    </row>
    <row r="1785" spans="1:31" x14ac:dyDescent="0.45">
      <c r="A1785" t="str">
        <f>"ХИСАМУТДИНОВ РИНАТ МИНИГАЛИЕВИЧ"</f>
        <v>ХИСАМУТДИНОВ РИНАТ МИНИГАЛИЕВИЧ</v>
      </c>
      <c r="B1785" t="str">
        <f>"1967-09-22"</f>
        <v>1967-09-22</v>
      </c>
      <c r="C1785" t="str">
        <f>"80 11 308193"</f>
        <v>80 11 308193</v>
      </c>
      <c r="D1785" t="str">
        <f>"5313100612477504"</f>
        <v>5313100612477504</v>
      </c>
      <c r="E1785" t="str">
        <f>"2020-02-29"</f>
        <v>2020-02-29</v>
      </c>
      <c r="F1785" t="str">
        <f t="shared" si="311"/>
        <v>+</v>
      </c>
      <c r="G1785" t="str">
        <f t="shared" si="311"/>
        <v>+</v>
      </c>
      <c r="H1785" t="str">
        <f>"40817810816991470469"</f>
        <v>40817810816991470469</v>
      </c>
      <c r="I1785" t="str">
        <f>"8598"</f>
        <v>8598</v>
      </c>
      <c r="J1785" t="str">
        <f>"0585"</f>
        <v>0585</v>
      </c>
      <c r="K1785" t="str">
        <f>"12000.00"</f>
        <v>12000.00</v>
      </c>
      <c r="L1785" t="str">
        <f>"452440 РЕСП БАШКОРТОСТАН Р-Н НУРИМАНОВСКИЙ   С КРАСНАЯ ГОРКА УЛ СОВЕТСКАЯ д. 60"</f>
        <v>452440 РЕСП БАШКОРТОСТАН Р-Н НУРИМАНОВСКИЙ   С КРАСНАЯ ГОРКА УЛ СОВЕТСКАЯ д. 60</v>
      </c>
      <c r="M1785" t="str">
        <f t="shared" si="303"/>
        <v>2019-08-24</v>
      </c>
      <c r="N1785" t="str">
        <f>"ПЕНСИОННЫЙ ФОНД НУРИМАНОВСКОГО РАЙОНА"</f>
        <v>ПЕНСИОННЫЙ ФОНД НУРИМАНОВСКОГО РАЙОНА</v>
      </c>
      <c r="O1785" t="str">
        <f>"452447"</f>
        <v>452447</v>
      </c>
      <c r="P1785" t="str">
        <f>"РЕСП БАШКОРТОСТАН"</f>
        <v>РЕСП БАШКОРТОСТАН</v>
      </c>
      <c r="Q1785" t="str">
        <f>"Р-Н НУРИМАНОВСКИЙ"</f>
        <v>Р-Н НУРИМАНОВСКИЙ</v>
      </c>
      <c r="R1785" t="str">
        <f>""</f>
        <v/>
      </c>
      <c r="S1785" t="str">
        <f>"Д НОВОБИРЮЧЕВО"</f>
        <v>Д НОВОБИРЮЧЕВО</v>
      </c>
      <c r="T1785" t="str">
        <f>"УЛ ГОРНАЯ"</f>
        <v>УЛ ГОРНАЯ</v>
      </c>
      <c r="U1785" s="1" t="str">
        <f>"9"</f>
        <v>9</v>
      </c>
      <c r="V1785" s="1" t="str">
        <f>""</f>
        <v/>
      </c>
      <c r="W1785" s="1" t="str">
        <f>""</f>
        <v/>
      </c>
      <c r="X1785" s="1" t="str">
        <f>""</f>
        <v/>
      </c>
      <c r="Y1785" s="1" t="str">
        <f>""</f>
        <v/>
      </c>
      <c r="Z1785" t="str">
        <f>""</f>
        <v/>
      </c>
      <c r="AA1785" t="str">
        <f>"9625290315"</f>
        <v>9625290315</v>
      </c>
      <c r="AB1785" t="str">
        <f>"9625290315"</f>
        <v>9625290315</v>
      </c>
      <c r="AC1785" t="str">
        <f>"9625290315"</f>
        <v>9625290315</v>
      </c>
      <c r="AD1785" t="str">
        <f>"9625290315"</f>
        <v>9625290315</v>
      </c>
      <c r="AE1785" t="str">
        <f>""</f>
        <v/>
      </c>
    </row>
    <row r="1786" spans="1:31" x14ac:dyDescent="0.45">
      <c r="A1786" t="str">
        <f>"АМАНГАЛИЕВА ФАТИМА РАХМЕТУЛЛОВНА"</f>
        <v>АМАНГАЛИЕВА ФАТИМА РАХМЕТУЛЛОВНА</v>
      </c>
      <c r="B1786" t="str">
        <f>"1979-01-29"</f>
        <v>1979-01-29</v>
      </c>
      <c r="C1786" t="str">
        <f>"80 05 144195"</f>
        <v>80 05 144195</v>
      </c>
      <c r="D1786" t="str">
        <f>"4854630181858559"</f>
        <v>4854630181858559</v>
      </c>
      <c r="E1786" t="str">
        <f>"2021-05-31"</f>
        <v>2021-05-31</v>
      </c>
      <c r="F1786" t="str">
        <f>"Q"</f>
        <v>Q</v>
      </c>
      <c r="G1786" t="str">
        <f>"Q"</f>
        <v>Q</v>
      </c>
      <c r="H1786" t="str">
        <f>"40817810216991470470"</f>
        <v>40817810216991470470</v>
      </c>
      <c r="I1786" t="str">
        <f>"8598"</f>
        <v>8598</v>
      </c>
      <c r="J1786" t="str">
        <f>"0172"</f>
        <v>0172</v>
      </c>
      <c r="K1786" t="str">
        <f t="shared" ref="K1786:K1787" si="312">"0.00"</f>
        <v>0.00</v>
      </c>
      <c r="L1786" t="str">
        <f>"450000 РЕСП БАШКОРТОСТАН   Г УФА   УЛ ГРОЗНЕНСКАЯ д. 28"</f>
        <v>450000 РЕСП БАШКОРТОСТАН   Г УФА   УЛ ГРОЗНЕНСКАЯ д. 28</v>
      </c>
      <c r="M1786" t="str">
        <f t="shared" si="303"/>
        <v>2019-08-24</v>
      </c>
      <c r="N1786" t="str">
        <f>"ДОМОХОЗЯЙКА"</f>
        <v>ДОМОХОЗЯЙКА</v>
      </c>
      <c r="O1786" t="str">
        <f>"450000"</f>
        <v>450000</v>
      </c>
      <c r="P1786" t="str">
        <f>"РЕСП БАШКОРТОСТАН"</f>
        <v>РЕСП БАШКОРТОСТАН</v>
      </c>
      <c r="Q1786" t="str">
        <f>""</f>
        <v/>
      </c>
      <c r="R1786" t="str">
        <f>"Г УФА"</f>
        <v>Г УФА</v>
      </c>
      <c r="S1786" t="str">
        <f>""</f>
        <v/>
      </c>
      <c r="T1786" t="str">
        <f>"УЛ ГРОЗНЕНСКАЯ"</f>
        <v>УЛ ГРОЗНЕНСКАЯ</v>
      </c>
      <c r="U1786" s="1" t="str">
        <f>"28"</f>
        <v>28</v>
      </c>
      <c r="V1786" s="1" t="str">
        <f>""</f>
        <v/>
      </c>
      <c r="W1786" s="1" t="str">
        <f>""</f>
        <v/>
      </c>
      <c r="X1786" s="1" t="str">
        <f>""</f>
        <v/>
      </c>
      <c r="Y1786" s="1" t="str">
        <f>""</f>
        <v/>
      </c>
      <c r="Z1786" t="str">
        <f>"9273063811"</f>
        <v>9273063811</v>
      </c>
      <c r="AA1786" t="str">
        <f>"9273063811"</f>
        <v>9273063811</v>
      </c>
      <c r="AB1786" t="str">
        <f>"9273063811"</f>
        <v>9273063811</v>
      </c>
      <c r="AC1786" t="str">
        <f>"9273063811"</f>
        <v>9273063811</v>
      </c>
      <c r="AD1786" t="str">
        <f>"9273063811"</f>
        <v>9273063811</v>
      </c>
      <c r="AE1786" t="str">
        <f>"9273063811"</f>
        <v>9273063811</v>
      </c>
    </row>
    <row r="1787" spans="1:31" x14ac:dyDescent="0.45">
      <c r="A1787" t="str">
        <f>"ГАНЕЕВА ИЛЬЗИНА АХАТОВНА"</f>
        <v>ГАНЕЕВА ИЛЬЗИНА АХАТОВНА</v>
      </c>
      <c r="B1787" t="str">
        <f>"1981-01-16"</f>
        <v>1981-01-16</v>
      </c>
      <c r="C1787" t="str">
        <f>"80 15 129434"</f>
        <v>80 15 129434</v>
      </c>
      <c r="D1787" t="str">
        <f>"4854630304112470"</f>
        <v>4854630304112470</v>
      </c>
      <c r="E1787" t="str">
        <f>"2020-04-30"</f>
        <v>2020-04-30</v>
      </c>
      <c r="F1787" t="str">
        <f>"Q"</f>
        <v>Q</v>
      </c>
      <c r="G1787" t="str">
        <f>"Q"</f>
        <v>Q</v>
      </c>
      <c r="H1787" t="str">
        <f>"40817810516991470471"</f>
        <v>40817810516991470471</v>
      </c>
      <c r="I1787" t="str">
        <f>"8598"</f>
        <v>8598</v>
      </c>
      <c r="J1787" t="str">
        <f>"0018"</f>
        <v>0018</v>
      </c>
      <c r="K1787" t="str">
        <f t="shared" si="312"/>
        <v>0.00</v>
      </c>
      <c r="L1787" t="str">
        <f>"450000 РЕСП БАШКОРТОСТАН   Г УФА   УЛ МИНГАЖЕВА д. 128"</f>
        <v>450000 РЕСП БАШКОРТОСТАН   Г УФА   УЛ МИНГАЖЕВА д. 128</v>
      </c>
      <c r="M1787" t="str">
        <f t="shared" si="303"/>
        <v>2019-08-24</v>
      </c>
      <c r="N1787" t="str">
        <f>"ГБПУ  УФИМСКИЙ ЛЕСОТЕХНИЧЕСКИЙ ТЕХНИКУМ"</f>
        <v>ГБПУ  УФИМСКИЙ ЛЕСОТЕХНИЧЕСКИЙ ТЕХНИКУМ</v>
      </c>
      <c r="O1787" t="str">
        <f>"450000"</f>
        <v>450000</v>
      </c>
      <c r="P1787" t="str">
        <f>"РЕСП БАШКОРТОСТАН"</f>
        <v>РЕСП БАШКОРТОСТАН</v>
      </c>
      <c r="Q1787" t="str">
        <f>""</f>
        <v/>
      </c>
      <c r="R1787" t="str">
        <f>"Г УФА"</f>
        <v>Г УФА</v>
      </c>
      <c r="S1787" t="str">
        <f>""</f>
        <v/>
      </c>
      <c r="T1787" t="str">
        <f>"УЛ ВЕТОШНИКОВА"</f>
        <v>УЛ ВЕТОШНИКОВА</v>
      </c>
      <c r="U1787" s="1" t="str">
        <f>"95"</f>
        <v>95</v>
      </c>
      <c r="V1787" s="1" t="str">
        <f>""</f>
        <v/>
      </c>
      <c r="W1787" s="1" t="str">
        <f>""</f>
        <v/>
      </c>
      <c r="X1787" s="1" t="str">
        <f>""</f>
        <v/>
      </c>
      <c r="Y1787" s="1" t="str">
        <f>"514"</f>
        <v>514</v>
      </c>
      <c r="Z1787" t="str">
        <f>"+7 (347) 2424851"</f>
        <v>+7 (347) 2424851</v>
      </c>
      <c r="AA1787" t="str">
        <f>"+7 (927) 9651079"</f>
        <v>+7 (927) 9651079</v>
      </c>
      <c r="AB1787" t="str">
        <f>"+7 (927) 9651079"</f>
        <v>+7 (927) 9651079</v>
      </c>
      <c r="AC1787" t="str">
        <f>"9173460192"</f>
        <v>9173460192</v>
      </c>
      <c r="AD1787" t="str">
        <f>"9173460192"</f>
        <v>9173460192</v>
      </c>
      <c r="AE1787" t="str">
        <f>""</f>
        <v/>
      </c>
    </row>
    <row r="1788" spans="1:31" x14ac:dyDescent="0.45">
      <c r="A1788" t="str">
        <f>"СОКОЛЬСКАЯ СВЕТЛАНА ФАРИТОВНА"</f>
        <v>СОКОЛЬСКАЯ СВЕТЛАНА ФАРИТОВНА</v>
      </c>
      <c r="B1788" t="str">
        <f>"1980-05-09"</f>
        <v>1980-05-09</v>
      </c>
      <c r="C1788" t="str">
        <f>"75 10 816987"</f>
        <v>75 10 816987</v>
      </c>
      <c r="D1788" t="str">
        <f>"4854630322418875"</f>
        <v>4854630322418875</v>
      </c>
      <c r="E1788" t="str">
        <f>"2021-05-31"</f>
        <v>2021-05-31</v>
      </c>
      <c r="F1788" t="str">
        <f t="shared" ref="F1788:G1795" si="313">"+"</f>
        <v>+</v>
      </c>
      <c r="G1788" t="str">
        <f t="shared" si="313"/>
        <v>+</v>
      </c>
      <c r="H1788" t="str">
        <f>"40817810316991470503"</f>
        <v>40817810316991470503</v>
      </c>
      <c r="I1788" t="str">
        <f>"8597"</f>
        <v>8597</v>
      </c>
      <c r="J1788" t="str">
        <f>"0241"</f>
        <v>0241</v>
      </c>
      <c r="K1788" t="str">
        <f>"140000.00"</f>
        <v>140000.00</v>
      </c>
      <c r="L1788" t="str">
        <f>"454000 ОБЛ ЧЕЛЯБИНСКАЯ   Г ЧЕЛЯБИНСК   ПЕР МАМИНА д. 3"</f>
        <v>454000 ОБЛ ЧЕЛЯБИНСКАЯ   Г ЧЕЛЯБИНСК   ПЕР МАМИНА д. 3</v>
      </c>
      <c r="M1788" t="str">
        <f t="shared" si="303"/>
        <v>2019-08-24</v>
      </c>
      <c r="N1788" t="str">
        <f>"ООО РИФАРМ"</f>
        <v>ООО РИФАРМ</v>
      </c>
      <c r="O1788" t="str">
        <f>"454000"</f>
        <v>454000</v>
      </c>
      <c r="P1788" t="str">
        <f>"ОБЛ ЧЕЛЯБИНСКАЯ"</f>
        <v>ОБЛ ЧЕЛЯБИНСКАЯ</v>
      </c>
      <c r="Q1788" t="str">
        <f>""</f>
        <v/>
      </c>
      <c r="R1788" t="str">
        <f>"Г ЧЕЛЯБИНСК"</f>
        <v>Г ЧЕЛЯБИНСК</v>
      </c>
      <c r="S1788" t="str">
        <f>""</f>
        <v/>
      </c>
      <c r="T1788" t="str">
        <f>"УЛ БАЖОВА"</f>
        <v>УЛ БАЖОВА</v>
      </c>
      <c r="U1788" s="1" t="str">
        <f>"7"</f>
        <v>7</v>
      </c>
      <c r="V1788" s="1" t="str">
        <f>""</f>
        <v/>
      </c>
      <c r="W1788" s="1" t="str">
        <f>""</f>
        <v/>
      </c>
      <c r="X1788" s="1" t="str">
        <f>""</f>
        <v/>
      </c>
      <c r="Y1788" s="1" t="str">
        <f>"1"</f>
        <v>1</v>
      </c>
      <c r="Z1788" t="str">
        <f>"3517507201"</f>
        <v>3517507201</v>
      </c>
      <c r="AA1788" t="str">
        <f>"3517722413"</f>
        <v>3517722413</v>
      </c>
      <c r="AB1788" t="str">
        <f>"9642421104"</f>
        <v>9642421104</v>
      </c>
      <c r="AC1788" t="str">
        <f>"9642421104"</f>
        <v>9642421104</v>
      </c>
      <c r="AD1788" t="str">
        <f>"9193518191"</f>
        <v>9193518191</v>
      </c>
      <c r="AE1788" t="str">
        <f>""</f>
        <v/>
      </c>
    </row>
    <row r="1789" spans="1:31" x14ac:dyDescent="0.45">
      <c r="A1789" t="str">
        <f>"МУХАМАДЕЕВА ЛИЛИЯ РАИСОВНА"</f>
        <v>МУХАМАДЕЕВА ЛИЛИЯ РАИСОВНА</v>
      </c>
      <c r="B1789" t="str">
        <f>"1970-04-03"</f>
        <v>1970-04-03</v>
      </c>
      <c r="C1789" t="str">
        <f>"80 15 128220"</f>
        <v>80 15 128220</v>
      </c>
      <c r="D1789" t="str">
        <f>"4854630199080733"</f>
        <v>4854630199080733</v>
      </c>
      <c r="E1789" t="str">
        <f>"2021-11-30"</f>
        <v>2021-11-30</v>
      </c>
      <c r="F1789" t="str">
        <f t="shared" si="313"/>
        <v>+</v>
      </c>
      <c r="G1789" t="str">
        <f t="shared" si="313"/>
        <v>+</v>
      </c>
      <c r="H1789" t="str">
        <f>"40817810616991470504"</f>
        <v>40817810616991470504</v>
      </c>
      <c r="I1789" t="str">
        <f>"8598"</f>
        <v>8598</v>
      </c>
      <c r="J1789" t="str">
        <f>"0782"</f>
        <v>0782</v>
      </c>
      <c r="K1789" t="str">
        <f>"58000.00"</f>
        <v>58000.00</v>
      </c>
      <c r="L1789" t="str">
        <f>"452000 РЕСП БАШКОРТОСТАН   Г БЕЛЕБЕЙ   УЛ СЫРТЛАНОВОЙ д. 1"</f>
        <v>452000 РЕСП БАШКОРТОСТАН   Г БЕЛЕБЕЙ   УЛ СЫРТЛАНОВОЙ д. 1</v>
      </c>
      <c r="M1789" t="str">
        <f t="shared" si="303"/>
        <v>2019-08-24</v>
      </c>
      <c r="N1789" t="s">
        <v>103</v>
      </c>
      <c r="O1789" t="str">
        <f>"452000"</f>
        <v>452000</v>
      </c>
      <c r="P1789" t="str">
        <f>"РЕСП БАШКОРТОСТАН"</f>
        <v>РЕСП БАШКОРТОСТАН</v>
      </c>
      <c r="Q1789" t="str">
        <f>""</f>
        <v/>
      </c>
      <c r="R1789" t="str">
        <f>"Г БЕЛЕБЕЙ"</f>
        <v>Г БЕЛЕБЕЙ</v>
      </c>
      <c r="S1789" t="str">
        <f>""</f>
        <v/>
      </c>
      <c r="T1789" t="str">
        <f>"УЛ НЕФТЕБАЗА"</f>
        <v>УЛ НЕФТЕБАЗА</v>
      </c>
      <c r="U1789" s="1" t="str">
        <f>"1"</f>
        <v>1</v>
      </c>
      <c r="V1789" s="1" t="str">
        <f>""</f>
        <v/>
      </c>
      <c r="W1789" s="1" t="str">
        <f>""</f>
        <v/>
      </c>
      <c r="X1789" s="1" t="str">
        <f>""</f>
        <v/>
      </c>
      <c r="Y1789" s="1" t="str">
        <f>"2"</f>
        <v>2</v>
      </c>
      <c r="Z1789" t="str">
        <f>""</f>
        <v/>
      </c>
      <c r="AA1789" t="str">
        <f>"9063756236"</f>
        <v>9063756236</v>
      </c>
      <c r="AB1789" t="str">
        <f>"9063756236"</f>
        <v>9063756236</v>
      </c>
      <c r="AC1789" t="str">
        <f>"9063756236"</f>
        <v>9063756236</v>
      </c>
      <c r="AD1789" t="str">
        <f>"9063756236"</f>
        <v>9063756236</v>
      </c>
      <c r="AE1789" t="str">
        <f>""</f>
        <v/>
      </c>
    </row>
    <row r="1790" spans="1:31" x14ac:dyDescent="0.45">
      <c r="A1790" t="str">
        <f>"ДЕЙКОВА СВЕТЛАНА НИКОЛАЕВНА"</f>
        <v>ДЕЙКОВА СВЕТЛАНА НИКОЛАЕВНА</v>
      </c>
      <c r="B1790" t="str">
        <f>"1987-05-08"</f>
        <v>1987-05-08</v>
      </c>
      <c r="C1790" t="str">
        <f>"65 16 371106"</f>
        <v>65 16 371106</v>
      </c>
      <c r="D1790" t="str">
        <f>"4854630411693370"</f>
        <v>4854630411693370</v>
      </c>
      <c r="E1790" t="str">
        <f>"2020-04-30"</f>
        <v>2020-04-30</v>
      </c>
      <c r="F1790" t="str">
        <f t="shared" si="313"/>
        <v>+</v>
      </c>
      <c r="G1790" t="str">
        <f t="shared" si="313"/>
        <v>+</v>
      </c>
      <c r="H1790" t="str">
        <f>"40817810316991430624"</f>
        <v>40817810316991430624</v>
      </c>
      <c r="I1790" t="str">
        <f>"7003"</f>
        <v>7003</v>
      </c>
      <c r="J1790" t="str">
        <f>"0637"</f>
        <v>0637</v>
      </c>
      <c r="K1790" t="str">
        <f>"10000.00"</f>
        <v>10000.00</v>
      </c>
      <c r="L1790" t="str">
        <f>"624260 ОБЛ СВЕРДЛОВСКАЯ   Г АСБЕСТ   УЛ ЧАПАЕВА д. 39 кв. 0"</f>
        <v>624260 ОБЛ СВЕРДЛОВСКАЯ   Г АСБЕСТ   УЛ ЧАПАЕВА д. 39 кв. 0</v>
      </c>
      <c r="M1790" t="str">
        <f t="shared" si="303"/>
        <v>2019-08-24</v>
      </c>
      <c r="N1790" t="str">
        <f>"ПРОКУРАТУРА ГОР АСБЕСТА"</f>
        <v>ПРОКУРАТУРА ГОР АСБЕСТА</v>
      </c>
      <c r="O1790" t="str">
        <f>"624260"</f>
        <v>624260</v>
      </c>
      <c r="P1790" t="str">
        <f>"ОБЛ СВЕРДЛОВСКАЯ"</f>
        <v>ОБЛ СВЕРДЛОВСКАЯ</v>
      </c>
      <c r="Q1790" t="str">
        <f>""</f>
        <v/>
      </c>
      <c r="R1790" t="str">
        <f>"Г АРТИ"</f>
        <v>Г АРТИ</v>
      </c>
      <c r="S1790" t="str">
        <f>""</f>
        <v/>
      </c>
      <c r="T1790" t="str">
        <f>"УЛ ПРОКОПЕНКО"</f>
        <v>УЛ ПРОКОПЕНКО</v>
      </c>
      <c r="U1790" s="1" t="str">
        <f>"45"</f>
        <v>45</v>
      </c>
      <c r="V1790" s="1" t="str">
        <f>""</f>
        <v/>
      </c>
      <c r="W1790" s="1" t="str">
        <f>""</f>
        <v/>
      </c>
      <c r="X1790" s="1" t="str">
        <f>""</f>
        <v/>
      </c>
      <c r="Y1790" s="1" t="str">
        <f>"0"</f>
        <v>0</v>
      </c>
      <c r="Z1790" t="str">
        <f>"3436520412"</f>
        <v>3436520412</v>
      </c>
      <c r="AA1790" t="str">
        <f>"9538206553"</f>
        <v>9538206553</v>
      </c>
      <c r="AB1790" t="str">
        <f>"9538206553"</f>
        <v>9538206553</v>
      </c>
      <c r="AC1790" t="str">
        <f>"9538206553"</f>
        <v>9538206553</v>
      </c>
      <c r="AD1790" t="str">
        <f>"9538206553"</f>
        <v>9538206553</v>
      </c>
      <c r="AE1790" t="str">
        <f>""</f>
        <v/>
      </c>
    </row>
    <row r="1791" spans="1:31" x14ac:dyDescent="0.45">
      <c r="A1791" t="str">
        <f>"ГАБОВ ИГОРЬ ВИКТОРОВИЧ"</f>
        <v>ГАБОВ ИГОРЬ ВИКТОРОВИЧ</v>
      </c>
      <c r="B1791" t="str">
        <f>"1983-01-03"</f>
        <v>1983-01-03</v>
      </c>
      <c r="C1791" t="str">
        <f>"67 04 071928"</f>
        <v>67 04 071928</v>
      </c>
      <c r="D1791" t="str">
        <f>"4279016749468239"</f>
        <v>4279016749468239</v>
      </c>
      <c r="E1791" t="str">
        <f>"2021-06-30"</f>
        <v>2021-06-30</v>
      </c>
      <c r="F1791" t="str">
        <f t="shared" si="313"/>
        <v>+</v>
      </c>
      <c r="G1791" t="str">
        <f t="shared" si="313"/>
        <v>+</v>
      </c>
      <c r="H1791" t="str">
        <f>"40817810516992060767"</f>
        <v>40817810516992060767</v>
      </c>
      <c r="I1791" t="str">
        <f>"5940"</f>
        <v>5940</v>
      </c>
      <c r="J1791" t="str">
        <f>"0052"</f>
        <v>0052</v>
      </c>
      <c r="K1791" t="str">
        <f>"219000.00"</f>
        <v>219000.00</v>
      </c>
      <c r="L1791" t="str">
        <f>"628400 ОБЛ ТЮМЕНСКАЯ   Г СУРГУТ   УЛ КУКУЕВИЦКОГО д. 7"</f>
        <v>628400 ОБЛ ТЮМЕНСКАЯ   Г СУРГУТ   УЛ КУКУЕВИЦКОГО д. 7</v>
      </c>
      <c r="M1791" t="str">
        <f t="shared" si="303"/>
        <v>2019-08-24</v>
      </c>
      <c r="N1791" t="str">
        <f>"ОАО СНГ"</f>
        <v>ОАО СНГ</v>
      </c>
      <c r="O1791" t="str">
        <f>"628400"</f>
        <v>628400</v>
      </c>
      <c r="P1791" t="str">
        <f>"ОБЛ ТЮМЕНСКАЯ"</f>
        <v>ОБЛ ТЮМЕНСКАЯ</v>
      </c>
      <c r="Q1791" t="str">
        <f>""</f>
        <v/>
      </c>
      <c r="R1791" t="str">
        <f>"Г СУРГУТ"</f>
        <v>Г СУРГУТ</v>
      </c>
      <c r="S1791" t="str">
        <f>""</f>
        <v/>
      </c>
      <c r="T1791" t="str">
        <f>"УЛ КРЫЛОВА"</f>
        <v>УЛ КРЫЛОВА</v>
      </c>
      <c r="U1791" s="1" t="str">
        <f>"41/1"</f>
        <v>41/1</v>
      </c>
      <c r="V1791" s="1" t="str">
        <f>""</f>
        <v/>
      </c>
      <c r="W1791" s="1" t="str">
        <f>""</f>
        <v/>
      </c>
      <c r="X1791" s="1" t="str">
        <f>""</f>
        <v/>
      </c>
      <c r="Y1791" s="1" t="str">
        <f>"100"</f>
        <v>100</v>
      </c>
      <c r="Z1791" t="str">
        <f>"3462433078"</f>
        <v>3462433078</v>
      </c>
      <c r="AA1791" t="str">
        <f>"3462532672"</f>
        <v>3462532672</v>
      </c>
      <c r="AB1791" t="str">
        <f>"9222538453"</f>
        <v>9222538453</v>
      </c>
      <c r="AC1791" t="str">
        <f>"9048781592"</f>
        <v>9048781592</v>
      </c>
      <c r="AD1791" t="str">
        <f>"9222538453"</f>
        <v>9222538453</v>
      </c>
      <c r="AE1791" t="str">
        <f>"3462420468"</f>
        <v>3462420468</v>
      </c>
    </row>
    <row r="1792" spans="1:31" x14ac:dyDescent="0.45">
      <c r="A1792" t="str">
        <f>"СЛЕПЕНКОВ АЛЕКСАНДР ВЛАДИМИРОВИЧ"</f>
        <v>СЛЕПЕНКОВ АЛЕКСАНДР ВЛАДИМИРОВИЧ</v>
      </c>
      <c r="B1792" t="str">
        <f>"1956-10-14"</f>
        <v>1956-10-14</v>
      </c>
      <c r="C1792" t="str">
        <f>"67 01 463837"</f>
        <v>67 01 463837</v>
      </c>
      <c r="D1792" t="str">
        <f>"4279016734334784"</f>
        <v>4279016734334784</v>
      </c>
      <c r="E1792" t="str">
        <f>"2021-06-30"</f>
        <v>2021-06-30</v>
      </c>
      <c r="F1792" t="str">
        <f t="shared" si="313"/>
        <v>+</v>
      </c>
      <c r="G1792" t="str">
        <f t="shared" si="313"/>
        <v>+</v>
      </c>
      <c r="H1792" t="str">
        <f>"40817810016992304538"</f>
        <v>40817810016992304538</v>
      </c>
      <c r="I1792" t="str">
        <f>"5940"</f>
        <v>5940</v>
      </c>
      <c r="J1792" t="str">
        <f>"0057"</f>
        <v>0057</v>
      </c>
      <c r="K1792" t="str">
        <f>"155000.00"</f>
        <v>155000.00</v>
      </c>
      <c r="L1792" t="str">
        <f>"628400 ОБЛ ТЮМЕНСКАЯ   Г СУРГУТ   УЛ МАЙСКАЯ д. 8 офис 0"</f>
        <v>628400 ОБЛ ТЮМЕНСКАЯ   Г СУРГУТ   УЛ МАЙСКАЯ д. 8 офис 0</v>
      </c>
      <c r="M1792" t="str">
        <f t="shared" si="303"/>
        <v>2019-08-24</v>
      </c>
      <c r="N1792" t="str">
        <f>"ПФ"</f>
        <v>ПФ</v>
      </c>
      <c r="O1792" t="str">
        <f>"628400"</f>
        <v>628400</v>
      </c>
      <c r="P1792" t="str">
        <f>"ОБЛ ТЮМЕНСКАЯ"</f>
        <v>ОБЛ ТЮМЕНСКАЯ</v>
      </c>
      <c r="Q1792" t="str">
        <f>""</f>
        <v/>
      </c>
      <c r="R1792" t="str">
        <f>"Г СУРГУТ"</f>
        <v>Г СУРГУТ</v>
      </c>
      <c r="S1792" t="str">
        <f>""</f>
        <v/>
      </c>
      <c r="T1792" t="str">
        <f>"УЛ 50 ЛЕТ ВЛКСМ"</f>
        <v>УЛ 50 ЛЕТ ВЛКСМ</v>
      </c>
      <c r="U1792" s="1" t="str">
        <f>"6/Б"</f>
        <v>6/Б</v>
      </c>
      <c r="V1792" s="1" t="str">
        <f>""</f>
        <v/>
      </c>
      <c r="W1792" s="1" t="str">
        <f>""</f>
        <v/>
      </c>
      <c r="X1792" s="1" t="str">
        <f>""</f>
        <v/>
      </c>
      <c r="Y1792" s="1" t="str">
        <f>"67"</f>
        <v>67</v>
      </c>
      <c r="Z1792" t="str">
        <f>""</f>
        <v/>
      </c>
      <c r="AA1792" t="str">
        <f>"3462223545"</f>
        <v>3462223545</v>
      </c>
      <c r="AB1792" t="str">
        <f>"9044725431"</f>
        <v>9044725431</v>
      </c>
      <c r="AC1792" t="str">
        <f>"3462223545"</f>
        <v>3462223545</v>
      </c>
      <c r="AD1792" t="str">
        <f>"9044725431"</f>
        <v>9044725431</v>
      </c>
      <c r="AE1792" t="str">
        <f>""</f>
        <v/>
      </c>
    </row>
    <row r="1793" spans="1:31" x14ac:dyDescent="0.45">
      <c r="A1793" t="str">
        <f>"АБДУЛВАГАБОВА НАЖИВАТ ЗУБАЙРУЕВНА"</f>
        <v>АБДУЛВАГАБОВА НАЖИВАТ ЗУБАЙРУЕВНА</v>
      </c>
      <c r="B1793" t="str">
        <f>"1971-01-28"</f>
        <v>1971-01-28</v>
      </c>
      <c r="C1793" t="str">
        <f>"67 15 526703"</f>
        <v>67 15 526703</v>
      </c>
      <c r="D1793" t="str">
        <f>"4279016736973985"</f>
        <v>4279016736973985</v>
      </c>
      <c r="E1793" t="str">
        <f>"2021-06-30"</f>
        <v>2021-06-30</v>
      </c>
      <c r="F1793" t="str">
        <f t="shared" si="313"/>
        <v>+</v>
      </c>
      <c r="G1793" t="str">
        <f t="shared" si="313"/>
        <v>+</v>
      </c>
      <c r="H1793" t="str">
        <f>"40817810216992304574"</f>
        <v>40817810216992304574</v>
      </c>
      <c r="I1793" t="str">
        <f>"5940"</f>
        <v>5940</v>
      </c>
      <c r="J1793" t="str">
        <f>"0071"</f>
        <v>0071</v>
      </c>
      <c r="K1793" t="str">
        <f>"145000.00"</f>
        <v>145000.00</v>
      </c>
      <c r="L1793" t="str">
        <f>"628484 ОБЛ ТЮМЕНСКАЯ   Г КОГАЛЫМ   УЛ ЛЕНИНГРАДСКАЯ д. 29"</f>
        <v>628484 ОБЛ ТЮМЕНСКАЯ   Г КОГАЛЫМ   УЛ ЛЕНИНГРАДСКАЯ д. 29</v>
      </c>
      <c r="M1793" t="str">
        <f t="shared" si="303"/>
        <v>2019-08-24</v>
      </c>
      <c r="N1793" t="str">
        <f>"ИНДИВИДУАЛЬНЫЙ ПРЕДПРИНИМАТЕЛЬ"</f>
        <v>ИНДИВИДУАЛЬНЫЙ ПРЕДПРИНИМАТЕЛЬ</v>
      </c>
      <c r="O1793" t="str">
        <f>"628484"</f>
        <v>628484</v>
      </c>
      <c r="P1793" t="str">
        <f>"ОБЛ ТЮМЕНСКАЯ"</f>
        <v>ОБЛ ТЮМЕНСКАЯ</v>
      </c>
      <c r="Q1793" t="str">
        <f>""</f>
        <v/>
      </c>
      <c r="R1793" t="str">
        <f>"Г КОГАЛЫМ"</f>
        <v>Г КОГАЛЫМ</v>
      </c>
      <c r="S1793" t="str">
        <f>""</f>
        <v/>
      </c>
      <c r="T1793" t="str">
        <f>"УЛ ЛЕНИНГРАДСКАЯ"</f>
        <v>УЛ ЛЕНИНГРАДСКАЯ</v>
      </c>
      <c r="U1793" s="1" t="str">
        <f>"10"</f>
        <v>10</v>
      </c>
      <c r="V1793" s="1" t="str">
        <f>""</f>
        <v/>
      </c>
      <c r="W1793" s="1" t="str">
        <f>""</f>
        <v/>
      </c>
      <c r="X1793" s="1" t="str">
        <f>""</f>
        <v/>
      </c>
      <c r="Y1793" s="1" t="str">
        <f>"3"</f>
        <v>3</v>
      </c>
      <c r="Z1793" t="str">
        <f>""</f>
        <v/>
      </c>
      <c r="AA1793" t="str">
        <f>""</f>
        <v/>
      </c>
      <c r="AB1793" t="str">
        <f>"+7 (950) 5137487"</f>
        <v>+7 (950) 5137487</v>
      </c>
      <c r="AC1793" t="str">
        <f>"3466700000"</f>
        <v>3466700000</v>
      </c>
      <c r="AD1793" t="str">
        <f>"9505137487"</f>
        <v>9505137487</v>
      </c>
      <c r="AE1793" t="str">
        <f>"3466700000"</f>
        <v>3466700000</v>
      </c>
    </row>
    <row r="1794" spans="1:31" x14ac:dyDescent="0.45">
      <c r="A1794" t="str">
        <f>"ЭДИЛЬБАЕВ ИСЛАМ ШОРА-БАТЫРОВИЧ"</f>
        <v>ЭДИЛЬБАЕВ ИСЛАМ ШОРА-БАТЫРОВИЧ</v>
      </c>
      <c r="B1794" t="str">
        <f>"1983-11-27"</f>
        <v>1983-11-27</v>
      </c>
      <c r="C1794" t="str">
        <f>"82 06 214865"</f>
        <v>82 06 214865</v>
      </c>
      <c r="D1794" t="str">
        <f>"4279016731978930"</f>
        <v>4279016731978930</v>
      </c>
      <c r="E1794" t="str">
        <f>"2021-06-30"</f>
        <v>2021-06-30</v>
      </c>
      <c r="F1794" t="str">
        <f t="shared" si="313"/>
        <v>+</v>
      </c>
      <c r="G1794" t="str">
        <f t="shared" si="313"/>
        <v>+</v>
      </c>
      <c r="H1794" t="str">
        <f>"40817810616992060926"</f>
        <v>40817810616992060926</v>
      </c>
      <c r="I1794" t="str">
        <f>"5940"</f>
        <v>5940</v>
      </c>
      <c r="J1794" t="str">
        <f>"0070"</f>
        <v>0070</v>
      </c>
      <c r="K1794" t="str">
        <f>"140000.00"</f>
        <v>140000.00</v>
      </c>
      <c r="L1794" t="str">
        <f>"628400 ОБЛ ТЮМЕНСКАЯ   Г СУРГУТ   УЛ ИНДУСТРИАЛЬНАЯ д. 41"</f>
        <v>628400 ОБЛ ТЮМЕНСКАЯ   Г СУРГУТ   УЛ ИНДУСТРИАЛЬНАЯ д. 41</v>
      </c>
      <c r="M1794" t="str">
        <f t="shared" ref="M1794:M1857" si="314">"2019-08-24"</f>
        <v>2019-08-24</v>
      </c>
      <c r="N1794" t="str">
        <f>"СУРГУТНЕФТЕГАЗ"</f>
        <v>СУРГУТНЕФТЕГАЗ</v>
      </c>
      <c r="O1794" t="str">
        <f>"628400"</f>
        <v>628400</v>
      </c>
      <c r="P1794" t="str">
        <f>"ОБЛ ТЮМЕНСКАЯ"</f>
        <v>ОБЛ ТЮМЕНСКАЯ</v>
      </c>
      <c r="Q1794" t="str">
        <f>""</f>
        <v/>
      </c>
      <c r="R1794" t="str">
        <f>""</f>
        <v/>
      </c>
      <c r="S1794" t="str">
        <f>"П ЗВЕЗДНЫЙ"</f>
        <v>П ЗВЕЗДНЫЙ</v>
      </c>
      <c r="T1794" t="str">
        <f>"УЛ ТРУБНАЯ"</f>
        <v>УЛ ТРУБНАЯ</v>
      </c>
      <c r="U1794" s="1" t="str">
        <f>"5"</f>
        <v>5</v>
      </c>
      <c r="V1794" s="1" t="str">
        <f>"3"</f>
        <v>3</v>
      </c>
      <c r="W1794" s="1" t="str">
        <f>""</f>
        <v/>
      </c>
      <c r="X1794" s="1" t="str">
        <f>""</f>
        <v/>
      </c>
      <c r="Y1794" s="1" t="str">
        <f>"150"</f>
        <v>150</v>
      </c>
      <c r="Z1794" t="str">
        <f>"3462431577"</f>
        <v>3462431577</v>
      </c>
      <c r="AA1794" t="str">
        <f>"9283548381"</f>
        <v>9283548381</v>
      </c>
      <c r="AB1794" t="str">
        <f>"9283548381"</f>
        <v>9283548381</v>
      </c>
      <c r="AC1794" t="str">
        <f>"9283548381"</f>
        <v>9283548381</v>
      </c>
      <c r="AD1794" t="str">
        <f>"9283548381"</f>
        <v>9283548381</v>
      </c>
      <c r="AE1794" t="str">
        <f>"3462431577"</f>
        <v>3462431577</v>
      </c>
    </row>
    <row r="1795" spans="1:31" x14ac:dyDescent="0.45">
      <c r="A1795" t="str">
        <f>"ЯКОВЛЕВ СЕРГЕЙ ВИТАЛЬЕВИЧ"</f>
        <v>ЯКОВЛЕВ СЕРГЕЙ ВИТАЛЬЕВИЧ</v>
      </c>
      <c r="B1795" t="str">
        <f>"1968-09-22"</f>
        <v>1968-09-22</v>
      </c>
      <c r="C1795" t="str">
        <f>"71 13 021110"</f>
        <v>71 13 021110</v>
      </c>
      <c r="D1795" t="str">
        <f>"4279011612866122"</f>
        <v>4279011612866122</v>
      </c>
      <c r="E1795" t="str">
        <f>"2021-06-30"</f>
        <v>2021-06-30</v>
      </c>
      <c r="F1795" t="str">
        <f t="shared" si="313"/>
        <v>+</v>
      </c>
      <c r="G1795" t="str">
        <f t="shared" si="313"/>
        <v>+</v>
      </c>
      <c r="H1795" t="str">
        <f>"40817810816992060962"</f>
        <v>40817810816992060962</v>
      </c>
      <c r="I1795" t="str">
        <f>"8647"</f>
        <v>8647</v>
      </c>
      <c r="J1795" t="str">
        <f>"0330"</f>
        <v>0330</v>
      </c>
      <c r="K1795" t="str">
        <f>"31000.00"</f>
        <v>31000.00</v>
      </c>
      <c r="L1795" t="str">
        <f>"625000 ОБЛ ТЮМЕНСКАЯ   Г ТЮМЕНЬ   УЛ 11КМ.ЯЛУТОРОВСКОГО ТР-ТА д. 0 кв. 0"</f>
        <v>625000 ОБЛ ТЮМЕНСКАЯ   Г ТЮМЕНЬ   УЛ 11КМ.ЯЛУТОРОВСКОГО ТР-ТА д. 0 кв. 0</v>
      </c>
      <c r="M1795" t="str">
        <f t="shared" si="314"/>
        <v>2019-08-24</v>
      </c>
      <c r="N1795" t="str">
        <f>"ООО РОСАР-ТЮМЕНЬ"</f>
        <v>ООО РОСАР-ТЮМЕНЬ</v>
      </c>
      <c r="O1795" t="str">
        <f>"625000"</f>
        <v>625000</v>
      </c>
      <c r="P1795" t="str">
        <f>"ОБЛ ТЮМЕНСКАЯ"</f>
        <v>ОБЛ ТЮМЕНСКАЯ</v>
      </c>
      <c r="Q1795" t="str">
        <f>""</f>
        <v/>
      </c>
      <c r="R1795" t="str">
        <f>"Г ТЮМЕНЬ"</f>
        <v>Г ТЮМЕНЬ</v>
      </c>
      <c r="S1795" t="str">
        <f>""</f>
        <v/>
      </c>
      <c r="T1795" t="str">
        <f>"УЛ ФАБРИЧНАЯ"</f>
        <v>УЛ ФАБРИЧНАЯ</v>
      </c>
      <c r="U1795" s="1" t="str">
        <f>"20"</f>
        <v>20</v>
      </c>
      <c r="V1795" s="1" t="str">
        <f>""</f>
        <v/>
      </c>
      <c r="W1795" s="1" t="str">
        <f>""</f>
        <v/>
      </c>
      <c r="X1795" s="1" t="str">
        <f>""</f>
        <v/>
      </c>
      <c r="Y1795" s="1" t="str">
        <f>"18"</f>
        <v>18</v>
      </c>
      <c r="Z1795" t="str">
        <f>""</f>
        <v/>
      </c>
      <c r="AA1795" t="str">
        <f>"+7 (922) 2662199"</f>
        <v>+7 (922) 2662199</v>
      </c>
      <c r="AB1795" t="str">
        <f>"+7 (912) 3898444"</f>
        <v>+7 (912) 3898444</v>
      </c>
      <c r="AC1795" t="str">
        <f>"9222662199"</f>
        <v>9222662199</v>
      </c>
      <c r="AD1795" t="str">
        <f>"9123898444"</f>
        <v>9123898444</v>
      </c>
      <c r="AE1795" t="str">
        <f>""</f>
        <v/>
      </c>
    </row>
    <row r="1796" spans="1:31" x14ac:dyDescent="0.45">
      <c r="A1796" t="str">
        <f>"НАРБАЕВ ТАЙИР УММАТОВИЧ"</f>
        <v>НАРБАЕВ ТАЙИР УММАТОВИЧ</v>
      </c>
      <c r="B1796" t="str">
        <f>"1962-01-01"</f>
        <v>1962-01-01</v>
      </c>
      <c r="C1796" t="str">
        <f>"65 07 257076"</f>
        <v>65 07 257076</v>
      </c>
      <c r="D1796" t="str">
        <f>"4854630399411423"</f>
        <v>4854630399411423</v>
      </c>
      <c r="E1796" t="str">
        <f t="shared" ref="E1796:E1801" si="315">"2021-04-30"</f>
        <v>2021-04-30</v>
      </c>
      <c r="F1796" t="str">
        <f>"Q"</f>
        <v>Q</v>
      </c>
      <c r="G1796" t="str">
        <f>"Q"</f>
        <v>Q</v>
      </c>
      <c r="H1796" t="str">
        <f>"40817810516991442616"</f>
        <v>40817810516991442616</v>
      </c>
      <c r="I1796" t="str">
        <f>"7003"</f>
        <v>7003</v>
      </c>
      <c r="J1796" t="str">
        <f>"0393"</f>
        <v>0393</v>
      </c>
      <c r="K1796" t="str">
        <f t="shared" ref="K1796:K1797" si="316">"0.00"</f>
        <v>0.00</v>
      </c>
      <c r="L1796" t="str">
        <f>"620039 ОБЛ СВЕРДЛОВСКАЯ   Г ЕКАТЕРИНБУРГ   УЛ ДОНБАССКАЯ д. 35"</f>
        <v>620039 ОБЛ СВЕРДЛОВСКАЯ   Г ЕКАТЕРИНБУРГ   УЛ ДОНБАССКАЯ д. 35</v>
      </c>
      <c r="M1796" t="str">
        <f t="shared" si="314"/>
        <v>2019-08-24</v>
      </c>
      <c r="N1796" t="str">
        <f>"ИП НАРБАЕВ"</f>
        <v>ИП НАРБАЕВ</v>
      </c>
      <c r="O1796" t="str">
        <f>"620039"</f>
        <v>620039</v>
      </c>
      <c r="P1796" t="str">
        <f>"ОБЛ СВЕРДЛОВСКАЯ"</f>
        <v>ОБЛ СВЕРДЛОВСКАЯ</v>
      </c>
      <c r="Q1796" t="str">
        <f>""</f>
        <v/>
      </c>
      <c r="R1796" t="str">
        <f>"Г ЕКАТЕРИНБУРГ"</f>
        <v>Г ЕКАТЕРИНБУРГ</v>
      </c>
      <c r="S1796" t="str">
        <f>""</f>
        <v/>
      </c>
      <c r="T1796" t="str">
        <f>"УЛ ДОНБАССКАЯ"</f>
        <v>УЛ ДОНБАССКАЯ</v>
      </c>
      <c r="U1796" s="1" t="str">
        <f>"35"</f>
        <v>35</v>
      </c>
      <c r="V1796" s="1" t="str">
        <f>""</f>
        <v/>
      </c>
      <c r="W1796" s="1" t="str">
        <f>""</f>
        <v/>
      </c>
      <c r="X1796" s="1" t="str">
        <f>""</f>
        <v/>
      </c>
      <c r="Y1796" s="1" t="str">
        <f>""</f>
        <v/>
      </c>
      <c r="Z1796" t="str">
        <f>""</f>
        <v/>
      </c>
      <c r="AA1796" t="str">
        <f>"9321154289"</f>
        <v>9321154289</v>
      </c>
      <c r="AB1796" t="str">
        <f>"9222078730"</f>
        <v>9222078730</v>
      </c>
      <c r="AC1796" t="str">
        <f>"9321154289"</f>
        <v>9321154289</v>
      </c>
      <c r="AD1796" t="str">
        <f>"9222078730"</f>
        <v>9222078730</v>
      </c>
      <c r="AE1796" t="str">
        <f>""</f>
        <v/>
      </c>
    </row>
    <row r="1797" spans="1:31" x14ac:dyDescent="0.45">
      <c r="A1797" t="str">
        <f>"МАННАНОВА СВЕТЛАНА ИГОРЕВНА"</f>
        <v>МАННАНОВА СВЕТЛАНА ИГОРЕВНА</v>
      </c>
      <c r="B1797" t="str">
        <f>"1988-02-13"</f>
        <v>1988-02-13</v>
      </c>
      <c r="C1797" t="str">
        <f>"80 13 801897"</f>
        <v>80 13 801897</v>
      </c>
      <c r="D1797" t="str">
        <f>"4854630395670709"</f>
        <v>4854630395670709</v>
      </c>
      <c r="E1797" t="str">
        <f t="shared" si="315"/>
        <v>2021-04-30</v>
      </c>
      <c r="F1797" t="str">
        <f>"Q"</f>
        <v>Q</v>
      </c>
      <c r="G1797" t="str">
        <f>"Q"</f>
        <v>Q</v>
      </c>
      <c r="H1797" t="str">
        <f>"40817810816991442617"</f>
        <v>40817810816991442617</v>
      </c>
      <c r="I1797" t="str">
        <f>"8598"</f>
        <v>8598</v>
      </c>
      <c r="J1797" t="str">
        <f>"0376"</f>
        <v>0376</v>
      </c>
      <c r="K1797" t="str">
        <f t="shared" si="316"/>
        <v>0.00</v>
      </c>
      <c r="L1797" t="str">
        <f>"453118 РЕСП БАШКОРТОСТАН   Г СТЕРЛИТАМАК   ТРАКТ РАЕВСКИЙ д. 1"</f>
        <v>453118 РЕСП БАШКОРТОСТАН   Г СТЕРЛИТАМАК   ТРАКТ РАЕВСКИЙ д. 1</v>
      </c>
      <c r="M1797" t="str">
        <f t="shared" si="314"/>
        <v>2019-08-24</v>
      </c>
      <c r="N1797" t="str">
        <f>"ООО КОРПОРАЦИЯКРЕПС"</f>
        <v>ООО КОРПОРАЦИЯКРЕПС</v>
      </c>
      <c r="O1797" t="str">
        <f>"450000"</f>
        <v>450000</v>
      </c>
      <c r="P1797" t="str">
        <f>"РЕСП БАШКОРТОСТАН"</f>
        <v>РЕСП БАШКОРТОСТАН</v>
      </c>
      <c r="Q1797" t="str">
        <f>""</f>
        <v/>
      </c>
      <c r="R1797" t="str">
        <f>"Г СТЕРЛИТАМАК"</f>
        <v>Г СТЕРЛИТАМАК</v>
      </c>
      <c r="S1797" t="str">
        <f>""</f>
        <v/>
      </c>
      <c r="T1797" t="str">
        <f>"УЛ ЭЛЕВАТОРНАЯ"</f>
        <v>УЛ ЭЛЕВАТОРНАЯ</v>
      </c>
      <c r="U1797" s="1" t="str">
        <f>"100"</f>
        <v>100</v>
      </c>
      <c r="V1797" s="1" t="str">
        <f>""</f>
        <v/>
      </c>
      <c r="W1797" s="1" t="str">
        <f>""</f>
        <v/>
      </c>
      <c r="X1797" s="1" t="str">
        <f>""</f>
        <v/>
      </c>
      <c r="Y1797" s="1" t="str">
        <f>"19"</f>
        <v>19</v>
      </c>
      <c r="Z1797" t="str">
        <f>""</f>
        <v/>
      </c>
      <c r="AA1797" t="str">
        <f>"+7 (3473) 435183"</f>
        <v>+7 (3473) 435183</v>
      </c>
      <c r="AB1797" t="str">
        <f>"+7 (987) 0480252"</f>
        <v>+7 (987) 0480252</v>
      </c>
      <c r="AC1797" t="str">
        <f>"9870480252"</f>
        <v>9870480252</v>
      </c>
      <c r="AD1797" t="str">
        <f>"9870480252"</f>
        <v>9870480252</v>
      </c>
      <c r="AE1797" t="str">
        <f>""</f>
        <v/>
      </c>
    </row>
    <row r="1798" spans="1:31" x14ac:dyDescent="0.45">
      <c r="A1798" t="str">
        <f>"БРЫКОВА ЕЛЕНА ВАЛЕНТИНОВНА"</f>
        <v>БРЫКОВА ЕЛЕНА ВАЛЕНТИНОВНА</v>
      </c>
      <c r="B1798" t="str">
        <f>"1963-12-31"</f>
        <v>1963-12-31</v>
      </c>
      <c r="C1798" t="str">
        <f>"75 08 420677"</f>
        <v>75 08 420677</v>
      </c>
      <c r="D1798" t="str">
        <f>"4854630423289167"</f>
        <v>4854630423289167</v>
      </c>
      <c r="E1798" t="str">
        <f t="shared" si="315"/>
        <v>2021-04-30</v>
      </c>
      <c r="F1798" t="str">
        <f t="shared" ref="F1798:G1801" si="317">"+"</f>
        <v>+</v>
      </c>
      <c r="G1798" t="str">
        <f t="shared" si="317"/>
        <v>+</v>
      </c>
      <c r="H1798" t="str">
        <f>"40817810516991442629"</f>
        <v>40817810516991442629</v>
      </c>
      <c r="I1798" t="str">
        <f>"8597"</f>
        <v>8597</v>
      </c>
      <c r="J1798" t="str">
        <f>"0294"</f>
        <v>0294</v>
      </c>
      <c r="K1798" t="str">
        <f>"20000.00"</f>
        <v>20000.00</v>
      </c>
      <c r="L1798" t="str">
        <f>"454000 ОБЛ ЧЕЛЯБИНСКАЯ   Г ЧЕЛЯБИНСК   УЛ ВОРОШИЛОВА д. 37 кв. 56"</f>
        <v>454000 ОБЛ ЧЕЛЯБИНСКАЯ   Г ЧЕЛЯБИНСК   УЛ ВОРОШИЛОВА д. 37 кв. 56</v>
      </c>
      <c r="M1798" t="str">
        <f t="shared" si="314"/>
        <v>2019-08-24</v>
      </c>
      <c r="N1798" t="str">
        <f>"ИП БРЫКОВА"</f>
        <v>ИП БРЫКОВА</v>
      </c>
      <c r="O1798" t="str">
        <f>"454000"</f>
        <v>454000</v>
      </c>
      <c r="P1798" t="str">
        <f>"ОБЛ ЧЕЛЯБИНСКАЯ"</f>
        <v>ОБЛ ЧЕЛЯБИНСКАЯ</v>
      </c>
      <c r="Q1798" t="str">
        <f>""</f>
        <v/>
      </c>
      <c r="R1798" t="str">
        <f>"Г ЧЕЛЯБИНСК"</f>
        <v>Г ЧЕЛЯБИНСК</v>
      </c>
      <c r="S1798" t="str">
        <f>""</f>
        <v/>
      </c>
      <c r="T1798" t="str">
        <f>"УЛ ВОРОШИЛОВА"</f>
        <v>УЛ ВОРОШИЛОВА</v>
      </c>
      <c r="U1798" s="1" t="str">
        <f>"37"</f>
        <v>37</v>
      </c>
      <c r="V1798" s="1" t="str">
        <f>""</f>
        <v/>
      </c>
      <c r="W1798" s="1" t="str">
        <f>""</f>
        <v/>
      </c>
      <c r="X1798" s="1" t="str">
        <f>""</f>
        <v/>
      </c>
      <c r="Y1798" s="1" t="str">
        <f>"56"</f>
        <v>56</v>
      </c>
      <c r="Z1798" t="str">
        <f>"3512626124"</f>
        <v>3512626124</v>
      </c>
      <c r="AA1798" t="str">
        <f>"9085877890"</f>
        <v>9085877890</v>
      </c>
      <c r="AB1798" t="str">
        <f>"9128989883"</f>
        <v>9128989883</v>
      </c>
      <c r="AC1798" t="str">
        <f>"9085877890"</f>
        <v>9085877890</v>
      </c>
      <c r="AD1798" t="str">
        <f>"9128989883"</f>
        <v>9128989883</v>
      </c>
      <c r="AE1798" t="str">
        <f>""</f>
        <v/>
      </c>
    </row>
    <row r="1799" spans="1:31" x14ac:dyDescent="0.45">
      <c r="A1799" t="str">
        <f>"ЗВЕРЕВА ЕЛЕНА ИВАНОВНА"</f>
        <v>ЗВЕРЕВА ЕЛЕНА ИВАНОВНА</v>
      </c>
      <c r="B1799" t="str">
        <f>"1966-07-07"</f>
        <v>1966-07-07</v>
      </c>
      <c r="C1799" t="str">
        <f>"80 11 398924"</f>
        <v>80 11 398924</v>
      </c>
      <c r="D1799" t="str">
        <f>"4854630395264743"</f>
        <v>4854630395264743</v>
      </c>
      <c r="E1799" t="str">
        <f t="shared" si="315"/>
        <v>2021-04-30</v>
      </c>
      <c r="F1799" t="str">
        <f t="shared" si="317"/>
        <v>+</v>
      </c>
      <c r="G1799" t="str">
        <f t="shared" si="317"/>
        <v>+</v>
      </c>
      <c r="H1799" t="str">
        <f>"40817810916991442630"</f>
        <v>40817810916991442630</v>
      </c>
      <c r="I1799" t="str">
        <f>"8598"</f>
        <v>8598</v>
      </c>
      <c r="J1799" t="str">
        <f>"0373"</f>
        <v>0373</v>
      </c>
      <c r="K1799" t="str">
        <f>"100000.00"</f>
        <v>100000.00</v>
      </c>
      <c r="L1799" t="str">
        <f>"453103 РЕСП БАШКОРТОСТАН   Г СТЕРЛИТАМАК   УЛ ЭЛЕВАТОРНАЯ д. 37"</f>
        <v>453103 РЕСП БАШКОРТОСТАН   Г СТЕРЛИТАМАК   УЛ ЭЛЕВАТОРНАЯ д. 37</v>
      </c>
      <c r="M1799" t="str">
        <f t="shared" si="314"/>
        <v>2019-08-24</v>
      </c>
      <c r="N1799" t="str">
        <f>"НПО СТАНКОСТРОЕНИЕ"</f>
        <v>НПО СТАНКОСТРОЕНИЕ</v>
      </c>
      <c r="O1799" t="str">
        <f>"453103"</f>
        <v>453103</v>
      </c>
      <c r="P1799" t="str">
        <f>"РЕСП БАШКОРТОСТАН"</f>
        <v>РЕСП БАШКОРТОСТАН</v>
      </c>
      <c r="Q1799" t="str">
        <f>""</f>
        <v/>
      </c>
      <c r="R1799" t="str">
        <f>"Г СТЕРЛИТАМАК"</f>
        <v>Г СТЕРЛИТАМАК</v>
      </c>
      <c r="S1799" t="str">
        <f>""</f>
        <v/>
      </c>
      <c r="T1799" t="str">
        <f>"УЛ ВОЛОЧАЕВСКАЯ"</f>
        <v>УЛ ВОЛОЧАЕВСКАЯ</v>
      </c>
      <c r="U1799" s="1" t="str">
        <f>"6"</f>
        <v>6</v>
      </c>
      <c r="V1799" s="1" t="str">
        <f>""</f>
        <v/>
      </c>
      <c r="W1799" s="1" t="str">
        <f>""</f>
        <v/>
      </c>
      <c r="X1799" s="1" t="str">
        <f>""</f>
        <v/>
      </c>
      <c r="Y1799" s="1" t="str">
        <f>"102"</f>
        <v>102</v>
      </c>
      <c r="Z1799" t="str">
        <f>"3473432236"</f>
        <v>3473432236</v>
      </c>
      <c r="AA1799" t="str">
        <f>"3473435862"</f>
        <v>3473435862</v>
      </c>
      <c r="AB1799" t="str">
        <f>"9191542556"</f>
        <v>9191542556</v>
      </c>
      <c r="AC1799" t="str">
        <f>"9191542556"</f>
        <v>9191542556</v>
      </c>
      <c r="AD1799" t="str">
        <f>"9191542556"</f>
        <v>9191542556</v>
      </c>
      <c r="AE1799" t="str">
        <f>""</f>
        <v/>
      </c>
    </row>
    <row r="1800" spans="1:31" x14ac:dyDescent="0.45">
      <c r="A1800" t="str">
        <f>"ГАВРИКОВА ЕЛЕНА КОНСТАНТИНОВНА"</f>
        <v>ГАВРИКОВА ЕЛЕНА КОНСТАНТИНОВНА</v>
      </c>
      <c r="B1800" t="str">
        <f>"1954-05-14"</f>
        <v>1954-05-14</v>
      </c>
      <c r="C1800" t="str">
        <f>"80 03 239950"</f>
        <v>80 03 239950</v>
      </c>
      <c r="D1800" t="str">
        <f>"4854630356562143"</f>
        <v>4854630356562143</v>
      </c>
      <c r="E1800" t="str">
        <f t="shared" si="315"/>
        <v>2021-04-30</v>
      </c>
      <c r="F1800" t="str">
        <f t="shared" si="317"/>
        <v>+</v>
      </c>
      <c r="G1800" t="str">
        <f t="shared" si="317"/>
        <v>+</v>
      </c>
      <c r="H1800" t="str">
        <f>"40817810216991442631"</f>
        <v>40817810216991442631</v>
      </c>
      <c r="I1800" t="str">
        <f>"8598"</f>
        <v>8598</v>
      </c>
      <c r="J1800" t="str">
        <f>"0195"</f>
        <v>0195</v>
      </c>
      <c r="K1800" t="str">
        <f>"15000.00"</f>
        <v>15000.00</v>
      </c>
      <c r="L1800" t="str">
        <f>"450000 РЕСП БАШКОРТОСТАН Р-Н ИГЛИНСКИЙ   С КУДЕЕВСКИЙ УЛ ГОГОЛЯ д. 26"</f>
        <v>450000 РЕСП БАШКОРТОСТАН Р-Н ИГЛИНСКИЙ   С КУДЕЕВСКИЙ УЛ ГОГОЛЯ д. 26</v>
      </c>
      <c r="M1800" t="str">
        <f t="shared" si="314"/>
        <v>2019-08-24</v>
      </c>
      <c r="N1800" t="str">
        <f>"ПЕНСИОНЕР"</f>
        <v>ПЕНСИОНЕР</v>
      </c>
      <c r="O1800" t="str">
        <f>"450000"</f>
        <v>450000</v>
      </c>
      <c r="P1800" t="str">
        <f>"РЕСП БАШКОРТОСТАН"</f>
        <v>РЕСП БАШКОРТОСТАН</v>
      </c>
      <c r="Q1800" t="str">
        <f>"Р-Н ИГЛИНСКИЙ"</f>
        <v>Р-Н ИГЛИНСКИЙ</v>
      </c>
      <c r="R1800" t="str">
        <f>""</f>
        <v/>
      </c>
      <c r="S1800" t="str">
        <f>"С КУДЕЕВСКИЙ"</f>
        <v>С КУДЕЕВСКИЙ</v>
      </c>
      <c r="T1800" t="str">
        <f>"УЛ ГОГОЛЯ"</f>
        <v>УЛ ГОГОЛЯ</v>
      </c>
      <c r="U1800" s="1" t="str">
        <f>"26"</f>
        <v>26</v>
      </c>
      <c r="V1800" s="1" t="str">
        <f>""</f>
        <v/>
      </c>
      <c r="W1800" s="1" t="str">
        <f>""</f>
        <v/>
      </c>
      <c r="X1800" s="1" t="str">
        <f>""</f>
        <v/>
      </c>
      <c r="Y1800" s="1" t="str">
        <f>""</f>
        <v/>
      </c>
      <c r="Z1800" t="str">
        <f>"3472000000"</f>
        <v>3472000000</v>
      </c>
      <c r="AA1800" t="str">
        <f>"+7 (906) 3754841"</f>
        <v>+7 (906) 3754841</v>
      </c>
      <c r="AB1800" t="str">
        <f>"+7 (906) 3754841"</f>
        <v>+7 (906) 3754841</v>
      </c>
      <c r="AC1800" t="str">
        <f>"3472000000"</f>
        <v>3472000000</v>
      </c>
      <c r="AD1800" t="str">
        <f>"9063754841"</f>
        <v>9063754841</v>
      </c>
      <c r="AE1800" t="str">
        <f>"3472000000"</f>
        <v>3472000000</v>
      </c>
    </row>
    <row r="1801" spans="1:31" x14ac:dyDescent="0.45">
      <c r="A1801" t="str">
        <f>"СЕРПКОВ ИВАН ИВАНОВИЧ"</f>
        <v>СЕРПКОВ ИВАН ИВАНОВИЧ</v>
      </c>
      <c r="B1801" t="str">
        <f>"1981-08-17"</f>
        <v>1981-08-17</v>
      </c>
      <c r="C1801" t="str">
        <f>"75 00 802141"</f>
        <v>75 00 802141</v>
      </c>
      <c r="D1801" t="str">
        <f>"4854630420106489"</f>
        <v>4854630420106489</v>
      </c>
      <c r="E1801" t="str">
        <f t="shared" si="315"/>
        <v>2021-04-30</v>
      </c>
      <c r="F1801" t="str">
        <f t="shared" si="317"/>
        <v>+</v>
      </c>
      <c r="G1801" t="str">
        <f t="shared" si="317"/>
        <v>+</v>
      </c>
      <c r="H1801" t="str">
        <f>"40817810816991470391"</f>
        <v>40817810816991470391</v>
      </c>
      <c r="I1801" t="str">
        <f>"8597"</f>
        <v>8597</v>
      </c>
      <c r="J1801" t="str">
        <f>"0464"</f>
        <v>0464</v>
      </c>
      <c r="K1801" t="str">
        <f>"195000.00"</f>
        <v>195000.00</v>
      </c>
      <c r="L1801" t="str">
        <f>"457020 ОБЛ МАГАДАНСКАЯ Р-Н ТЕНЬКИНСКИЙ   П/СТ ОМЧАК УЛ КПП"</f>
        <v>457020 ОБЛ МАГАДАНСКАЯ Р-Н ТЕНЬКИНСКИЙ   П/СТ ОМЧАК УЛ КПП</v>
      </c>
      <c r="M1801" t="str">
        <f t="shared" si="314"/>
        <v>2019-08-24</v>
      </c>
      <c r="N1801" t="str">
        <f>"67095138"</f>
        <v>67095138</v>
      </c>
      <c r="O1801" t="str">
        <f>"454000"</f>
        <v>454000</v>
      </c>
      <c r="P1801" t="str">
        <f>"ОБЛ ЧЕЛЯБИНСКАЯ"</f>
        <v>ОБЛ ЧЕЛЯБИНСКАЯ</v>
      </c>
      <c r="Q1801" t="str">
        <f>"Р-Н ПЛАСТОВСКИЙ"</f>
        <v>Р-Н ПЛАСТОВСКИЙ</v>
      </c>
      <c r="R1801" t="str">
        <f>"Г ПЛАСТ"</f>
        <v>Г ПЛАСТ</v>
      </c>
      <c r="S1801" t="str">
        <f>""</f>
        <v/>
      </c>
      <c r="T1801" t="str">
        <f>"УЛ ОСТРОВСКОГО"</f>
        <v>УЛ ОСТРОВСКОГО</v>
      </c>
      <c r="U1801" s="1" t="str">
        <f>"3"</f>
        <v>3</v>
      </c>
      <c r="V1801" s="1" t="str">
        <f>""</f>
        <v/>
      </c>
      <c r="W1801" s="1" t="str">
        <f>""</f>
        <v/>
      </c>
      <c r="X1801" s="1" t="str">
        <f>""</f>
        <v/>
      </c>
      <c r="Y1801" s="1" t="str">
        <f>""</f>
        <v/>
      </c>
      <c r="Z1801" t="str">
        <f>"9140331914"</f>
        <v>9140331914</v>
      </c>
      <c r="AA1801" t="str">
        <f>"9140331914"</f>
        <v>9140331914</v>
      </c>
      <c r="AB1801" t="str">
        <f>"9140331914"</f>
        <v>9140331914</v>
      </c>
      <c r="AC1801" t="str">
        <f>"9140331914"</f>
        <v>9140331914</v>
      </c>
      <c r="AD1801" t="str">
        <f>"9140331914"</f>
        <v>9140331914</v>
      </c>
      <c r="AE1801" t="str">
        <f>"9140331914"</f>
        <v>9140331914</v>
      </c>
    </row>
    <row r="1802" spans="1:31" x14ac:dyDescent="0.45">
      <c r="A1802" t="str">
        <f>"ЛУТФУЛЛИНА АЛЕНА АЛЕКСАНДРОВНА"</f>
        <v>ЛУТФУЛЛИНА АЛЕНА АЛЕКСАНДРОВНА</v>
      </c>
      <c r="B1802" t="str">
        <f>"1987-01-15"</f>
        <v>1987-01-15</v>
      </c>
      <c r="C1802" t="str">
        <f>"65 11 202562"</f>
        <v>65 11 202562</v>
      </c>
      <c r="D1802" t="str">
        <f>"4276011607375728"</f>
        <v>4276011607375728</v>
      </c>
      <c r="E1802" t="str">
        <f>"2022-08-31"</f>
        <v>2022-08-31</v>
      </c>
      <c r="F1802" t="str">
        <f>"H"</f>
        <v>H</v>
      </c>
      <c r="G1802" t="str">
        <f>"+"</f>
        <v>+</v>
      </c>
      <c r="H1802" t="str">
        <f>"40817810916991470440"</f>
        <v>40817810916991470440</v>
      </c>
      <c r="I1802" t="str">
        <f>"7003"</f>
        <v>7003</v>
      </c>
      <c r="J1802" t="str">
        <f>"0897"</f>
        <v>0897</v>
      </c>
      <c r="K1802" t="str">
        <f>"33000.00"</f>
        <v>33000.00</v>
      </c>
      <c r="L1802" t="str">
        <f>"620000 ОБЛ СВЕРДЛОВСКАЯ   Г ЕКАТЕРИНБУРГ   ПЕР ПОЛИМЕРНЫЙ д. 4"</f>
        <v>620000 ОБЛ СВЕРДЛОВСКАЯ   Г ЕКАТЕРИНБУРГ   ПЕР ПОЛИМЕРНЫЙ д. 4</v>
      </c>
      <c r="M1802" t="str">
        <f t="shared" si="314"/>
        <v>2019-08-24</v>
      </c>
      <c r="N1802" t="str">
        <f>"АО КОМЭНЕРГО"</f>
        <v>АО КОМЭНЕРГО</v>
      </c>
      <c r="O1802" t="str">
        <f>"620000"</f>
        <v>620000</v>
      </c>
      <c r="P1802" t="str">
        <f>"ОБЛ СВЕРДЛОВСКАЯ"</f>
        <v>ОБЛ СВЕРДЛОВСКАЯ</v>
      </c>
      <c r="Q1802" t="str">
        <f>""</f>
        <v/>
      </c>
      <c r="R1802" t="str">
        <f>"Г ЕКАТЕРИНБУРГА"</f>
        <v>Г ЕКАТЕРИНБУРГА</v>
      </c>
      <c r="S1802" t="str">
        <f>""</f>
        <v/>
      </c>
      <c r="T1802" t="str">
        <f>"УЛ ПОБЕДЫ"</f>
        <v>УЛ ПОБЕДЫ</v>
      </c>
      <c r="U1802" s="1" t="str">
        <f>"10"</f>
        <v>10</v>
      </c>
      <c r="V1802" s="1" t="str">
        <f>""</f>
        <v/>
      </c>
      <c r="W1802" s="1" t="str">
        <f>""</f>
        <v/>
      </c>
      <c r="X1802" s="1" t="str">
        <f>""</f>
        <v/>
      </c>
      <c r="Y1802" s="1" t="str">
        <f>"38"</f>
        <v>38</v>
      </c>
      <c r="Z1802" t="str">
        <f>""</f>
        <v/>
      </c>
      <c r="AA1802" t="str">
        <f>"9502035847"</f>
        <v>9502035847</v>
      </c>
      <c r="AB1802" t="str">
        <f>"9502035847"</f>
        <v>9502035847</v>
      </c>
      <c r="AC1802" t="str">
        <f>"9502035847"</f>
        <v>9502035847</v>
      </c>
      <c r="AD1802" t="str">
        <f>"9502035847"</f>
        <v>9502035847</v>
      </c>
      <c r="AE1802" t="str">
        <f>""</f>
        <v/>
      </c>
    </row>
    <row r="1803" spans="1:31" x14ac:dyDescent="0.45">
      <c r="A1803" t="str">
        <f>"ТРУСОВ АНДРЕЙ ЛЕОНИДОВИЧ"</f>
        <v>ТРУСОВ АНДРЕЙ ЛЕОНИДОВИЧ</v>
      </c>
      <c r="B1803" t="str">
        <f>"1970-05-07"</f>
        <v>1970-05-07</v>
      </c>
      <c r="C1803" t="str">
        <f>"37 14 613186"</f>
        <v>37 14 613186</v>
      </c>
      <c r="D1803" t="str">
        <f>"4854630408879925"</f>
        <v>4854630408879925</v>
      </c>
      <c r="E1803" t="str">
        <f>"2021-04-30"</f>
        <v>2021-04-30</v>
      </c>
      <c r="F1803" t="str">
        <f>"+"</f>
        <v>+</v>
      </c>
      <c r="G1803" t="str">
        <f>"+"</f>
        <v>+</v>
      </c>
      <c r="H1803" t="str">
        <f>"40817810216991470441"</f>
        <v>40817810216991470441</v>
      </c>
      <c r="I1803" t="str">
        <f>"8599"</f>
        <v>8599</v>
      </c>
      <c r="J1803" t="str">
        <f>"0096"</f>
        <v>0096</v>
      </c>
      <c r="K1803" t="str">
        <f>"105000.00"</f>
        <v>105000.00</v>
      </c>
      <c r="L1803" t="str">
        <f>"641210 ОБЛ КУРГАНСКАЯ Р-Н ЮРГАМЫШСКИЙ   П НОВЫЙ МИР УЛ НЕФТЯНИКОВ д. 44"</f>
        <v>641210 ОБЛ КУРГАНСКАЯ Р-Н ЮРГАМЫШСКИЙ   П НОВЫЙ МИР УЛ НЕФТЯНИКОВ д. 44</v>
      </c>
      <c r="M1803" t="str">
        <f t="shared" si="314"/>
        <v>2019-08-24</v>
      </c>
      <c r="N1803" t="str">
        <f>"ИП ТРУСОВ АНДРЕЙ ЛЕОНИДОВИЧ"</f>
        <v>ИП ТРУСОВ АНДРЕЙ ЛЕОНИДОВИЧ</v>
      </c>
      <c r="O1803" t="str">
        <f>"641210"</f>
        <v>641210</v>
      </c>
      <c r="P1803" t="str">
        <f>"ОБЛ КУРГАНСКАЯ"</f>
        <v>ОБЛ КУРГАНСКАЯ</v>
      </c>
      <c r="Q1803" t="str">
        <f>"Р-Н ЮРГАМЫШСКИЙ"</f>
        <v>Р-Н ЮРГАМЫШСКИЙ</v>
      </c>
      <c r="R1803" t="str">
        <f>""</f>
        <v/>
      </c>
      <c r="S1803" t="str">
        <f>"П НОВЫЙ МИР"</f>
        <v>П НОВЫЙ МИР</v>
      </c>
      <c r="T1803" t="str">
        <f>"УЛ НЕФТЯНИКОВ"</f>
        <v>УЛ НЕФТЯНИКОВ</v>
      </c>
      <c r="U1803" s="1" t="str">
        <f>"44"</f>
        <v>44</v>
      </c>
      <c r="V1803" s="1" t="str">
        <f>""</f>
        <v/>
      </c>
      <c r="W1803" s="1" t="str">
        <f>""</f>
        <v/>
      </c>
      <c r="X1803" s="1" t="str">
        <f>""</f>
        <v/>
      </c>
      <c r="Y1803" s="1" t="str">
        <f>""</f>
        <v/>
      </c>
      <c r="Z1803" t="str">
        <f>"9195734249"</f>
        <v>9195734249</v>
      </c>
      <c r="AA1803" t="str">
        <f>"9195734249"</f>
        <v>9195734249</v>
      </c>
      <c r="AB1803" t="str">
        <f>"9195734249"</f>
        <v>9195734249</v>
      </c>
      <c r="AC1803" t="str">
        <f>"9195734249"</f>
        <v>9195734249</v>
      </c>
      <c r="AD1803" t="str">
        <f>"9195734249"</f>
        <v>9195734249</v>
      </c>
      <c r="AE1803" t="str">
        <f>"9195734249"</f>
        <v>9195734249</v>
      </c>
    </row>
    <row r="1804" spans="1:31" x14ac:dyDescent="0.45">
      <c r="A1804" t="str">
        <f>"ПОДБЕЛЬНАЯ НАТАЛЬЯ НИКОЛАЕВНА"</f>
        <v>ПОДБЕЛЬНАЯ НАТАЛЬЯ НИКОЛАЕВНА</v>
      </c>
      <c r="B1804" t="str">
        <f>"1960-02-24"</f>
        <v>1960-02-24</v>
      </c>
      <c r="C1804" t="str">
        <f>"75 04 595771"</f>
        <v>75 04 595771</v>
      </c>
      <c r="D1804" t="str">
        <f>"4854630408144825"</f>
        <v>4854630408144825</v>
      </c>
      <c r="E1804" t="str">
        <f>"2021-04-30"</f>
        <v>2021-04-30</v>
      </c>
      <c r="F1804" t="str">
        <f>"+"</f>
        <v>+</v>
      </c>
      <c r="G1804" t="str">
        <f>"+"</f>
        <v>+</v>
      </c>
      <c r="H1804" t="str">
        <f>"40817810516991470442"</f>
        <v>40817810516991470442</v>
      </c>
      <c r="I1804" t="str">
        <f>"8597"</f>
        <v>8597</v>
      </c>
      <c r="J1804" t="str">
        <f>"0270"</f>
        <v>0270</v>
      </c>
      <c r="K1804" t="str">
        <f>"14000.00"</f>
        <v>14000.00</v>
      </c>
      <c r="L1804" t="str">
        <f>"454000 ОБЛ ЧЕЛЯБИНСКАЯ   Г ЧЕЛЯБИНСК   УЛ СОНИ КРИВОЙ д. 51 кв. 32"</f>
        <v>454000 ОБЛ ЧЕЛЯБИНСКАЯ   Г ЧЕЛЯБИНСК   УЛ СОНИ КРИВОЙ д. 51 кв. 32</v>
      </c>
      <c r="M1804" t="str">
        <f t="shared" si="314"/>
        <v>2019-08-24</v>
      </c>
      <c r="N1804" t="str">
        <f>"-"</f>
        <v>-</v>
      </c>
      <c r="O1804" t="str">
        <f>"454000"</f>
        <v>454000</v>
      </c>
      <c r="P1804" t="str">
        <f>"ОБЛ ЧЕЛЯБИНСКАЯ"</f>
        <v>ОБЛ ЧЕЛЯБИНСКАЯ</v>
      </c>
      <c r="Q1804" t="str">
        <f>""</f>
        <v/>
      </c>
      <c r="R1804" t="str">
        <f>"Г ЧЕЛЯБИНСК"</f>
        <v>Г ЧЕЛЯБИНСК</v>
      </c>
      <c r="S1804" t="str">
        <f>""</f>
        <v/>
      </c>
      <c r="T1804" t="str">
        <f>"УЛ СОНИ КРИВОЙ"</f>
        <v>УЛ СОНИ КРИВОЙ</v>
      </c>
      <c r="U1804" s="1" t="str">
        <f>"51"</f>
        <v>51</v>
      </c>
      <c r="V1804" s="1" t="str">
        <f>""</f>
        <v/>
      </c>
      <c r="W1804" s="1" t="str">
        <f>""</f>
        <v/>
      </c>
      <c r="X1804" s="1" t="str">
        <f>""</f>
        <v/>
      </c>
      <c r="Y1804" s="1" t="str">
        <f>"32"</f>
        <v>32</v>
      </c>
      <c r="Z1804" t="str">
        <f>""</f>
        <v/>
      </c>
      <c r="AA1804" t="str">
        <f>"9525166224"</f>
        <v>9525166224</v>
      </c>
      <c r="AB1804" t="str">
        <f>"9124701554"</f>
        <v>9124701554</v>
      </c>
      <c r="AC1804" t="str">
        <f>"9525166224"</f>
        <v>9525166224</v>
      </c>
      <c r="AD1804" t="str">
        <f>"9124701554"</f>
        <v>9124701554</v>
      </c>
      <c r="AE1804" t="str">
        <f>""</f>
        <v/>
      </c>
    </row>
    <row r="1805" spans="1:31" x14ac:dyDescent="0.45">
      <c r="A1805" t="str">
        <f>"ВАРДУГИНА НАДЕЖДА НИКОЛАЕВНА"</f>
        <v>ВАРДУГИНА НАДЕЖДА НИКОЛАЕВНА</v>
      </c>
      <c r="B1805" t="str">
        <f>"1954-12-01"</f>
        <v>1954-12-01</v>
      </c>
      <c r="C1805" t="str">
        <f>"71 03 909555"</f>
        <v>71 03 909555</v>
      </c>
      <c r="D1805" t="str">
        <f>"4854630106047429"</f>
        <v>4854630106047429</v>
      </c>
      <c r="E1805" t="str">
        <f>"2021-05-31"</f>
        <v>2021-05-31</v>
      </c>
      <c r="F1805" t="str">
        <f>"+"</f>
        <v>+</v>
      </c>
      <c r="G1805" t="str">
        <f>"+"</f>
        <v>+</v>
      </c>
      <c r="H1805" t="str">
        <f>"40817810816992193981"</f>
        <v>40817810816992193981</v>
      </c>
      <c r="I1805" t="str">
        <f>"8647"</f>
        <v>8647</v>
      </c>
      <c r="J1805" t="str">
        <f>"0096"</f>
        <v>0096</v>
      </c>
      <c r="K1805" t="str">
        <f>"50000.00"</f>
        <v>50000.00</v>
      </c>
      <c r="L1805" t="str">
        <f>"625007 ОБЛ ТЮМЕНСКАЯ   Г ТЮМЕНЬ   УЛ ШИРОТНАЯ д. 25 кв. 80"</f>
        <v>625007 ОБЛ ТЮМЕНСКАЯ   Г ТЮМЕНЬ   УЛ ШИРОТНАЯ д. 25 кв. 80</v>
      </c>
      <c r="M1805" t="str">
        <f t="shared" si="314"/>
        <v>2019-08-24</v>
      </c>
      <c r="N1805" t="str">
        <f>"ПЕНСИОНЕР"</f>
        <v>ПЕНСИОНЕР</v>
      </c>
      <c r="O1805" t="str">
        <f>"625007"</f>
        <v>625007</v>
      </c>
      <c r="P1805" t="str">
        <f>"ОБЛ ТЮМЕНСКАЯ"</f>
        <v>ОБЛ ТЮМЕНСКАЯ</v>
      </c>
      <c r="Q1805" t="str">
        <f>""</f>
        <v/>
      </c>
      <c r="R1805" t="str">
        <f>"Г ТЮМЕНЬ"</f>
        <v>Г ТЮМЕНЬ</v>
      </c>
      <c r="S1805" t="str">
        <f>""</f>
        <v/>
      </c>
      <c r="T1805" t="str">
        <f>"УЛ ШИРОТНАЯ"</f>
        <v>УЛ ШИРОТНАЯ</v>
      </c>
      <c r="U1805" s="1" t="str">
        <f>"25"</f>
        <v>25</v>
      </c>
      <c r="V1805" s="1" t="str">
        <f>""</f>
        <v/>
      </c>
      <c r="W1805" s="1" t="str">
        <f>""</f>
        <v/>
      </c>
      <c r="X1805" s="1" t="str">
        <f>""</f>
        <v/>
      </c>
      <c r="Y1805" s="1" t="str">
        <f>"80"</f>
        <v>80</v>
      </c>
      <c r="Z1805" t="str">
        <f>""</f>
        <v/>
      </c>
      <c r="AA1805" t="str">
        <f>"3452369992"</f>
        <v>3452369992</v>
      </c>
      <c r="AB1805" t="str">
        <f>"9044739575"</f>
        <v>9044739575</v>
      </c>
      <c r="AC1805" t="str">
        <f>"3452369992"</f>
        <v>3452369992</v>
      </c>
      <c r="AD1805" t="str">
        <f>"9044739575"</f>
        <v>9044739575</v>
      </c>
      <c r="AE1805" t="str">
        <f>""</f>
        <v/>
      </c>
    </row>
    <row r="1806" spans="1:31" x14ac:dyDescent="0.45">
      <c r="A1806" t="str">
        <f>"ЛЕОНТЬЕВ ЕВГЕНИЙ ВАСИЛЬЕВИЧ"</f>
        <v>ЛЕОНТЬЕВ ЕВГЕНИЙ ВАСИЛЬЕВИЧ</v>
      </c>
      <c r="B1806" t="str">
        <f>"1957-09-28"</f>
        <v>1957-09-28</v>
      </c>
      <c r="C1806" t="str">
        <f>"65 03 588535"</f>
        <v>65 03 588535</v>
      </c>
      <c r="D1806" t="str">
        <f>"4854630414304223"</f>
        <v>4854630414304223</v>
      </c>
      <c r="E1806" t="str">
        <f>"2021-05-31"</f>
        <v>2021-05-31</v>
      </c>
      <c r="F1806" t="str">
        <f>"Q"</f>
        <v>Q</v>
      </c>
      <c r="G1806" t="str">
        <f>"Q"</f>
        <v>Q</v>
      </c>
      <c r="H1806" t="str">
        <f>"40817810816991470443"</f>
        <v>40817810816991470443</v>
      </c>
      <c r="I1806" t="str">
        <f>"7003"</f>
        <v>7003</v>
      </c>
      <c r="J1806" t="str">
        <f>"0362"</f>
        <v>0362</v>
      </c>
      <c r="K1806" t="str">
        <f>"0.00"</f>
        <v>0.00</v>
      </c>
      <c r="L1806" t="str">
        <f>"620000 ОБЛ СВЕРДЛОВСКАЯ   Г ЕКАТЕРИНБУРГ   УЛ ТАГАНСКАЯ д. 51 кв. 28"</f>
        <v>620000 ОБЛ СВЕРДЛОВСКАЯ   Г ЕКАТЕРИНБУРГ   УЛ ТАГАНСКАЯ д. 51 кв. 28</v>
      </c>
      <c r="M1806" t="str">
        <f t="shared" si="314"/>
        <v>2019-08-24</v>
      </c>
      <c r="N1806" t="str">
        <f>"ПФР"</f>
        <v>ПФР</v>
      </c>
      <c r="O1806" t="str">
        <f>"620000"</f>
        <v>620000</v>
      </c>
      <c r="P1806" t="str">
        <f>"ОБЛ СВЕРДЛОВСКАЯ"</f>
        <v>ОБЛ СВЕРДЛОВСКАЯ</v>
      </c>
      <c r="Q1806" t="str">
        <f>""</f>
        <v/>
      </c>
      <c r="R1806" t="str">
        <f>"Г ЕКАТЕРИНБУРГ"</f>
        <v>Г ЕКАТЕРИНБУРГ</v>
      </c>
      <c r="S1806" t="str">
        <f>""</f>
        <v/>
      </c>
      <c r="T1806" t="str">
        <f>"УЛ ТАГАНСКАЯ"</f>
        <v>УЛ ТАГАНСКАЯ</v>
      </c>
      <c r="U1806" s="1" t="str">
        <f>"51"</f>
        <v>51</v>
      </c>
      <c r="V1806" s="1" t="str">
        <f>""</f>
        <v/>
      </c>
      <c r="W1806" s="1" t="str">
        <f>""</f>
        <v/>
      </c>
      <c r="X1806" s="1" t="str">
        <f>""</f>
        <v/>
      </c>
      <c r="Y1806" s="1" t="str">
        <f>"28"</f>
        <v>28</v>
      </c>
      <c r="Z1806" t="str">
        <f>"9222101089"</f>
        <v>9222101089</v>
      </c>
      <c r="AA1806" t="str">
        <f>"9222101089"</f>
        <v>9222101089</v>
      </c>
      <c r="AB1806" t="str">
        <f>"9222101089"</f>
        <v>9222101089</v>
      </c>
      <c r="AC1806" t="str">
        <f>"9222101089"</f>
        <v>9222101089</v>
      </c>
      <c r="AD1806" t="str">
        <f>"9222101089"</f>
        <v>9222101089</v>
      </c>
      <c r="AE1806" t="str">
        <f>"9222101089"</f>
        <v>9222101089</v>
      </c>
    </row>
    <row r="1807" spans="1:31" x14ac:dyDescent="0.45">
      <c r="A1807" t="str">
        <f>"БИРЮКОВА РЕГИНА ИРЕКОВНА"</f>
        <v>БИРЮКОВА РЕГИНА ИРЕКОВНА</v>
      </c>
      <c r="B1807" t="str">
        <f>"1993-04-12"</f>
        <v>1993-04-12</v>
      </c>
      <c r="C1807" t="str">
        <f>"80 13 740626"</f>
        <v>80 13 740626</v>
      </c>
      <c r="D1807" t="str">
        <f>"4854630350216662"</f>
        <v>4854630350216662</v>
      </c>
      <c r="E1807" t="str">
        <f>"2021-04-30"</f>
        <v>2021-04-30</v>
      </c>
      <c r="F1807" t="str">
        <f t="shared" ref="F1807:G1809" si="318">"+"</f>
        <v>+</v>
      </c>
      <c r="G1807" t="str">
        <f t="shared" si="318"/>
        <v>+</v>
      </c>
      <c r="H1807" t="str">
        <f>"40817810116991470444"</f>
        <v>40817810116991470444</v>
      </c>
      <c r="I1807" t="str">
        <f>"8598"</f>
        <v>8598</v>
      </c>
      <c r="J1807" t="str">
        <f>"0611"</f>
        <v>0611</v>
      </c>
      <c r="K1807" t="str">
        <f>"30000.00"</f>
        <v>30000.00</v>
      </c>
      <c r="L1807" t="str">
        <f>"450000 РЕСП БАШКОРТОСТАН   Г ЯНАУЛ   УЛ ЛЕНИНА д. 6"</f>
        <v>450000 РЕСП БАШКОРТОСТАН   Г ЯНАУЛ   УЛ ЛЕНИНА д. 6</v>
      </c>
      <c r="M1807" t="str">
        <f t="shared" si="314"/>
        <v>2019-08-24</v>
      </c>
      <c r="N1807" t="str">
        <f>"ООО ДЕНЕП АПТЕКА ВИТА"</f>
        <v>ООО ДЕНЕП АПТЕКА ВИТА</v>
      </c>
      <c r="O1807" t="str">
        <f>"452800"</f>
        <v>452800</v>
      </c>
      <c r="P1807" t="str">
        <f>"РЕСП БАШКОРТОСТАН"</f>
        <v>РЕСП БАШКОРТОСТАН</v>
      </c>
      <c r="Q1807" t="str">
        <f>""</f>
        <v/>
      </c>
      <c r="R1807" t="str">
        <f>"Г ЯНАУЛ"</f>
        <v>Г ЯНАУЛ</v>
      </c>
      <c r="S1807" t="str">
        <f>""</f>
        <v/>
      </c>
      <c r="T1807" t="str">
        <f>"УЛ ПОБЕДЫ"</f>
        <v>УЛ ПОБЕДЫ</v>
      </c>
      <c r="U1807" s="1" t="str">
        <f>"99"</f>
        <v>99</v>
      </c>
      <c r="V1807" s="1" t="str">
        <f>""</f>
        <v/>
      </c>
      <c r="W1807" s="1" t="str">
        <f>""</f>
        <v/>
      </c>
      <c r="X1807" s="1" t="str">
        <f>""</f>
        <v/>
      </c>
      <c r="Y1807" s="1" t="str">
        <f>"7"</f>
        <v>7</v>
      </c>
      <c r="Z1807" t="str">
        <f>""</f>
        <v/>
      </c>
      <c r="AA1807" t="str">
        <f>"9871094080"</f>
        <v>9871094080</v>
      </c>
      <c r="AB1807" t="str">
        <f>"9870942418"</f>
        <v>9870942418</v>
      </c>
      <c r="AC1807" t="str">
        <f>"9871094080"</f>
        <v>9871094080</v>
      </c>
      <c r="AD1807" t="str">
        <f>"9870942418"</f>
        <v>9870942418</v>
      </c>
      <c r="AE1807" t="str">
        <f>""</f>
        <v/>
      </c>
    </row>
    <row r="1808" spans="1:31" x14ac:dyDescent="0.45">
      <c r="A1808" t="str">
        <f>"КИЛЬМУХАМЕТОВА САФИЯ ХУСНИЯРОВНА"</f>
        <v>КИЛЬМУХАМЕТОВА САФИЯ ХУСНИЯРОВНА</v>
      </c>
      <c r="B1808" t="str">
        <f>"1954-06-16"</f>
        <v>1954-06-16</v>
      </c>
      <c r="C1808" t="str">
        <f>"80 03 037912"</f>
        <v>80 03 037912</v>
      </c>
      <c r="D1808" t="str">
        <f>"4854630203563997"</f>
        <v>4854630203563997</v>
      </c>
      <c r="E1808" t="str">
        <f>"2021-04-30"</f>
        <v>2021-04-30</v>
      </c>
      <c r="F1808" t="str">
        <f t="shared" si="318"/>
        <v>+</v>
      </c>
      <c r="G1808" t="str">
        <f t="shared" si="318"/>
        <v>+</v>
      </c>
      <c r="H1808" t="str">
        <f>"40817810816991470472"</f>
        <v>40817810816991470472</v>
      </c>
      <c r="I1808" t="str">
        <f>"8598"</f>
        <v>8598</v>
      </c>
      <c r="J1808" t="str">
        <f>"0726"</f>
        <v>0726</v>
      </c>
      <c r="K1808" t="str">
        <f>"120000.00"</f>
        <v>120000.00</v>
      </c>
      <c r="L1808" t="str">
        <f>"453830 РЕСП БАШКОРТОСТАН   Г СИБАЙ   УЛ ГОРЬКОГО д. 80 кв. 0"</f>
        <v>453830 РЕСП БАШКОРТОСТАН   Г СИБАЙ   УЛ ГОРЬКОГО д. 80 кв. 0</v>
      </c>
      <c r="M1808" t="str">
        <f t="shared" si="314"/>
        <v>2019-08-24</v>
      </c>
      <c r="N1808" t="str">
        <f>"ПЕНСИОННЫЙ"</f>
        <v>ПЕНСИОННЫЙ</v>
      </c>
      <c r="O1808" t="str">
        <f>"453830"</f>
        <v>453830</v>
      </c>
      <c r="P1808" t="str">
        <f>"РЕСП БАШКОРТОСТАН"</f>
        <v>РЕСП БАШКОРТОСТАН</v>
      </c>
      <c r="Q1808" t="str">
        <f>""</f>
        <v/>
      </c>
      <c r="R1808" t="str">
        <f>"Г СИБАЙ"</f>
        <v>Г СИБАЙ</v>
      </c>
      <c r="S1808" t="str">
        <f>""</f>
        <v/>
      </c>
      <c r="T1808" t="str">
        <f>"УЛ КУЛТУБАНСКАЯ"</f>
        <v>УЛ КУЛТУБАНСКАЯ</v>
      </c>
      <c r="U1808" s="1" t="str">
        <f>"34"</f>
        <v>34</v>
      </c>
      <c r="V1808" s="1" t="str">
        <f>""</f>
        <v/>
      </c>
      <c r="W1808" s="1" t="str">
        <f>""</f>
        <v/>
      </c>
      <c r="X1808" s="1" t="str">
        <f>""</f>
        <v/>
      </c>
      <c r="Y1808" s="1" t="str">
        <f>"0"</f>
        <v>0</v>
      </c>
      <c r="Z1808" t="str">
        <f>""</f>
        <v/>
      </c>
      <c r="AA1808" t="str">
        <f>"3470000000"</f>
        <v>3470000000</v>
      </c>
      <c r="AB1808" t="str">
        <f>"9279479435"</f>
        <v>9279479435</v>
      </c>
      <c r="AC1808" t="str">
        <f>"3470000000"</f>
        <v>3470000000</v>
      </c>
      <c r="AD1808" t="str">
        <f>"9279479435"</f>
        <v>9279479435</v>
      </c>
      <c r="AE1808" t="str">
        <f>""</f>
        <v/>
      </c>
    </row>
    <row r="1809" spans="1:31" x14ac:dyDescent="0.45">
      <c r="A1809" t="str">
        <f>"СЛАВНИЦКАЯ ВЕРА НИКОЛАЕВНА"</f>
        <v>СЛАВНИЦКАЯ ВЕРА НИКОЛАЕВНА</v>
      </c>
      <c r="B1809" t="str">
        <f>"1972-12-30"</f>
        <v>1972-12-30</v>
      </c>
      <c r="C1809" t="str">
        <f>"65 17 570433"</f>
        <v>65 17 570433</v>
      </c>
      <c r="D1809" t="str">
        <f>"4854630362111158"</f>
        <v>4854630362111158</v>
      </c>
      <c r="E1809" t="str">
        <f>"2021-05-31"</f>
        <v>2021-05-31</v>
      </c>
      <c r="F1809" t="str">
        <f t="shared" si="318"/>
        <v>+</v>
      </c>
      <c r="G1809" t="str">
        <f t="shared" si="318"/>
        <v>+</v>
      </c>
      <c r="H1809" t="str">
        <f>"40817810116991470473"</f>
        <v>40817810116991470473</v>
      </c>
      <c r="I1809" t="str">
        <f>"7003"</f>
        <v>7003</v>
      </c>
      <c r="J1809" t="str">
        <f>"0813"</f>
        <v>0813</v>
      </c>
      <c r="K1809" t="str">
        <f>"10000.00"</f>
        <v>10000.00</v>
      </c>
      <c r="L1809" t="str">
        <f>"624480 ОБЛ СВЕРДЛОВСКАЯ   Г СЕВЕРОУРАЛЬСК   УЛ ВАТУТИНА д. 5"</f>
        <v>624480 ОБЛ СВЕРДЛОВСКАЯ   Г СЕВЕРОУРАЛЬСК   УЛ ВАТУТИНА д. 5</v>
      </c>
      <c r="M1809" t="str">
        <f t="shared" si="314"/>
        <v>2019-08-24</v>
      </c>
      <c r="N1809" t="str">
        <f>"ООО РИК"</f>
        <v>ООО РИК</v>
      </c>
      <c r="O1809" t="str">
        <f>"624480"</f>
        <v>624480</v>
      </c>
      <c r="P1809" t="str">
        <f>"ОБЛ СВЕРДЛОВСКАЯ"</f>
        <v>ОБЛ СВЕРДЛОВСКАЯ</v>
      </c>
      <c r="Q1809" t="str">
        <f>""</f>
        <v/>
      </c>
      <c r="R1809" t="str">
        <f>"Г СЕВЕРОУРАЛЬСК"</f>
        <v>Г СЕВЕРОУРАЛЬСК</v>
      </c>
      <c r="S1809" t="str">
        <f>""</f>
        <v/>
      </c>
      <c r="T1809" t="str">
        <f>"УЛ ВАТУТИНА"</f>
        <v>УЛ ВАТУТИНА</v>
      </c>
      <c r="U1809" s="1" t="str">
        <f>"17"</f>
        <v>17</v>
      </c>
      <c r="V1809" s="1" t="str">
        <f>""</f>
        <v/>
      </c>
      <c r="W1809" s="1" t="str">
        <f>""</f>
        <v/>
      </c>
      <c r="X1809" s="1" t="str">
        <f>""</f>
        <v/>
      </c>
      <c r="Y1809" s="1" t="str">
        <f>"28"</f>
        <v>28</v>
      </c>
      <c r="Z1809" t="str">
        <f>""</f>
        <v/>
      </c>
      <c r="AA1809" t="str">
        <f>"3438020135"</f>
        <v>3438020135</v>
      </c>
      <c r="AB1809" t="str">
        <f>"9502033972"</f>
        <v>9502033972</v>
      </c>
      <c r="AC1809" t="str">
        <f>"9961753709"</f>
        <v>9961753709</v>
      </c>
      <c r="AD1809" t="str">
        <f>"9502033972"</f>
        <v>9502033972</v>
      </c>
      <c r="AE1809" t="str">
        <f>""</f>
        <v/>
      </c>
    </row>
    <row r="1810" spans="1:31" x14ac:dyDescent="0.45">
      <c r="A1810" t="str">
        <f>"КОЗЛОВА ЛИДИЯ АЙСОВНА"</f>
        <v>КОЗЛОВА ЛИДИЯ АЙСОВНА</v>
      </c>
      <c r="B1810" t="str">
        <f>"1953-07-16"</f>
        <v>1953-07-16</v>
      </c>
      <c r="C1810" t="str">
        <f>"71 02 610724"</f>
        <v>71 02 610724</v>
      </c>
      <c r="D1810" t="str">
        <f>"4854630412291489"</f>
        <v>4854630412291489</v>
      </c>
      <c r="E1810" t="str">
        <f>"2021-04-30"</f>
        <v>2021-04-30</v>
      </c>
      <c r="F1810" t="str">
        <f>"Q"</f>
        <v>Q</v>
      </c>
      <c r="G1810" t="str">
        <f>"Q"</f>
        <v>Q</v>
      </c>
      <c r="H1810" t="str">
        <f>"40817810067720718663"</f>
        <v>40817810067720718663</v>
      </c>
      <c r="I1810" t="str">
        <f>"0029"</f>
        <v>0029</v>
      </c>
      <c r="J1810" t="str">
        <f>"0087"</f>
        <v>0087</v>
      </c>
      <c r="K1810" t="str">
        <f>"0.00"</f>
        <v>0.00</v>
      </c>
      <c r="L1810" t="str">
        <f>"625000 ОБЛ ТЮМЕНСКАЯ   Г ТЮМЕНЬ   УЛ ВОРОВСКОГО д. 33 кв. 240"</f>
        <v>625000 ОБЛ ТЮМЕНСКАЯ   Г ТЮМЕНЬ   УЛ ВОРОВСКОГО д. 33 кв. 240</v>
      </c>
      <c r="M1810" t="str">
        <f t="shared" si="314"/>
        <v>2019-08-24</v>
      </c>
      <c r="N1810" t="str">
        <f>"ПЕНСИОНЕР"</f>
        <v>ПЕНСИОНЕР</v>
      </c>
      <c r="O1810" t="str">
        <f>"625000"</f>
        <v>625000</v>
      </c>
      <c r="P1810" t="str">
        <f>"ОБЛ ТЮМЕНСКАЯ"</f>
        <v>ОБЛ ТЮМЕНСКАЯ</v>
      </c>
      <c r="Q1810" t="str">
        <f>""</f>
        <v/>
      </c>
      <c r="R1810" t="str">
        <f>"Г ТЮМЕНЬ"</f>
        <v>Г ТЮМЕНЬ</v>
      </c>
      <c r="S1810" t="str">
        <f>""</f>
        <v/>
      </c>
      <c r="T1810" t="str">
        <f>"УЛ ВОРОВСКОГО"</f>
        <v>УЛ ВОРОВСКОГО</v>
      </c>
      <c r="U1810" s="1" t="str">
        <f>"33"</f>
        <v>33</v>
      </c>
      <c r="V1810" s="1" t="str">
        <f>""</f>
        <v/>
      </c>
      <c r="W1810" s="1" t="str">
        <f>""</f>
        <v/>
      </c>
      <c r="X1810" s="1" t="str">
        <f>""</f>
        <v/>
      </c>
      <c r="Y1810" s="1" t="str">
        <f>"240"</f>
        <v>240</v>
      </c>
      <c r="Z1810" t="str">
        <f>""</f>
        <v/>
      </c>
      <c r="AA1810" t="str">
        <f>"9504954937"</f>
        <v>9504954937</v>
      </c>
      <c r="AB1810" t="str">
        <f>"9199559290"</f>
        <v>9199559290</v>
      </c>
      <c r="AC1810" t="str">
        <f>"9504954937"</f>
        <v>9504954937</v>
      </c>
      <c r="AD1810" t="str">
        <f>"9199559290"</f>
        <v>9199559290</v>
      </c>
      <c r="AE1810" t="str">
        <f>""</f>
        <v/>
      </c>
    </row>
    <row r="1811" spans="1:31" x14ac:dyDescent="0.45">
      <c r="A1811" t="str">
        <f>"ПИСЬМАК ЕЛЕНА НИКОЛАЕВНА"</f>
        <v>ПИСЬМАК ЕЛЕНА НИКОЛАЕВНА</v>
      </c>
      <c r="B1811" t="str">
        <f>"1969-11-12"</f>
        <v>1969-11-12</v>
      </c>
      <c r="C1811" t="str">
        <f>"37 14 590593"</f>
        <v>37 14 590593</v>
      </c>
      <c r="D1811" t="str">
        <f>"4854630391276006"</f>
        <v>4854630391276006</v>
      </c>
      <c r="E1811" t="str">
        <f>"2020-09-30"</f>
        <v>2020-09-30</v>
      </c>
      <c r="F1811" t="str">
        <f t="shared" ref="F1811:G1813" si="319">"+"</f>
        <v>+</v>
      </c>
      <c r="G1811" t="str">
        <f t="shared" si="319"/>
        <v>+</v>
      </c>
      <c r="H1811" t="str">
        <f>"40817810916991470505"</f>
        <v>40817810916991470505</v>
      </c>
      <c r="I1811" t="str">
        <f>"8599"</f>
        <v>8599</v>
      </c>
      <c r="J1811" t="str">
        <f>"0132"</f>
        <v>0132</v>
      </c>
      <c r="K1811" t="str">
        <f>"160000.00"</f>
        <v>160000.00</v>
      </c>
      <c r="L1811" t="str">
        <f>"641230 ОБЛ КУРСКАЯ Р-Н ВАРГАШИНСКИЙ   РП ВАРГАШИ УЛ ЧКАЛОВА д. 20"</f>
        <v>641230 ОБЛ КУРСКАЯ Р-Н ВАРГАШИНСКИЙ   РП ВАРГАШИ УЛ ЧКАЛОВА д. 20</v>
      </c>
      <c r="M1811" t="str">
        <f t="shared" si="314"/>
        <v>2019-08-24</v>
      </c>
      <c r="N1811" t="str">
        <f>"ИП ПИСЬМАК"</f>
        <v>ИП ПИСЬМАК</v>
      </c>
      <c r="O1811" t="str">
        <f>"641000"</f>
        <v>641000</v>
      </c>
      <c r="P1811" t="str">
        <f>"ОБЛ КУРГАНСКАЯ"</f>
        <v>ОБЛ КУРГАНСКАЯ</v>
      </c>
      <c r="Q1811" t="str">
        <f>"Р-Н ВАРГАШИНСКИЙ"</f>
        <v>Р-Н ВАРГАШИНСКИЙ</v>
      </c>
      <c r="R1811" t="str">
        <f>""</f>
        <v/>
      </c>
      <c r="S1811" t="str">
        <f>"РП ВАРГАШИ"</f>
        <v>РП ВАРГАШИ</v>
      </c>
      <c r="T1811" t="str">
        <f>"УЛ СИБИРСКАЯ"</f>
        <v>УЛ СИБИРСКАЯ</v>
      </c>
      <c r="U1811" s="1" t="str">
        <f>"2"</f>
        <v>2</v>
      </c>
      <c r="V1811" s="1" t="str">
        <f>""</f>
        <v/>
      </c>
      <c r="W1811" s="1" t="str">
        <f>""</f>
        <v/>
      </c>
      <c r="X1811" s="1" t="str">
        <f>""</f>
        <v/>
      </c>
      <c r="Y1811" s="1" t="str">
        <f>""</f>
        <v/>
      </c>
      <c r="Z1811" t="str">
        <f>""</f>
        <v/>
      </c>
      <c r="AA1811" t="str">
        <f>"9129744538"</f>
        <v>9129744538</v>
      </c>
      <c r="AB1811" t="str">
        <f>"9129744538"</f>
        <v>9129744538</v>
      </c>
      <c r="AC1811" t="str">
        <f>"9634388841"</f>
        <v>9634388841</v>
      </c>
      <c r="AD1811" t="str">
        <f>"9129744538"</f>
        <v>9129744538</v>
      </c>
      <c r="AE1811" t="str">
        <f>""</f>
        <v/>
      </c>
    </row>
    <row r="1812" spans="1:31" x14ac:dyDescent="0.45">
      <c r="A1812" t="str">
        <f>"РАХМАТУЛЛИН РИНАД РАУЛЬЕВИЧ"</f>
        <v>РАХМАТУЛЛИН РИНАД РАУЛЬЕВИЧ</v>
      </c>
      <c r="B1812" t="str">
        <f>"1965-06-27"</f>
        <v>1965-06-27</v>
      </c>
      <c r="C1812" t="str">
        <f>"75 10 736928"</f>
        <v>75 10 736928</v>
      </c>
      <c r="D1812" t="str">
        <f>"5469011607311255"</f>
        <v>5469011607311255</v>
      </c>
      <c r="E1812" t="str">
        <f>"2022-02-28"</f>
        <v>2022-02-28</v>
      </c>
      <c r="F1812" t="str">
        <f t="shared" si="319"/>
        <v>+</v>
      </c>
      <c r="G1812" t="str">
        <f t="shared" si="319"/>
        <v>+</v>
      </c>
      <c r="H1812" t="str">
        <f>"40817810216991470506"</f>
        <v>40817810216991470506</v>
      </c>
      <c r="I1812" t="str">
        <f>"8597"</f>
        <v>8597</v>
      </c>
      <c r="J1812" t="str">
        <f>"0403"</f>
        <v>0403</v>
      </c>
      <c r="K1812" t="str">
        <f>"74000.00"</f>
        <v>74000.00</v>
      </c>
      <c r="L1812" t="str">
        <f>"454000 ОБЛ ЧЕЛЯБИНСКАЯ Р-Н АРГАЯШСКИЙ   Д БАЙРАМГУЛОВО УЛ ДРУЖБЫ д. 1 корп. А"</f>
        <v>454000 ОБЛ ЧЕЛЯБИНСКАЯ Р-Н АРГАЯШСКИЙ   Д БАЙРАМГУЛОВО УЛ ДРУЖБЫ д. 1 корп. А</v>
      </c>
      <c r="M1812" t="str">
        <f t="shared" si="314"/>
        <v>2019-08-24</v>
      </c>
      <c r="N1812" t="str">
        <f>"ПОЖАРНАЯ ЧАСТЬ С БАЙРАМГУЛОВО"</f>
        <v>ПОЖАРНАЯ ЧАСТЬ С БАЙРАМГУЛОВО</v>
      </c>
      <c r="O1812" t="str">
        <f>"454000"</f>
        <v>454000</v>
      </c>
      <c r="P1812" t="str">
        <f>"ОБЛ ЧЕЛЯБИНСКАЯ"</f>
        <v>ОБЛ ЧЕЛЯБИНСКАЯ</v>
      </c>
      <c r="Q1812" t="str">
        <f>"Р-Н АРГАЯШСКИЙ"</f>
        <v>Р-Н АРГАЯШСКИЙ</v>
      </c>
      <c r="R1812" t="str">
        <f>""</f>
        <v/>
      </c>
      <c r="S1812" t="str">
        <f>"Д МАВЛЮТОВА"</f>
        <v>Д МАВЛЮТОВА</v>
      </c>
      <c r="T1812" t="str">
        <f>"УЛ ЗЕЛЕНАЯ"</f>
        <v>УЛ ЗЕЛЕНАЯ</v>
      </c>
      <c r="U1812" s="1" t="str">
        <f>"18"</f>
        <v>18</v>
      </c>
      <c r="V1812" s="1" t="str">
        <f>""</f>
        <v/>
      </c>
      <c r="W1812" s="1" t="str">
        <f>""</f>
        <v/>
      </c>
      <c r="X1812" s="1" t="str">
        <f>""</f>
        <v/>
      </c>
      <c r="Y1812" s="1" t="str">
        <f>""</f>
        <v/>
      </c>
      <c r="Z1812" t="str">
        <f>""</f>
        <v/>
      </c>
      <c r="AA1812" t="str">
        <f>"9043020461"</f>
        <v>9043020461</v>
      </c>
      <c r="AB1812" t="str">
        <f>"9043020461"</f>
        <v>9043020461</v>
      </c>
      <c r="AC1812" t="str">
        <f>"9043020461"</f>
        <v>9043020461</v>
      </c>
      <c r="AD1812" t="str">
        <f>"9043020461"</f>
        <v>9043020461</v>
      </c>
      <c r="AE1812" t="str">
        <f>""</f>
        <v/>
      </c>
    </row>
    <row r="1813" spans="1:31" x14ac:dyDescent="0.45">
      <c r="A1813" t="str">
        <f>"ДИНМУХАМЕТОВ АЗАМАТ МУХАМАТНУРОВИЧ"</f>
        <v>ДИНМУХАМЕТОВ АЗАМАТ МУХАМАТНУРОВИЧ</v>
      </c>
      <c r="B1813" t="str">
        <f>"1972-09-29"</f>
        <v>1972-09-29</v>
      </c>
      <c r="C1813" t="str">
        <f>"80 17 663173"</f>
        <v>80 17 663173</v>
      </c>
      <c r="D1813" t="str">
        <f>"4854630377751691"</f>
        <v>4854630377751691</v>
      </c>
      <c r="E1813" t="str">
        <f>"2021-04-30"</f>
        <v>2021-04-30</v>
      </c>
      <c r="F1813" t="str">
        <f t="shared" si="319"/>
        <v>+</v>
      </c>
      <c r="G1813" t="str">
        <f t="shared" si="319"/>
        <v>+</v>
      </c>
      <c r="H1813" t="str">
        <f>"40817810516991470507"</f>
        <v>40817810516991470507</v>
      </c>
      <c r="I1813" t="str">
        <f>"8598"</f>
        <v>8598</v>
      </c>
      <c r="J1813" t="str">
        <f>"0595"</f>
        <v>0595</v>
      </c>
      <c r="K1813" t="str">
        <f>"225000.00"</f>
        <v>225000.00</v>
      </c>
      <c r="L1813" t="str">
        <f>"450000 РЕСП БАШКОРТОСТАН   Г НЕФТЕКАМСК   УЛ МОНТАЖНАЯ д. 8"</f>
        <v>450000 РЕСП БАШКОРТОСТАН   Г НЕФТЕКАМСК   УЛ МОНТАЖНАЯ д. 8</v>
      </c>
      <c r="M1813" t="str">
        <f t="shared" si="314"/>
        <v>2019-08-24</v>
      </c>
      <c r="N1813" t="str">
        <f>"06008102"</f>
        <v>06008102</v>
      </c>
      <c r="O1813" t="str">
        <f>"450000"</f>
        <v>450000</v>
      </c>
      <c r="P1813" t="str">
        <f>"РЕСП БАШКОРТОСТАН"</f>
        <v>РЕСП БАШКОРТОСТАН</v>
      </c>
      <c r="Q1813" t="str">
        <f>"Р-Н КРАСНОКАМСКИЙ"</f>
        <v>Р-Н КРАСНОКАМСКИЙ</v>
      </c>
      <c r="R1813" t="str">
        <f>""</f>
        <v/>
      </c>
      <c r="S1813" t="str">
        <f>"Д ЯНГУЗНАРАТ"</f>
        <v>Д ЯНГУЗНАРАТ</v>
      </c>
      <c r="T1813" t="str">
        <f>"УЛ ЦЕНТРАЛЬНАЯ"</f>
        <v>УЛ ЦЕНТРАЛЬНАЯ</v>
      </c>
      <c r="U1813" s="1" t="str">
        <f>"7"</f>
        <v>7</v>
      </c>
      <c r="V1813" s="1" t="str">
        <f>""</f>
        <v/>
      </c>
      <c r="W1813" s="1" t="str">
        <f>"А"</f>
        <v>А</v>
      </c>
      <c r="X1813" s="1" t="str">
        <f>""</f>
        <v/>
      </c>
      <c r="Y1813" s="1" t="str">
        <f>""</f>
        <v/>
      </c>
      <c r="Z1813" t="str">
        <f>""</f>
        <v/>
      </c>
      <c r="AA1813" t="str">
        <f>"+7 (919) 6161138"</f>
        <v>+7 (919) 6161138</v>
      </c>
      <c r="AB1813" t="str">
        <f>"+7 (919) 6161138"</f>
        <v>+7 (919) 6161138</v>
      </c>
      <c r="AC1813" t="str">
        <f>"9196161138"</f>
        <v>9196161138</v>
      </c>
      <c r="AD1813" t="str">
        <f>"9196161138"</f>
        <v>9196161138</v>
      </c>
      <c r="AE1813" t="str">
        <f>""</f>
        <v/>
      </c>
    </row>
    <row r="1814" spans="1:31" x14ac:dyDescent="0.45">
      <c r="A1814" t="str">
        <f>"КИЛЬМУХАМЕТОВА ЛИЛИЯ ГАЛИМЬЯНОВНА"</f>
        <v>КИЛЬМУХАМЕТОВА ЛИЛИЯ ГАЛИМЬЯНОВНА</v>
      </c>
      <c r="B1814" t="str">
        <f>"1985-07-15"</f>
        <v>1985-07-15</v>
      </c>
      <c r="C1814" t="str">
        <f>"80 05 838866"</f>
        <v>80 05 838866</v>
      </c>
      <c r="D1814" t="str">
        <f>"4854630408930066"</f>
        <v>4854630408930066</v>
      </c>
      <c r="E1814" t="str">
        <f>"2021-04-30"</f>
        <v>2021-04-30</v>
      </c>
      <c r="F1814" t="str">
        <f>"Q"</f>
        <v>Q</v>
      </c>
      <c r="G1814" t="str">
        <f>"Q"</f>
        <v>Q</v>
      </c>
      <c r="H1814" t="str">
        <f>"40817810216991470535"</f>
        <v>40817810216991470535</v>
      </c>
      <c r="I1814" t="str">
        <f>"8598"</f>
        <v>8598</v>
      </c>
      <c r="J1814" t="str">
        <f>"0434"</f>
        <v>0434</v>
      </c>
      <c r="K1814" t="str">
        <f>"0.00"</f>
        <v>0.00</v>
      </c>
      <c r="L1814" t="str">
        <f>"450000 РЕСП БАШКОРТОСТАН Р-Н ДАВЛЕКАНОВСКИЙ   Д КАДЫРГУЛ УЛ РЕЧНАЯ д. 34"</f>
        <v>450000 РЕСП БАШКОРТОСТАН Р-Н ДАВЛЕКАНОВСКИЙ   Д КАДЫРГУЛ УЛ РЕЧНАЯ д. 34</v>
      </c>
      <c r="M1814" t="str">
        <f t="shared" si="314"/>
        <v>2019-08-24</v>
      </c>
      <c r="N1814" t="str">
        <f>"ПЕНСИОНЕР"</f>
        <v>ПЕНСИОНЕР</v>
      </c>
      <c r="O1814" t="str">
        <f>"453400"</f>
        <v>453400</v>
      </c>
      <c r="P1814" t="str">
        <f>"РЕСП БАШКОРТОСТАН"</f>
        <v>РЕСП БАШКОРТОСТАН</v>
      </c>
      <c r="Q1814" t="str">
        <f>""</f>
        <v/>
      </c>
      <c r="R1814" t="str">
        <f>""</f>
        <v/>
      </c>
      <c r="S1814" t="str">
        <f>"Д КАДЫРГУЛ"</f>
        <v>Д КАДЫРГУЛ</v>
      </c>
      <c r="T1814" t="str">
        <f>"УЛ РЕЧНАЯ"</f>
        <v>УЛ РЕЧНАЯ</v>
      </c>
      <c r="U1814" s="1" t="str">
        <f>"34"</f>
        <v>34</v>
      </c>
      <c r="V1814" s="1" t="str">
        <f>""</f>
        <v/>
      </c>
      <c r="W1814" s="1" t="str">
        <f>""</f>
        <v/>
      </c>
      <c r="X1814" s="1" t="str">
        <f>""</f>
        <v/>
      </c>
      <c r="Y1814" s="1" t="str">
        <f>""</f>
        <v/>
      </c>
      <c r="Z1814" t="str">
        <f>""</f>
        <v/>
      </c>
      <c r="AA1814" t="str">
        <f>"9273180631"</f>
        <v>9273180631</v>
      </c>
      <c r="AB1814" t="str">
        <f>"9273180631"</f>
        <v>9273180631</v>
      </c>
      <c r="AC1814" t="str">
        <f>"9273180631"</f>
        <v>9273180631</v>
      </c>
      <c r="AD1814" t="str">
        <f>"9273180631"</f>
        <v>9273180631</v>
      </c>
      <c r="AE1814" t="str">
        <f>""</f>
        <v/>
      </c>
    </row>
    <row r="1815" spans="1:31" x14ac:dyDescent="0.45">
      <c r="A1815" t="str">
        <f>"ЧУЙКОВА НАТАЛЬЯ АЛЕКСЕЕВНА"</f>
        <v>ЧУЙКОВА НАТАЛЬЯ АЛЕКСЕЕВНА</v>
      </c>
      <c r="B1815" t="str">
        <f>"1966-01-01"</f>
        <v>1966-01-01</v>
      </c>
      <c r="C1815" t="str">
        <f>"53 11 059954"</f>
        <v>53 11 059954</v>
      </c>
      <c r="D1815" t="str">
        <f>"4279016724872983"</f>
        <v>4279016724872983</v>
      </c>
      <c r="E1815" t="str">
        <f t="shared" ref="E1815:E1821" si="320">"2021-06-30"</f>
        <v>2021-06-30</v>
      </c>
      <c r="F1815" t="str">
        <f>"L"</f>
        <v>L</v>
      </c>
      <c r="G1815" t="str">
        <f t="shared" ref="G1815:G1824" si="321">"+"</f>
        <v>+</v>
      </c>
      <c r="H1815" t="str">
        <f>"40817810516992061009"</f>
        <v>40817810516992061009</v>
      </c>
      <c r="I1815" t="str">
        <f>"8369"</f>
        <v>8369</v>
      </c>
      <c r="J1815" t="str">
        <f>"0015"</f>
        <v>0015</v>
      </c>
      <c r="K1815" t="str">
        <f>"120000.00"</f>
        <v>120000.00</v>
      </c>
      <c r="L1815" t="str">
        <f>"629300 ОБЛ ТЮМЕНСКАЯ   Г НОВЫЙ УРЕНГОЙ   УЛ ЮБИЛЕЙНАЯ д. 5"</f>
        <v>629300 ОБЛ ТЮМЕНСКАЯ   Г НОВЫЙ УРЕНГОЙ   УЛ ЮБИЛЕЙНАЯ д. 5</v>
      </c>
      <c r="M1815" t="str">
        <f t="shared" si="314"/>
        <v>2019-08-24</v>
      </c>
      <c r="N1815" t="str">
        <f>"ЯМАЛ-ОТЕЛЬ"</f>
        <v>ЯМАЛ-ОТЕЛЬ</v>
      </c>
      <c r="O1815" t="str">
        <f>"460056"</f>
        <v>460056</v>
      </c>
      <c r="P1815" t="str">
        <f>"ОБЛ ОРЕНБУРГСКАЯ"</f>
        <v>ОБЛ ОРЕНБУРГСКАЯ</v>
      </c>
      <c r="Q1815" t="str">
        <f>""</f>
        <v/>
      </c>
      <c r="R1815" t="str">
        <f>"Г ОРЕНБУРГ"</f>
        <v>Г ОРЕНБУРГ</v>
      </c>
      <c r="S1815" t="str">
        <f>""</f>
        <v/>
      </c>
      <c r="T1815" t="str">
        <f>"УЛ ВСЕСОЮЗНАЯ"</f>
        <v>УЛ ВСЕСОЮЗНАЯ</v>
      </c>
      <c r="U1815" s="1" t="str">
        <f>"7"</f>
        <v>7</v>
      </c>
      <c r="V1815" s="1" t="str">
        <f>""</f>
        <v/>
      </c>
      <c r="W1815" s="1" t="str">
        <f>""</f>
        <v/>
      </c>
      <c r="X1815" s="1" t="str">
        <f>""</f>
        <v/>
      </c>
      <c r="Y1815" s="1" t="str">
        <f>"19"</f>
        <v>19</v>
      </c>
      <c r="Z1815" t="str">
        <f>"3532731411"</f>
        <v>3532731411</v>
      </c>
      <c r="AA1815" t="str">
        <f>"9615530863"</f>
        <v>9615530863</v>
      </c>
      <c r="AB1815" t="str">
        <f>"9615530863"</f>
        <v>9615530863</v>
      </c>
      <c r="AC1815" t="str">
        <f>"3532357907"</f>
        <v>3532357907</v>
      </c>
      <c r="AD1815" t="str">
        <f>"9615530863"</f>
        <v>9615530863</v>
      </c>
      <c r="AE1815" t="str">
        <f>"3532731411"</f>
        <v>3532731411</v>
      </c>
    </row>
    <row r="1816" spans="1:31" x14ac:dyDescent="0.45">
      <c r="A1816" t="str">
        <f>"ДУПАНОВА ЛЮДМИЛА ВАСИЛЬЕВНА"</f>
        <v>ДУПАНОВА ЛЮДМИЛА ВАСИЛЬЕВНА</v>
      </c>
      <c r="B1816" t="str">
        <f>"1960-11-27"</f>
        <v>1960-11-27</v>
      </c>
      <c r="C1816" t="str">
        <f>"71 05 387005"</f>
        <v>71 05 387005</v>
      </c>
      <c r="D1816" t="str">
        <f>"4279016731151876"</f>
        <v>4279016731151876</v>
      </c>
      <c r="E1816" t="str">
        <f t="shared" si="320"/>
        <v>2021-06-30</v>
      </c>
      <c r="F1816" t="str">
        <f>"+"</f>
        <v>+</v>
      </c>
      <c r="G1816" t="str">
        <f t="shared" si="321"/>
        <v>+</v>
      </c>
      <c r="H1816" t="str">
        <f>"40817810616992061093"</f>
        <v>40817810616992061093</v>
      </c>
      <c r="I1816" t="str">
        <f>"5940"</f>
        <v>5940</v>
      </c>
      <c r="J1816" t="str">
        <f>"0080"</f>
        <v>0080</v>
      </c>
      <c r="K1816" t="str">
        <f>"40000.00"</f>
        <v>40000.00</v>
      </c>
      <c r="L1816" t="str">
        <f>"450300 ОБЛ ТЮМЕНСКАЯ Р-Н ГОЛЫШМАНОВСКИЙ   П ГРИШИНА УЛ ГРИШИНСКАЯ д. 15"</f>
        <v>450300 ОБЛ ТЮМЕНСКАЯ Р-Н ГОЛЫШМАНОВСКИЙ   П ГРИШИНА УЛ ГРИШИНСКАЯ д. 15</v>
      </c>
      <c r="M1816" t="str">
        <f t="shared" si="314"/>
        <v>2019-08-24</v>
      </c>
      <c r="N1816" t="str">
        <f>"ПФР"</f>
        <v>ПФР</v>
      </c>
      <c r="O1816" t="str">
        <f>"456000"</f>
        <v>456000</v>
      </c>
      <c r="P1816" t="str">
        <f>"ОБЛ ТЮМЕНСКАЯ"</f>
        <v>ОБЛ ТЮМЕНСКАЯ</v>
      </c>
      <c r="Q1816" t="str">
        <f>"Р-Н ГОЛЫШМАНОВСКИЙ"</f>
        <v>Р-Н ГОЛЫШМАНОВСКИЙ</v>
      </c>
      <c r="R1816" t="str">
        <f>""</f>
        <v/>
      </c>
      <c r="S1816" t="str">
        <f>"П ГРИШИНА"</f>
        <v>П ГРИШИНА</v>
      </c>
      <c r="T1816" t="str">
        <f>"УЛ ГРИШИНСКАЯ"</f>
        <v>УЛ ГРИШИНСКАЯ</v>
      </c>
      <c r="U1816" s="1" t="str">
        <f>"15"</f>
        <v>15</v>
      </c>
      <c r="V1816" s="1" t="str">
        <f>""</f>
        <v/>
      </c>
      <c r="W1816" s="1" t="str">
        <f>""</f>
        <v/>
      </c>
      <c r="X1816" s="1" t="str">
        <f>""</f>
        <v/>
      </c>
      <c r="Y1816" s="1" t="str">
        <f>""</f>
        <v/>
      </c>
      <c r="Z1816" t="str">
        <f>"9825954850"</f>
        <v>9825954850</v>
      </c>
      <c r="AA1816" t="str">
        <f>"9829757151"</f>
        <v>9829757151</v>
      </c>
      <c r="AB1816" t="str">
        <f>"9829461842"</f>
        <v>9829461842</v>
      </c>
      <c r="AC1816" t="str">
        <f>"9829757151"</f>
        <v>9829757151</v>
      </c>
      <c r="AD1816" t="str">
        <f>"9829461842"</f>
        <v>9829461842</v>
      </c>
      <c r="AE1816" t="str">
        <f>"9825954850"</f>
        <v>9825954850</v>
      </c>
    </row>
    <row r="1817" spans="1:31" x14ac:dyDescent="0.45">
      <c r="A1817" t="str">
        <f>"ЯНДЫШЕВ ЮРИЙ ИЛЯЕВИЧ"</f>
        <v>ЯНДЫШЕВ ЮРИЙ ИЛЯЕВИЧ</v>
      </c>
      <c r="B1817" t="str">
        <f>"1961-05-26"</f>
        <v>1961-05-26</v>
      </c>
      <c r="C1817" t="str">
        <f>"67 05 591576"</f>
        <v>67 05 591576</v>
      </c>
      <c r="D1817" t="str">
        <f>"4279016705670828"</f>
        <v>4279016705670828</v>
      </c>
      <c r="E1817" t="str">
        <f t="shared" si="320"/>
        <v>2021-06-30</v>
      </c>
      <c r="F1817" t="str">
        <f>"+"</f>
        <v>+</v>
      </c>
      <c r="G1817" t="str">
        <f t="shared" si="321"/>
        <v>+</v>
      </c>
      <c r="H1817" t="str">
        <f>"40817810516992061119"</f>
        <v>40817810516992061119</v>
      </c>
      <c r="I1817" t="str">
        <f>"5940"</f>
        <v>5940</v>
      </c>
      <c r="J1817" t="str">
        <f>"0108"</f>
        <v>0108</v>
      </c>
      <c r="K1817" t="str">
        <f>"340000.00"</f>
        <v>340000.00</v>
      </c>
      <c r="L1817" t="str">
        <f>"628400 АО ХАНТЫ-МАНСИЙСКИЙ АВТОНОМНЫЙ ОКРУГ-ЮГРА   Г СУРГУТ   УЛ ЮГОРСКАЯ д. 40 кв. 60"</f>
        <v>628400 АО ХАНТЫ-МАНСИЙСКИЙ АВТОНОМНЫЙ ОКРУГ-ЮГРА   Г СУРГУТ   УЛ ЮГОРСКАЯ д. 40 кв. 60</v>
      </c>
      <c r="M1817" t="str">
        <f t="shared" si="314"/>
        <v>2019-08-24</v>
      </c>
      <c r="N1817" t="str">
        <f>"ПЕНСИОНЕР 67176387"</f>
        <v>ПЕНСИОНЕР 67176387</v>
      </c>
      <c r="O1817" t="str">
        <f>"628400"</f>
        <v>628400</v>
      </c>
      <c r="P1817" t="str">
        <f>"АО ХАНТЫ-МАНСИЙСКИЙ АВТОНОМНЫЙ ОКРУГ-ЮГРА"</f>
        <v>АО ХАНТЫ-МАНСИЙСКИЙ АВТОНОМНЫЙ ОКРУГ-ЮГРА</v>
      </c>
      <c r="Q1817" t="str">
        <f>""</f>
        <v/>
      </c>
      <c r="R1817" t="str">
        <f>"Г СУРГУТ"</f>
        <v>Г СУРГУТ</v>
      </c>
      <c r="S1817" t="str">
        <f>""</f>
        <v/>
      </c>
      <c r="T1817" t="str">
        <f>"УЛ ЮГОРСКАЯ"</f>
        <v>УЛ ЮГОРСКАЯ</v>
      </c>
      <c r="U1817" s="1" t="str">
        <f>"40"</f>
        <v>40</v>
      </c>
      <c r="V1817" s="1" t="str">
        <f>""</f>
        <v/>
      </c>
      <c r="W1817" s="1" t="str">
        <f>""</f>
        <v/>
      </c>
      <c r="X1817" s="1" t="str">
        <f>""</f>
        <v/>
      </c>
      <c r="Y1817" s="1" t="str">
        <f>"60"</f>
        <v>60</v>
      </c>
      <c r="Z1817" t="str">
        <f>"3462393624"</f>
        <v>3462393624</v>
      </c>
      <c r="AA1817" t="str">
        <f>"9226541466"</f>
        <v>9226541466</v>
      </c>
      <c r="AB1817" t="str">
        <f>"9226541466"</f>
        <v>9226541466</v>
      </c>
      <c r="AC1817" t="str">
        <f>"9227889888"</f>
        <v>9227889888</v>
      </c>
      <c r="AD1817" t="str">
        <f>"9226541466"</f>
        <v>9226541466</v>
      </c>
      <c r="AE1817" t="str">
        <f>"9227980930"</f>
        <v>9227980930</v>
      </c>
    </row>
    <row r="1818" spans="1:31" x14ac:dyDescent="0.45">
      <c r="A1818" t="str">
        <f>"ОХОТИН МАКСИМ ВИТАЛЬЕВИЧ"</f>
        <v>ОХОТИН МАКСИМ ВИТАЛЬЕВИЧ</v>
      </c>
      <c r="B1818" t="str">
        <f>"1982-08-11"</f>
        <v>1982-08-11</v>
      </c>
      <c r="C1818" t="str">
        <f>"37 03 836616"</f>
        <v>37 03 836616</v>
      </c>
      <c r="D1818" t="str">
        <f>"4279016722407220"</f>
        <v>4279016722407220</v>
      </c>
      <c r="E1818" t="str">
        <f t="shared" si="320"/>
        <v>2021-06-30</v>
      </c>
      <c r="F1818" t="str">
        <f>"+"</f>
        <v>+</v>
      </c>
      <c r="G1818" t="str">
        <f t="shared" si="321"/>
        <v>+</v>
      </c>
      <c r="H1818" t="str">
        <f>"40817810216992304707"</f>
        <v>40817810216992304707</v>
      </c>
      <c r="I1818" t="str">
        <f>"8369"</f>
        <v>8369</v>
      </c>
      <c r="J1818" t="str">
        <f>"0005"</f>
        <v>0005</v>
      </c>
      <c r="K1818" t="str">
        <f>"55000.00"</f>
        <v>55000.00</v>
      </c>
      <c r="L1818" t="str">
        <f>"629300 ОБЛ ТЮМЕНСКАЯ   Г НОВЫЙ УРЕНГОЙ   УЛ ЖЕЛЕЗНОДОРОЖНАЯ д. 6"</f>
        <v>629300 ОБЛ ТЮМЕНСКАЯ   Г НОВЫЙ УРЕНГОЙ   УЛ ЖЕЛЕЗНОДОРОЖНАЯ д. 6</v>
      </c>
      <c r="M1818" t="str">
        <f t="shared" si="314"/>
        <v>2019-08-24</v>
      </c>
      <c r="N1818" t="str">
        <f>"ЦЕНТР РАЗВИТИЯ ФИЗИЧЕСКОЙ КУЛЬТУРЫ И СПОРТА"</f>
        <v>ЦЕНТР РАЗВИТИЯ ФИЗИЧЕСКОЙ КУЛЬТУРЫ И СПОРТА</v>
      </c>
      <c r="O1818" t="str">
        <f>"629300"</f>
        <v>629300</v>
      </c>
      <c r="P1818" t="str">
        <f>"ОБЛ ТЮМЕНСКАЯ"</f>
        <v>ОБЛ ТЮМЕНСКАЯ</v>
      </c>
      <c r="Q1818" t="str">
        <f>""</f>
        <v/>
      </c>
      <c r="R1818" t="str">
        <f>"Г НОВЫЙ УРЕНГОЙ"</f>
        <v>Г НОВЫЙ УРЕНГОЙ</v>
      </c>
      <c r="S1818" t="str">
        <f>""</f>
        <v/>
      </c>
      <c r="T1818" t="str">
        <f>"УЛ НОВАЯ"</f>
        <v>УЛ НОВАЯ</v>
      </c>
      <c r="U1818" s="1" t="str">
        <f>"28"</f>
        <v>28</v>
      </c>
      <c r="V1818" s="1" t="str">
        <f>""</f>
        <v/>
      </c>
      <c r="W1818" s="1" t="str">
        <f>""</f>
        <v/>
      </c>
      <c r="X1818" s="1" t="str">
        <f>""</f>
        <v/>
      </c>
      <c r="Y1818" s="1" t="str">
        <f>"23"</f>
        <v>23</v>
      </c>
      <c r="Z1818" t="str">
        <f>""</f>
        <v/>
      </c>
      <c r="AA1818" t="str">
        <f>"+7 (908) 8581218"</f>
        <v>+7 (908) 8581218</v>
      </c>
      <c r="AB1818" t="str">
        <f>"+7 (922) 2575470"</f>
        <v>+7 (922) 2575470</v>
      </c>
      <c r="AC1818" t="str">
        <f>"9088581218"</f>
        <v>9088581218</v>
      </c>
      <c r="AD1818" t="str">
        <f>"9222575470"</f>
        <v>9222575470</v>
      </c>
      <c r="AE1818" t="str">
        <f>""</f>
        <v/>
      </c>
    </row>
    <row r="1819" spans="1:31" x14ac:dyDescent="0.45">
      <c r="A1819" t="str">
        <f>"КУНЬЧИНИНА ЛЮБОВЬ НИКОЛАЕВНА"</f>
        <v>КУНЬЧИНИНА ЛЮБОВЬ НИКОЛАЕВНА</v>
      </c>
      <c r="B1819" t="str">
        <f>"1967-07-21"</f>
        <v>1967-07-21</v>
      </c>
      <c r="C1819" t="str">
        <f>"71 12 955307"</f>
        <v>71 12 955307</v>
      </c>
      <c r="D1819" t="str">
        <f>"4279016716018421"</f>
        <v>4279016716018421</v>
      </c>
      <c r="E1819" t="str">
        <f t="shared" si="320"/>
        <v>2021-06-30</v>
      </c>
      <c r="F1819" t="str">
        <f>"+"</f>
        <v>+</v>
      </c>
      <c r="G1819" t="str">
        <f t="shared" si="321"/>
        <v>+</v>
      </c>
      <c r="H1819" t="str">
        <f>"40817810916992061117"</f>
        <v>40817810916992061117</v>
      </c>
      <c r="I1819" t="str">
        <f>"8647"</f>
        <v>8647</v>
      </c>
      <c r="J1819" t="str">
        <f>"0170"</f>
        <v>0170</v>
      </c>
      <c r="K1819" t="str">
        <f>"380000.00"</f>
        <v>380000.00</v>
      </c>
      <c r="L1819" t="str">
        <f>"625000 ОБЛ ТЮМЕНСКАЯ   Г ТЮМЕНЬ   УЛ 8 МАРТА д. 1"</f>
        <v>625000 ОБЛ ТЮМЕНСКАЯ   Г ТЮМЕНЬ   УЛ 8 МАРТА д. 1</v>
      </c>
      <c r="M1819" t="str">
        <f t="shared" si="314"/>
        <v>2019-08-24</v>
      </c>
      <c r="N1819" t="str">
        <f>"УСД ПО ТЮМЕНСКОЙ ОБЛАСТИ"</f>
        <v>УСД ПО ТЮМЕНСКОЙ ОБЛАСТИ</v>
      </c>
      <c r="O1819" t="str">
        <f>"625000"</f>
        <v>625000</v>
      </c>
      <c r="P1819" t="str">
        <f>"ОБЛ ТЮМЕНСКАЯ"</f>
        <v>ОБЛ ТЮМЕНСКАЯ</v>
      </c>
      <c r="Q1819" t="str">
        <f>""</f>
        <v/>
      </c>
      <c r="R1819" t="str">
        <f>"Г ТЮМЕНЬ"</f>
        <v>Г ТЮМЕНЬ</v>
      </c>
      <c r="S1819" t="str">
        <f>""</f>
        <v/>
      </c>
      <c r="T1819" t="str">
        <f>"УЛ МЕЛЬНИКАЙТЕ"</f>
        <v>УЛ МЕЛЬНИКАЙТЕ</v>
      </c>
      <c r="U1819" s="1" t="str">
        <f>"80"</f>
        <v>80</v>
      </c>
      <c r="V1819" s="1" t="str">
        <f>""</f>
        <v/>
      </c>
      <c r="W1819" s="1" t="str">
        <f>""</f>
        <v/>
      </c>
      <c r="X1819" s="1" t="str">
        <f>""</f>
        <v/>
      </c>
      <c r="Y1819" s="1" t="str">
        <f>"907"</f>
        <v>907</v>
      </c>
      <c r="Z1819" t="str">
        <f>"3452201108"</f>
        <v>3452201108</v>
      </c>
      <c r="AA1819" t="str">
        <f>"3463275411"</f>
        <v>3463275411</v>
      </c>
      <c r="AB1819" t="str">
        <f>"9220066104"</f>
        <v>9220066104</v>
      </c>
      <c r="AC1819" t="str">
        <f>"3463275411"</f>
        <v>3463275411</v>
      </c>
      <c r="AD1819" t="str">
        <f>"9220066104"</f>
        <v>9220066104</v>
      </c>
      <c r="AE1819" t="str">
        <f>""</f>
        <v/>
      </c>
    </row>
    <row r="1820" spans="1:31" x14ac:dyDescent="0.45">
      <c r="A1820" t="str">
        <f>"ПЕРШИНА АННА ВАЛЕНТИНОВНА"</f>
        <v>ПЕРШИНА АННА ВАЛЕНТИНОВНА</v>
      </c>
      <c r="B1820" t="str">
        <f>"1961-01-16"</f>
        <v>1961-01-16</v>
      </c>
      <c r="C1820" t="str">
        <f>"45 08 335147"</f>
        <v>45 08 335147</v>
      </c>
      <c r="D1820" t="str">
        <f>"4276011665627986"</f>
        <v>4276011665627986</v>
      </c>
      <c r="E1820" t="str">
        <f t="shared" si="320"/>
        <v>2021-06-30</v>
      </c>
      <c r="F1820" t="str">
        <f>"H"</f>
        <v>H</v>
      </c>
      <c r="G1820" t="str">
        <f t="shared" si="321"/>
        <v>+</v>
      </c>
      <c r="H1820" t="str">
        <f>"40817810516992304724"</f>
        <v>40817810516992304724</v>
      </c>
      <c r="I1820" t="str">
        <f>"1791"</f>
        <v>1791</v>
      </c>
      <c r="J1820" t="str">
        <f>"0055"</f>
        <v>0055</v>
      </c>
      <c r="K1820" t="str">
        <f>"262000.00"</f>
        <v>262000.00</v>
      </c>
      <c r="L1820" t="str">
        <f>"628000     П СОСЕНСКОЕ УЛ ОРЕХОВАЯ д. 7 стр. 2 кв. 2"</f>
        <v>628000     П СОСЕНСКОЕ УЛ ОРЕХОВАЯ д. 7 стр. 2 кв. 2</v>
      </c>
      <c r="M1820" t="str">
        <f t="shared" si="314"/>
        <v>2019-08-24</v>
      </c>
      <c r="N1820" t="str">
        <f>"ПЕРШИНА А.В."</f>
        <v>ПЕРШИНА А.В.</v>
      </c>
      <c r="O1820" t="str">
        <f>"628000"</f>
        <v>628000</v>
      </c>
      <c r="P1820" t="str">
        <f>"ОБЛ ТЮМЕНСКАЯ"</f>
        <v>ОБЛ ТЮМЕНСКАЯ</v>
      </c>
      <c r="Q1820" t="str">
        <f>""</f>
        <v/>
      </c>
      <c r="R1820" t="str">
        <f>"Г ХАНТЫ-МАНСИЙСК"</f>
        <v>Г ХАНТЫ-МАНСИЙСК</v>
      </c>
      <c r="S1820" t="str">
        <f>""</f>
        <v/>
      </c>
      <c r="T1820" t="str">
        <f>"УЛ ПИОНЕРСКАЯ"</f>
        <v>УЛ ПИОНЕРСКАЯ</v>
      </c>
      <c r="U1820" s="1" t="str">
        <f>"27"</f>
        <v>27</v>
      </c>
      <c r="V1820" s="1" t="str">
        <f>""</f>
        <v/>
      </c>
      <c r="W1820" s="1" t="str">
        <f>""</f>
        <v/>
      </c>
      <c r="X1820" s="1" t="str">
        <f>""</f>
        <v/>
      </c>
      <c r="Y1820" s="1" t="str">
        <f>"54"</f>
        <v>54</v>
      </c>
      <c r="Z1820" t="str">
        <f>"9505010722"</f>
        <v>9505010722</v>
      </c>
      <c r="AA1820" t="str">
        <f>"89853692214"</f>
        <v>89853692214</v>
      </c>
      <c r="AB1820" t="str">
        <f>"9853692214"</f>
        <v>9853692214</v>
      </c>
      <c r="AC1820" t="str">
        <f>""</f>
        <v/>
      </c>
      <c r="AD1820" t="str">
        <f>"9853692214"</f>
        <v>9853692214</v>
      </c>
      <c r="AE1820" t="str">
        <f>"9505010722"</f>
        <v>9505010722</v>
      </c>
    </row>
    <row r="1821" spans="1:31" x14ac:dyDescent="0.45">
      <c r="A1821" t="str">
        <f>"ЩЕРБИНА ЕКАТЕРИНА СЕРГЕЕВНА"</f>
        <v>ЩЕРБИНА ЕКАТЕРИНА СЕРГЕЕВНА</v>
      </c>
      <c r="B1821" t="str">
        <f>"1993-01-02"</f>
        <v>1993-01-02</v>
      </c>
      <c r="C1821" t="str">
        <f>"67 14 412825"</f>
        <v>67 14 412825</v>
      </c>
      <c r="D1821" t="str">
        <f>"4279016716620879"</f>
        <v>4279016716620879</v>
      </c>
      <c r="E1821" t="str">
        <f t="shared" si="320"/>
        <v>2021-06-30</v>
      </c>
      <c r="F1821" t="str">
        <f>"+"</f>
        <v>+</v>
      </c>
      <c r="G1821" t="str">
        <f t="shared" si="321"/>
        <v>+</v>
      </c>
      <c r="H1821" t="str">
        <f>"40817810116992350042"</f>
        <v>40817810116992350042</v>
      </c>
      <c r="I1821" t="str">
        <f>"5940"</f>
        <v>5940</v>
      </c>
      <c r="J1821" t="str">
        <f>"0083"</f>
        <v>0083</v>
      </c>
      <c r="K1821" t="str">
        <f>"30000.00"</f>
        <v>30000.00</v>
      </c>
      <c r="L1821" t="str">
        <f>"628400 ОБЛ ТЮМЕНСКАЯ   Г СУРГУТ   УЛ ИГОРЯ КИРТБАЯ д. 9 кв. 116"</f>
        <v>628400 ОБЛ ТЮМЕНСКАЯ   Г СУРГУТ   УЛ ИГОРЯ КИРТБАЯ д. 9 кв. 116</v>
      </c>
      <c r="M1821" t="str">
        <f t="shared" si="314"/>
        <v>2019-08-24</v>
      </c>
      <c r="N1821" t="str">
        <f>"ИП ЩЕРБИНА Е С"</f>
        <v>ИП ЩЕРБИНА Е С</v>
      </c>
      <c r="O1821" t="str">
        <f>"628400"</f>
        <v>628400</v>
      </c>
      <c r="P1821" t="str">
        <f>"ОБЛ ТЮМЕНСКАЯ"</f>
        <v>ОБЛ ТЮМЕНСКАЯ</v>
      </c>
      <c r="Q1821" t="str">
        <f>""</f>
        <v/>
      </c>
      <c r="R1821" t="str">
        <f>"Г СУРГУТ"</f>
        <v>Г СУРГУТ</v>
      </c>
      <c r="S1821" t="str">
        <f>""</f>
        <v/>
      </c>
      <c r="T1821" t="str">
        <f>"УЛ ИГОРЯ КИРТБАЯ"</f>
        <v>УЛ ИГОРЯ КИРТБАЯ</v>
      </c>
      <c r="U1821" s="1" t="str">
        <f>"9"</f>
        <v>9</v>
      </c>
      <c r="V1821" s="1" t="str">
        <f>""</f>
        <v/>
      </c>
      <c r="W1821" s="1" t="str">
        <f>""</f>
        <v/>
      </c>
      <c r="X1821" s="1" t="str">
        <f>""</f>
        <v/>
      </c>
      <c r="Y1821" s="1" t="str">
        <f>"116"</f>
        <v>116</v>
      </c>
      <c r="Z1821" t="str">
        <f>""</f>
        <v/>
      </c>
      <c r="AA1821" t="str">
        <f>"3462454246"</f>
        <v>3462454246</v>
      </c>
      <c r="AB1821" t="str">
        <f>"9821850393"</f>
        <v>9821850393</v>
      </c>
      <c r="AC1821" t="str">
        <f>"3462454246"</f>
        <v>3462454246</v>
      </c>
      <c r="AD1821" t="str">
        <f>"9821850393"</f>
        <v>9821850393</v>
      </c>
      <c r="AE1821" t="str">
        <f>""</f>
        <v/>
      </c>
    </row>
    <row r="1822" spans="1:31" x14ac:dyDescent="0.45">
      <c r="A1822" t="str">
        <f>"КАРАВАШКОВ ВЛАДИМИР МИХАЙЛОВИЧ"</f>
        <v>КАРАВАШКОВ ВЛАДИМИР МИХАЙЛОВИЧ</v>
      </c>
      <c r="B1822" t="str">
        <f>"1956-01-12"</f>
        <v>1956-01-12</v>
      </c>
      <c r="C1822" t="str">
        <f>"65 04 841635"</f>
        <v>65 04 841635</v>
      </c>
      <c r="D1822" t="str">
        <f>"4854630207890057"</f>
        <v>4854630207890057</v>
      </c>
      <c r="E1822" t="str">
        <f>"2020-11-30"</f>
        <v>2020-11-30</v>
      </c>
      <c r="F1822" t="str">
        <f>"+"</f>
        <v>+</v>
      </c>
      <c r="G1822" t="str">
        <f t="shared" si="321"/>
        <v>+</v>
      </c>
      <c r="H1822" t="str">
        <f>"40817810516991442632"</f>
        <v>40817810516991442632</v>
      </c>
      <c r="I1822" t="str">
        <f>"7003"</f>
        <v>7003</v>
      </c>
      <c r="J1822" t="str">
        <f>"0362"</f>
        <v>0362</v>
      </c>
      <c r="K1822" t="str">
        <f>"40000.00"</f>
        <v>40000.00</v>
      </c>
      <c r="L1822" t="str">
        <f>"620000 ОБЛ СВЕРДЛОВСКАЯ   Г ЕКАТЕРИНБУРГ   УЛ МАШИНОСТРОИТЕЛЕЙ д. 19"</f>
        <v>620000 ОБЛ СВЕРДЛОВСКАЯ   Г ЕКАТЕРИНБУРГ   УЛ МАШИНОСТРОИТЕЛЕЙ д. 19</v>
      </c>
      <c r="M1822" t="str">
        <f t="shared" si="314"/>
        <v>2019-08-24</v>
      </c>
      <c r="N1822" t="str">
        <f>"ПЕНСИОННЫЙ ФОНД РОССИИ"</f>
        <v>ПЕНСИОННЫЙ ФОНД РОССИИ</v>
      </c>
      <c r="O1822" t="str">
        <f>"620000"</f>
        <v>620000</v>
      </c>
      <c r="P1822" t="str">
        <f>"ОБЛ СВЕРДЛОВСКАЯ"</f>
        <v>ОБЛ СВЕРДЛОВСКАЯ</v>
      </c>
      <c r="Q1822" t="str">
        <f>""</f>
        <v/>
      </c>
      <c r="R1822" t="str">
        <f>"Г ЕКАТЕРИНБУРГ"</f>
        <v>Г ЕКАТЕРИНБУРГ</v>
      </c>
      <c r="S1822" t="str">
        <f>""</f>
        <v/>
      </c>
      <c r="T1822" t="str">
        <f>"УЛ УРАЛЬСКИХ РАБОЧИХ"</f>
        <v>УЛ УРАЛЬСКИХ РАБОЧИХ</v>
      </c>
      <c r="U1822" s="1" t="str">
        <f>"5"</f>
        <v>5</v>
      </c>
      <c r="V1822" s="1" t="str">
        <f>""</f>
        <v/>
      </c>
      <c r="W1822" s="1" t="str">
        <f>""</f>
        <v/>
      </c>
      <c r="X1822" s="1" t="str">
        <f>""</f>
        <v/>
      </c>
      <c r="Y1822" s="1" t="str">
        <f>"8"</f>
        <v>8</v>
      </c>
      <c r="Z1822" t="str">
        <f>""</f>
        <v/>
      </c>
      <c r="AA1822" t="str">
        <f>"9655193722"</f>
        <v>9655193722</v>
      </c>
      <c r="AB1822" t="str">
        <f>"9655193722"</f>
        <v>9655193722</v>
      </c>
      <c r="AC1822" t="str">
        <f>"9655193722"</f>
        <v>9655193722</v>
      </c>
      <c r="AD1822" t="str">
        <f>"9655193722"</f>
        <v>9655193722</v>
      </c>
      <c r="AE1822" t="str">
        <f>""</f>
        <v/>
      </c>
    </row>
    <row r="1823" spans="1:31" x14ac:dyDescent="0.45">
      <c r="A1823" t="str">
        <f>"ГАЛИУЛЛИН РАФИЛЬ РАСУЛОВИЧ"</f>
        <v>ГАЛИУЛЛИН РАФИЛЬ РАСУЛОВИЧ</v>
      </c>
      <c r="B1823" t="str">
        <f>"1960-01-24"</f>
        <v>1960-01-24</v>
      </c>
      <c r="C1823" t="str">
        <f>"67 04 416553"</f>
        <v>67 04 416553</v>
      </c>
      <c r="D1823" t="str">
        <f>"4854630176627498"</f>
        <v>4854630176627498</v>
      </c>
      <c r="E1823" t="str">
        <f>"2021-05-31"</f>
        <v>2021-05-31</v>
      </c>
      <c r="F1823" t="str">
        <f>"+"</f>
        <v>+</v>
      </c>
      <c r="G1823" t="str">
        <f t="shared" si="321"/>
        <v>+</v>
      </c>
      <c r="H1823" t="str">
        <f>"40817810116991470392"</f>
        <v>40817810116991470392</v>
      </c>
      <c r="I1823" t="str">
        <f>"8598"</f>
        <v>8598</v>
      </c>
      <c r="J1823" t="str">
        <f>"0011"</f>
        <v>0011</v>
      </c>
      <c r="K1823" t="str">
        <f>"50000.00"</f>
        <v>50000.00</v>
      </c>
      <c r="L1823" t="str">
        <f>"628400 ОБЛ ТЮМЕНСКАЯ   Г СУРГУТ   УЛ БЫСТРИНСКАЯ д. 18 кв. 17"</f>
        <v>628400 ОБЛ ТЮМЕНСКАЯ   Г СУРГУТ   УЛ БЫСТРИНСКАЯ д. 18 кв. 17</v>
      </c>
      <c r="M1823" t="str">
        <f t="shared" si="314"/>
        <v>2019-08-24</v>
      </c>
      <c r="N1823" t="str">
        <f>"ПЕНСИОНЕР"</f>
        <v>ПЕНСИОНЕР</v>
      </c>
      <c r="O1823" t="str">
        <f>"628400"</f>
        <v>628400</v>
      </c>
      <c r="P1823" t="str">
        <f>"ОБЛ ТЮМЕНСКАЯ"</f>
        <v>ОБЛ ТЮМЕНСКАЯ</v>
      </c>
      <c r="Q1823" t="str">
        <f>""</f>
        <v/>
      </c>
      <c r="R1823" t="str">
        <f>"Г СУРГУТ"</f>
        <v>Г СУРГУТ</v>
      </c>
      <c r="S1823" t="str">
        <f>""</f>
        <v/>
      </c>
      <c r="T1823" t="str">
        <f>"УЛ БЫСТРИНСКАЯ"</f>
        <v>УЛ БЫСТРИНСКАЯ</v>
      </c>
      <c r="U1823" s="1" t="str">
        <f>"18"</f>
        <v>18</v>
      </c>
      <c r="V1823" s="1" t="str">
        <f>""</f>
        <v/>
      </c>
      <c r="W1823" s="1" t="str">
        <f>""</f>
        <v/>
      </c>
      <c r="X1823" s="1" t="str">
        <f>""</f>
        <v/>
      </c>
      <c r="Y1823" s="1" t="str">
        <f>"17"</f>
        <v>17</v>
      </c>
      <c r="Z1823" t="str">
        <f>"9324039525"</f>
        <v>9324039525</v>
      </c>
      <c r="AA1823" t="str">
        <f>"9324039525"</f>
        <v>9324039525</v>
      </c>
      <c r="AB1823" t="str">
        <f>"9279288628"</f>
        <v>9279288628</v>
      </c>
      <c r="AC1823" t="str">
        <f>"9324039525"</f>
        <v>9324039525</v>
      </c>
      <c r="AD1823" t="str">
        <f>"9324039525"</f>
        <v>9324039525</v>
      </c>
      <c r="AE1823" t="str">
        <f>"9324039525"</f>
        <v>9324039525</v>
      </c>
    </row>
    <row r="1824" spans="1:31" x14ac:dyDescent="0.45">
      <c r="A1824" t="str">
        <f>"ЛЕДОВСКИХ АЛЕКСАНДР ИВАНОВИЧ"</f>
        <v>ЛЕДОВСКИХ АЛЕКСАНДР ИВАНОВИЧ</v>
      </c>
      <c r="B1824" t="str">
        <f>"1954-04-28"</f>
        <v>1954-04-28</v>
      </c>
      <c r="C1824" t="str">
        <f>"75 03 033174"</f>
        <v>75 03 033174</v>
      </c>
      <c r="D1824" t="str">
        <f>"4854630319465293"</f>
        <v>4854630319465293</v>
      </c>
      <c r="E1824" t="str">
        <f>"2021-05-31"</f>
        <v>2021-05-31</v>
      </c>
      <c r="F1824" t="str">
        <f>"+"</f>
        <v>+</v>
      </c>
      <c r="G1824" t="str">
        <f t="shared" si="321"/>
        <v>+</v>
      </c>
      <c r="H1824" t="str">
        <f>"40817810416991470393"</f>
        <v>40817810416991470393</v>
      </c>
      <c r="I1824" t="str">
        <f>"8597"</f>
        <v>8597</v>
      </c>
      <c r="J1824" t="str">
        <f>"0447"</f>
        <v>0447</v>
      </c>
      <c r="K1824" t="str">
        <f>"100000.00"</f>
        <v>100000.00</v>
      </c>
      <c r="L1824" t="str">
        <f>"454000 ОБЛ ЧЕЛЯБИНСКАЯ   Г ТРОИЦК   УЛ РАЗИНА д. 20"</f>
        <v>454000 ОБЛ ЧЕЛЯБИНСКАЯ   Г ТРОИЦК   УЛ РАЗИНА д. 20</v>
      </c>
      <c r="M1824" t="str">
        <f t="shared" si="314"/>
        <v>2019-08-24</v>
      </c>
      <c r="N1824" t="str">
        <f>"ПЕНСИОНЕР"</f>
        <v>ПЕНСИОНЕР</v>
      </c>
      <c r="O1824" t="str">
        <f>"454000"</f>
        <v>454000</v>
      </c>
      <c r="P1824" t="str">
        <f>"ОБЛ ЧЕЛЯБИНСКАЯ"</f>
        <v>ОБЛ ЧЕЛЯБИНСКАЯ</v>
      </c>
      <c r="Q1824" t="str">
        <f>"Р-Н ТРОИЦКИЙ"</f>
        <v>Р-Н ТРОИЦКИЙ</v>
      </c>
      <c r="R1824" t="str">
        <f>""</f>
        <v/>
      </c>
      <c r="S1824" t="str">
        <f>"С ДРОБЫШЕВО"</f>
        <v>С ДРОБЫШЕВО</v>
      </c>
      <c r="T1824" t="str">
        <f>"УЛ СЕВЕРНАЯ"</f>
        <v>УЛ СЕВЕРНАЯ</v>
      </c>
      <c r="U1824" s="1" t="str">
        <f>"15"</f>
        <v>15</v>
      </c>
      <c r="V1824" s="1" t="str">
        <f>""</f>
        <v/>
      </c>
      <c r="W1824" s="1" t="str">
        <f>""</f>
        <v/>
      </c>
      <c r="X1824" s="1" t="str">
        <f>""</f>
        <v/>
      </c>
      <c r="Y1824" s="1" t="str">
        <f>"1"</f>
        <v>1</v>
      </c>
      <c r="Z1824" t="str">
        <f>""</f>
        <v/>
      </c>
      <c r="AA1824" t="str">
        <f>"9227351482"</f>
        <v>9227351482</v>
      </c>
      <c r="AB1824" t="str">
        <f>"9227351482"</f>
        <v>9227351482</v>
      </c>
      <c r="AC1824" t="str">
        <f>"9227351482"</f>
        <v>9227351482</v>
      </c>
      <c r="AD1824" t="str">
        <f>"9227351482"</f>
        <v>9227351482</v>
      </c>
      <c r="AE1824" t="str">
        <f>""</f>
        <v/>
      </c>
    </row>
    <row r="1825" spans="1:31" x14ac:dyDescent="0.45">
      <c r="A1825" t="str">
        <f>"ЛУКИНЫХ СВЕТЛАНА АЛЕКСАНДРОВНА"</f>
        <v>ЛУКИНЫХ СВЕТЛАНА АЛЕКСАНДРОВНА</v>
      </c>
      <c r="B1825" t="str">
        <f>"1957-09-20"</f>
        <v>1957-09-20</v>
      </c>
      <c r="C1825" t="str">
        <f>"37 17 732677"</f>
        <v>37 17 732677</v>
      </c>
      <c r="D1825" t="str">
        <f>"5313100808584311"</f>
        <v>5313100808584311</v>
      </c>
      <c r="E1825" t="str">
        <f>"2021-03-31"</f>
        <v>2021-03-31</v>
      </c>
      <c r="F1825" t="str">
        <f>"Y"</f>
        <v>Y</v>
      </c>
      <c r="G1825" t="str">
        <f>"Q"</f>
        <v>Q</v>
      </c>
      <c r="H1825" t="str">
        <f>"40817810716991470394"</f>
        <v>40817810716991470394</v>
      </c>
      <c r="I1825" t="str">
        <f>"8599"</f>
        <v>8599</v>
      </c>
      <c r="J1825" t="str">
        <f>"0227"</f>
        <v>0227</v>
      </c>
      <c r="K1825" t="str">
        <f>"0.00"</f>
        <v>0.00</v>
      </c>
      <c r="L1825" t="str">
        <f>"641000 ОБЛ КУРГАНСКАЯ Р-Н ШАДРИНСКИЙ   Д КОМСОМОЛЬСКАЯ УЛ МОЛОДЕЖНАЯ д. 2 кв. 1"</f>
        <v>641000 ОБЛ КУРГАНСКАЯ Р-Н ШАДРИНСКИЙ   Д КОМСОМОЛЬСКАЯ УЛ МОЛОДЕЖНАЯ д. 2 кв. 1</v>
      </c>
      <c r="M1825" t="str">
        <f t="shared" si="314"/>
        <v>2019-08-24</v>
      </c>
      <c r="N1825" t="str">
        <f>"32181304"</f>
        <v>32181304</v>
      </c>
      <c r="O1825" t="str">
        <f>"641000"</f>
        <v>641000</v>
      </c>
      <c r="P1825" t="str">
        <f>"ОБЛ КУРГАНСКАЯ"</f>
        <v>ОБЛ КУРГАНСКАЯ</v>
      </c>
      <c r="Q1825" t="str">
        <f>"Р-Н ШАДРИНСКИЙ"</f>
        <v>Р-Н ШАДРИНСКИЙ</v>
      </c>
      <c r="R1825" t="str">
        <f>""</f>
        <v/>
      </c>
      <c r="S1825" t="str">
        <f>"Д КОМСОМОЛЬСКАЯ"</f>
        <v>Д КОМСОМОЛЬСКАЯ</v>
      </c>
      <c r="T1825" t="str">
        <f>"УЛ МОЛОДЕЖНАЯ"</f>
        <v>УЛ МОЛОДЕЖНАЯ</v>
      </c>
      <c r="U1825" s="1" t="str">
        <f>"2"</f>
        <v>2</v>
      </c>
      <c r="V1825" s="1" t="str">
        <f>""</f>
        <v/>
      </c>
      <c r="W1825" s="1" t="str">
        <f>""</f>
        <v/>
      </c>
      <c r="X1825" s="1" t="str">
        <f>""</f>
        <v/>
      </c>
      <c r="Y1825" s="1" t="str">
        <f>"1"</f>
        <v>1</v>
      </c>
      <c r="Z1825" t="str">
        <f>""</f>
        <v/>
      </c>
      <c r="AA1825" t="str">
        <f>"3525476160"</f>
        <v>3525476160</v>
      </c>
      <c r="AB1825" t="str">
        <f>"9125205701"</f>
        <v>9125205701</v>
      </c>
      <c r="AC1825" t="str">
        <f>"9125205701"</f>
        <v>9125205701</v>
      </c>
      <c r="AD1825" t="str">
        <f>"9125205701"</f>
        <v>9125205701</v>
      </c>
      <c r="AE1825" t="str">
        <f>""</f>
        <v/>
      </c>
    </row>
    <row r="1826" spans="1:31" x14ac:dyDescent="0.45">
      <c r="A1826" t="str">
        <f>"ШАБАЛИНА ТАМАРА ДАНИЛОВНА"</f>
        <v>ШАБАЛИНА ТАМАРА ДАНИЛОВНА</v>
      </c>
      <c r="B1826" t="str">
        <f>"1956-08-21"</f>
        <v>1956-08-21</v>
      </c>
      <c r="C1826" t="str">
        <f>"71 07 533717"</f>
        <v>71 07 533717</v>
      </c>
      <c r="D1826" t="str">
        <f>"4854630105941382"</f>
        <v>4854630105941382</v>
      </c>
      <c r="E1826" t="str">
        <f>"2021-05-31"</f>
        <v>2021-05-31</v>
      </c>
      <c r="F1826" t="str">
        <f t="shared" ref="F1826:G1831" si="322">"+"</f>
        <v>+</v>
      </c>
      <c r="G1826" t="str">
        <f t="shared" si="322"/>
        <v>+</v>
      </c>
      <c r="H1826" t="str">
        <f>"40817810116992194101"</f>
        <v>40817810116992194101</v>
      </c>
      <c r="I1826" t="str">
        <f>"8647"</f>
        <v>8647</v>
      </c>
      <c r="J1826" t="str">
        <f>"0096"</f>
        <v>0096</v>
      </c>
      <c r="K1826" t="str">
        <f>"70000.00"</f>
        <v>70000.00</v>
      </c>
      <c r="L1826" t="str">
        <f>"625000 ОБЛ ТЮМЕНСКАЯ   Г ТЮМЕНЬ   УЛ НИКОЛАЯ ФЕДОРОВА д. 6 кв. 108"</f>
        <v>625000 ОБЛ ТЮМЕНСКАЯ   Г ТЮМЕНЬ   УЛ НИКОЛАЯ ФЕДОРОВА д. 6 кв. 108</v>
      </c>
      <c r="M1826" t="str">
        <f t="shared" si="314"/>
        <v>2019-08-24</v>
      </c>
      <c r="N1826" t="str">
        <f>"ПЕНСИОНЕР"</f>
        <v>ПЕНСИОНЕР</v>
      </c>
      <c r="O1826" t="str">
        <f>"625000"</f>
        <v>625000</v>
      </c>
      <c r="P1826" t="str">
        <f>"ОБЛ ТЮМЕНСКАЯ"</f>
        <v>ОБЛ ТЮМЕНСКАЯ</v>
      </c>
      <c r="Q1826" t="str">
        <f>""</f>
        <v/>
      </c>
      <c r="R1826" t="str">
        <f>"Г ТЮМЕНЬ"</f>
        <v>Г ТЮМЕНЬ</v>
      </c>
      <c r="S1826" t="str">
        <f>""</f>
        <v/>
      </c>
      <c r="T1826" t="str">
        <f>"УЛ НИКОЛАЯ ФЕДОРОВА"</f>
        <v>УЛ НИКОЛАЯ ФЕДОРОВА</v>
      </c>
      <c r="U1826" s="1" t="str">
        <f>"6"</f>
        <v>6</v>
      </c>
      <c r="V1826" s="1" t="str">
        <f>""</f>
        <v/>
      </c>
      <c r="W1826" s="1" t="str">
        <f>""</f>
        <v/>
      </c>
      <c r="X1826" s="1" t="str">
        <f>""</f>
        <v/>
      </c>
      <c r="Y1826" s="1" t="str">
        <f>"108"</f>
        <v>108</v>
      </c>
      <c r="Z1826" t="str">
        <f>""</f>
        <v/>
      </c>
      <c r="AA1826" t="str">
        <f>"3452315550"</f>
        <v>3452315550</v>
      </c>
      <c r="AB1826" t="str">
        <f>"9199423987"</f>
        <v>9199423987</v>
      </c>
      <c r="AC1826" t="str">
        <f>"3452315550"</f>
        <v>3452315550</v>
      </c>
      <c r="AD1826" t="str">
        <f>"9199423987"</f>
        <v>9199423987</v>
      </c>
      <c r="AE1826" t="str">
        <f>""</f>
        <v/>
      </c>
    </row>
    <row r="1827" spans="1:31" x14ac:dyDescent="0.45">
      <c r="A1827" t="str">
        <f>"ГАЛИАХМЕТОВА РАСИЛЯ МИРСАЯФОВНА"</f>
        <v>ГАЛИАХМЕТОВА РАСИЛЯ МИРСАЯФОВНА</v>
      </c>
      <c r="B1827" t="str">
        <f>"1957-04-25"</f>
        <v>1957-04-25</v>
      </c>
      <c r="C1827" t="str">
        <f>"80 15 308405"</f>
        <v>80 15 308405</v>
      </c>
      <c r="D1827" t="str">
        <f>"4854630412674247"</f>
        <v>4854630412674247</v>
      </c>
      <c r="E1827" t="str">
        <f>"2021-04-30"</f>
        <v>2021-04-30</v>
      </c>
      <c r="F1827" t="str">
        <f t="shared" si="322"/>
        <v>+</v>
      </c>
      <c r="G1827" t="str">
        <f t="shared" si="322"/>
        <v>+</v>
      </c>
      <c r="H1827" t="str">
        <f>"40817810416991470445"</f>
        <v>40817810416991470445</v>
      </c>
      <c r="I1827" t="str">
        <f>"8598"</f>
        <v>8598</v>
      </c>
      <c r="J1827" t="str">
        <f>"0497"</f>
        <v>0497</v>
      </c>
      <c r="K1827" t="str">
        <f>"50000.00"</f>
        <v>50000.00</v>
      </c>
      <c r="L1827" t="str">
        <f>"450000 РЕСП БАШКОРТОСТАН   Г ДЮРТЮЛИ   УЛ ЛЕНИНА д. 38 кв. 12"</f>
        <v>450000 РЕСП БАШКОРТОСТАН   Г ДЮРТЮЛИ   УЛ ЛЕНИНА д. 38 кв. 12</v>
      </c>
      <c r="M1827" t="str">
        <f t="shared" si="314"/>
        <v>2019-08-24</v>
      </c>
      <c r="N1827" t="str">
        <f>"ПЕНСИОНЕР"</f>
        <v>ПЕНСИОНЕР</v>
      </c>
      <c r="O1827" t="str">
        <f>"450000"</f>
        <v>450000</v>
      </c>
      <c r="P1827" t="str">
        <f>"РЕСП БАШКОРТОСТАН"</f>
        <v>РЕСП БАШКОРТОСТАН</v>
      </c>
      <c r="Q1827" t="str">
        <f>""</f>
        <v/>
      </c>
      <c r="R1827" t="str">
        <f>"Г ДЮРТЮЛИ"</f>
        <v>Г ДЮРТЮЛИ</v>
      </c>
      <c r="S1827" t="str">
        <f>""</f>
        <v/>
      </c>
      <c r="T1827" t="str">
        <f>"УЛ ЛЕНИНА"</f>
        <v>УЛ ЛЕНИНА</v>
      </c>
      <c r="U1827" s="1" t="str">
        <f>"38"</f>
        <v>38</v>
      </c>
      <c r="V1827" s="1" t="str">
        <f>""</f>
        <v/>
      </c>
      <c r="W1827" s="1" t="str">
        <f>""</f>
        <v/>
      </c>
      <c r="X1827" s="1" t="str">
        <f>""</f>
        <v/>
      </c>
      <c r="Y1827" s="1" t="str">
        <f>"12"</f>
        <v>12</v>
      </c>
      <c r="Z1827" t="str">
        <f>""</f>
        <v/>
      </c>
      <c r="AA1827" t="str">
        <f>"9373672411"</f>
        <v>9373672411</v>
      </c>
      <c r="AB1827" t="str">
        <f>"9373672411"</f>
        <v>9373672411</v>
      </c>
      <c r="AC1827" t="str">
        <f>"9373672411"</f>
        <v>9373672411</v>
      </c>
      <c r="AD1827" t="str">
        <f>"9373672411"</f>
        <v>9373672411</v>
      </c>
      <c r="AE1827" t="str">
        <f>""</f>
        <v/>
      </c>
    </row>
    <row r="1828" spans="1:31" x14ac:dyDescent="0.45">
      <c r="A1828" t="str">
        <f>"ШААФ НАТАЛЬЯ БОРИСОВНА"</f>
        <v>ШААФ НАТАЛЬЯ БОРИСОВНА</v>
      </c>
      <c r="B1828" t="str">
        <f>"1969-12-02"</f>
        <v>1969-12-02</v>
      </c>
      <c r="C1828" t="str">
        <f>"71 15 154803"</f>
        <v>71 15 154803</v>
      </c>
      <c r="D1828" t="str">
        <f>"4854630068731598"</f>
        <v>4854630068731598</v>
      </c>
      <c r="E1828" t="str">
        <f>"2020-11-30"</f>
        <v>2020-11-30</v>
      </c>
      <c r="F1828" t="str">
        <f t="shared" si="322"/>
        <v>+</v>
      </c>
      <c r="G1828" t="str">
        <f t="shared" si="322"/>
        <v>+</v>
      </c>
      <c r="H1828" t="str">
        <f>"40817810816992194171"</f>
        <v>40817810816992194171</v>
      </c>
      <c r="I1828" t="str">
        <f>"8647"</f>
        <v>8647</v>
      </c>
      <c r="J1828" t="str">
        <f>"0328"</f>
        <v>0328</v>
      </c>
      <c r="K1828" t="str">
        <f>"195000.00"</f>
        <v>195000.00</v>
      </c>
      <c r="L1828" t="str">
        <f>"626157 ОБЛ ТЮМЕНСКАЯ   Г ТОБОЛЬСК   УЛ РЕМЕЗОВА стр. 2"</f>
        <v>626157 ОБЛ ТЮМЕНСКАЯ   Г ТОБОЛЬСК   УЛ РЕМЕЗОВА стр. 2</v>
      </c>
      <c r="M1828" t="str">
        <f t="shared" si="314"/>
        <v>2019-08-24</v>
      </c>
      <c r="N1828" t="str">
        <f>"МАУ ТРЦК"</f>
        <v>МАУ ТРЦК</v>
      </c>
      <c r="O1828" t="str">
        <f>"626139"</f>
        <v>626139</v>
      </c>
      <c r="P1828" t="str">
        <f>"ОБЛ ТЮМЕНСКАЯ"</f>
        <v>ОБЛ ТЮМЕНСКАЯ</v>
      </c>
      <c r="Q1828" t="str">
        <f>"Р-Н ТОБОЛЬСКИЙ"</f>
        <v>Р-Н ТОБОЛЬСКИЙ</v>
      </c>
      <c r="R1828" t="str">
        <f>""</f>
        <v/>
      </c>
      <c r="S1828" t="str">
        <f>"П НАДЦЫ"</f>
        <v>П НАДЦЫ</v>
      </c>
      <c r="T1828" t="str">
        <f>"УЛ НАГОРНАЯ"</f>
        <v>УЛ НАГОРНАЯ</v>
      </c>
      <c r="U1828" s="1" t="str">
        <f>"20"</f>
        <v>20</v>
      </c>
      <c r="V1828" s="1" t="str">
        <f>""</f>
        <v/>
      </c>
      <c r="W1828" s="1" t="str">
        <f>""</f>
        <v/>
      </c>
      <c r="X1828" s="1" t="str">
        <f>""</f>
        <v/>
      </c>
      <c r="Y1828" s="1" t="str">
        <f>"2"</f>
        <v>2</v>
      </c>
      <c r="Z1828" t="str">
        <f>""</f>
        <v/>
      </c>
      <c r="AA1828" t="str">
        <f>"9199273364"</f>
        <v>9199273364</v>
      </c>
      <c r="AB1828" t="str">
        <f>"9199274055"</f>
        <v>9199274055</v>
      </c>
      <c r="AC1828" t="str">
        <f>"9199273364"</f>
        <v>9199273364</v>
      </c>
      <c r="AD1828" t="str">
        <f>"9199274055"</f>
        <v>9199274055</v>
      </c>
      <c r="AE1828" t="str">
        <f>""</f>
        <v/>
      </c>
    </row>
    <row r="1829" spans="1:31" x14ac:dyDescent="0.45">
      <c r="A1829" t="str">
        <f>"ШЕВАЛДЫШЕВ АЛЕКСАНДР АНАТОЛЬЕВИЧ"</f>
        <v>ШЕВАЛДЫШЕВ АЛЕКСАНДР АНАТОЛЬЕВИЧ</v>
      </c>
      <c r="B1829" t="str">
        <f>"1982-03-17"</f>
        <v>1982-03-17</v>
      </c>
      <c r="C1829" t="str">
        <f>"37 03 720948"</f>
        <v>37 03 720948</v>
      </c>
      <c r="D1829" t="str">
        <f>"4854630351717205"</f>
        <v>4854630351717205</v>
      </c>
      <c r="E1829" t="str">
        <f>"2021-05-31"</f>
        <v>2021-05-31</v>
      </c>
      <c r="F1829" t="str">
        <f t="shared" si="322"/>
        <v>+</v>
      </c>
      <c r="G1829" t="str">
        <f t="shared" si="322"/>
        <v>+</v>
      </c>
      <c r="H1829" t="str">
        <f>"40817810416991470474"</f>
        <v>40817810416991470474</v>
      </c>
      <c r="I1829" t="str">
        <f>"8599"</f>
        <v>8599</v>
      </c>
      <c r="J1829" t="str">
        <f>"0083"</f>
        <v>0083</v>
      </c>
      <c r="K1829" t="str">
        <f>"15000.00"</f>
        <v>15000.00</v>
      </c>
      <c r="L1829" t="str">
        <f>"641000 ОБЛ КУРГАНСКАЯ   Г КУРГАН   УЛ ГАГАРИНА д. 37 корп. А"</f>
        <v>641000 ОБЛ КУРГАНСКАЯ   Г КУРГАН   УЛ ГАГАРИНА д. 37 корп. А</v>
      </c>
      <c r="M1829" t="str">
        <f t="shared" si="314"/>
        <v>2019-08-24</v>
      </c>
      <c r="N1829" t="str">
        <f>"УМВД РОССИИ ПО КУРГАНСКОЙ ОБЛАТСТИ"</f>
        <v>УМВД РОССИИ ПО КУРГАНСКОЙ ОБЛАТСТИ</v>
      </c>
      <c r="O1829" t="str">
        <f>"641000"</f>
        <v>641000</v>
      </c>
      <c r="P1829" t="str">
        <f>"ОБЛ КУРГАНСКАЯ"</f>
        <v>ОБЛ КУРГАНСКАЯ</v>
      </c>
      <c r="Q1829" t="str">
        <f>""</f>
        <v/>
      </c>
      <c r="R1829" t="str">
        <f>"Г КУРГАН"</f>
        <v>Г КУРГАН</v>
      </c>
      <c r="S1829" t="str">
        <f>""</f>
        <v/>
      </c>
      <c r="T1829" t="str">
        <f>"УЛ БЛЮХЕРА"</f>
        <v>УЛ БЛЮХЕРА</v>
      </c>
      <c r="U1829" s="1" t="str">
        <f>"66"</f>
        <v>66</v>
      </c>
      <c r="V1829" s="1" t="str">
        <f>""</f>
        <v/>
      </c>
      <c r="W1829" s="1" t="str">
        <f>""</f>
        <v/>
      </c>
      <c r="X1829" s="1" t="str">
        <f>""</f>
        <v/>
      </c>
      <c r="Y1829" s="1" t="str">
        <f>"106"</f>
        <v>106</v>
      </c>
      <c r="Z1829" t="str">
        <f>"+7 (3522) 495947"</f>
        <v>+7 (3522) 495947</v>
      </c>
      <c r="AA1829" t="str">
        <f>""</f>
        <v/>
      </c>
      <c r="AB1829" t="str">
        <f>"9058549785"</f>
        <v>9058549785</v>
      </c>
      <c r="AC1829" t="str">
        <f>"9638656975"</f>
        <v>9638656975</v>
      </c>
      <c r="AD1829" t="str">
        <f>"9058549785"</f>
        <v>9058549785</v>
      </c>
      <c r="AE1829" t="str">
        <f>""</f>
        <v/>
      </c>
    </row>
    <row r="1830" spans="1:31" x14ac:dyDescent="0.45">
      <c r="A1830" t="str">
        <f>"ХИСМАТУЛЛИНА АЛЬФИЯ РАФАИЛЕВНА"</f>
        <v>ХИСМАТУЛЛИНА АЛЬФИЯ РАФАИЛЕВНА</v>
      </c>
      <c r="B1830" t="str">
        <f>"1977-12-03"</f>
        <v>1977-12-03</v>
      </c>
      <c r="C1830" t="str">
        <f>"80 01 280139"</f>
        <v>80 01 280139</v>
      </c>
      <c r="D1830" t="str">
        <f>"4854630396536495"</f>
        <v>4854630396536495</v>
      </c>
      <c r="E1830" t="str">
        <f>"2021-04-30"</f>
        <v>2021-04-30</v>
      </c>
      <c r="F1830" t="str">
        <f t="shared" si="322"/>
        <v>+</v>
      </c>
      <c r="G1830" t="str">
        <f t="shared" si="322"/>
        <v>+</v>
      </c>
      <c r="H1830" t="str">
        <f>"40817810716991470475"</f>
        <v>40817810716991470475</v>
      </c>
      <c r="I1830" t="str">
        <f>"8598"</f>
        <v>8598</v>
      </c>
      <c r="J1830" t="str">
        <f>"0383"</f>
        <v>0383</v>
      </c>
      <c r="K1830" t="str">
        <f>"15000.00"</f>
        <v>15000.00</v>
      </c>
      <c r="L1830" t="str">
        <f>"450000 РЕСП БАШКОРТОСТАН   Г СТЕРЛИТАМАК   УЛ ГОГОЛЯ д. 127"</f>
        <v>450000 РЕСП БАШКОРТОСТАН   Г СТЕРЛИТАМАК   УЛ ГОГОЛЯ д. 127</v>
      </c>
      <c r="M1830" t="str">
        <f t="shared" si="314"/>
        <v>2019-08-24</v>
      </c>
      <c r="N1830" t="str">
        <f>"МАДОУ ДС 87"</f>
        <v>МАДОУ ДС 87</v>
      </c>
      <c r="O1830" t="str">
        <f>"450000"</f>
        <v>450000</v>
      </c>
      <c r="P1830" t="str">
        <f>"РЕСП БАШКОРТОСТАН"</f>
        <v>РЕСП БАШКОРТОСТАН</v>
      </c>
      <c r="Q1830" t="str">
        <f>""</f>
        <v/>
      </c>
      <c r="R1830" t="str">
        <f>"Г СТЕРЛИТАМАК"</f>
        <v>Г СТЕРЛИТАМАК</v>
      </c>
      <c r="S1830" t="str">
        <f>""</f>
        <v/>
      </c>
      <c r="T1830" t="str">
        <f>"УЛ СТАДИОННАЯ"</f>
        <v>УЛ СТАДИОННАЯ</v>
      </c>
      <c r="U1830" s="1" t="str">
        <f>"21"</f>
        <v>21</v>
      </c>
      <c r="V1830" s="1" t="str">
        <f>""</f>
        <v/>
      </c>
      <c r="W1830" s="1" t="str">
        <f>""</f>
        <v/>
      </c>
      <c r="X1830" s="1" t="str">
        <f>""</f>
        <v/>
      </c>
      <c r="Y1830" s="1" t="str">
        <f>"5"</f>
        <v>5</v>
      </c>
      <c r="Z1830" t="str">
        <f>""</f>
        <v/>
      </c>
      <c r="AA1830" t="str">
        <f>"9874743424"</f>
        <v>9874743424</v>
      </c>
      <c r="AB1830" t="str">
        <f>"9874743424"</f>
        <v>9874743424</v>
      </c>
      <c r="AC1830" t="str">
        <f>"9874743424"</f>
        <v>9874743424</v>
      </c>
      <c r="AD1830" t="str">
        <f>"9874743424"</f>
        <v>9874743424</v>
      </c>
      <c r="AE1830" t="str">
        <f>""</f>
        <v/>
      </c>
    </row>
    <row r="1831" spans="1:31" x14ac:dyDescent="0.45">
      <c r="A1831" t="str">
        <f>"СМИРНОВА ТАТЬЯНА ВИКТОРОВНА"</f>
        <v>СМИРНОВА ТАТЬЯНА ВИКТОРОВНА</v>
      </c>
      <c r="B1831" t="str">
        <f>"1968-04-16"</f>
        <v>1968-04-16</v>
      </c>
      <c r="C1831" t="str">
        <f>"52 12 217885"</f>
        <v>52 12 217885</v>
      </c>
      <c r="D1831" t="str">
        <f>"4854630378319233"</f>
        <v>4854630378319233</v>
      </c>
      <c r="E1831" t="str">
        <f>"2021-04-30"</f>
        <v>2021-04-30</v>
      </c>
      <c r="F1831" t="str">
        <f t="shared" si="322"/>
        <v>+</v>
      </c>
      <c r="G1831" t="str">
        <f t="shared" si="322"/>
        <v>+</v>
      </c>
      <c r="H1831" t="str">
        <f>"40817810016992556852"</f>
        <v>40817810016992556852</v>
      </c>
      <c r="I1831" t="str">
        <f>"5940"</f>
        <v>5940</v>
      </c>
      <c r="J1831" t="str">
        <f>"0135"</f>
        <v>0135</v>
      </c>
      <c r="K1831" t="str">
        <f>"80000.00"</f>
        <v>80000.00</v>
      </c>
      <c r="L1831" t="str">
        <f>"628600 ОБЛ ТЮМЕНСКАЯ   Г НИЖНЕВАРТОВСК   УЛ СЕВЕРНАЯ д. 6"</f>
        <v>628600 ОБЛ ТЮМЕНСКАЯ   Г НИЖНЕВАРТОВСК   УЛ СЕВЕРНАЯ д. 6</v>
      </c>
      <c r="M1831" t="str">
        <f t="shared" si="314"/>
        <v>2019-08-24</v>
      </c>
      <c r="N1831" t="str">
        <f>"ООО ПАРАЦЕЛЬС"</f>
        <v>ООО ПАРАЦЕЛЬС</v>
      </c>
      <c r="O1831" t="str">
        <f>"628600"</f>
        <v>628600</v>
      </c>
      <c r="P1831" t="str">
        <f>"ОБЛ ТЮМЕНСКАЯ"</f>
        <v>ОБЛ ТЮМЕНСКАЯ</v>
      </c>
      <c r="Q1831" t="str">
        <f>""</f>
        <v/>
      </c>
      <c r="R1831" t="str">
        <f>"Г НИЖНЕВАРТОВСК"</f>
        <v>Г НИЖНЕВАРТОВСК</v>
      </c>
      <c r="S1831" t="str">
        <f>""</f>
        <v/>
      </c>
      <c r="T1831" t="str">
        <f>"УЛ 60 ЛЕТ ОКТЯБРЯ"</f>
        <v>УЛ 60 ЛЕТ ОКТЯБРЯ</v>
      </c>
      <c r="U1831" s="1" t="str">
        <f>"6"</f>
        <v>6</v>
      </c>
      <c r="V1831" s="1" t="str">
        <f>""</f>
        <v/>
      </c>
      <c r="W1831" s="1" t="str">
        <f>""</f>
        <v/>
      </c>
      <c r="X1831" s="1" t="str">
        <f>""</f>
        <v/>
      </c>
      <c r="Y1831" s="1" t="str">
        <f>"67"</f>
        <v>67</v>
      </c>
      <c r="Z1831" t="str">
        <f>"3466670442"</f>
        <v>3466670442</v>
      </c>
      <c r="AA1831" t="str">
        <f>"9641776240"</f>
        <v>9641776240</v>
      </c>
      <c r="AB1831" t="str">
        <f>"9641776240"</f>
        <v>9641776240</v>
      </c>
      <c r="AC1831" t="str">
        <f>"9641776240"</f>
        <v>9641776240</v>
      </c>
      <c r="AD1831" t="str">
        <f>"9641776240"</f>
        <v>9641776240</v>
      </c>
      <c r="AE1831" t="str">
        <f>"3466670442"</f>
        <v>3466670442</v>
      </c>
    </row>
    <row r="1832" spans="1:31" x14ac:dyDescent="0.45">
      <c r="A1832" t="str">
        <f>"ДУБИНИН АЛЕКСЕЙ МИХАЙЛОВИЧ"</f>
        <v>ДУБИНИН АЛЕКСЕЙ МИХАЙЛОВИЧ</v>
      </c>
      <c r="B1832" t="str">
        <f>"1960-03-26"</f>
        <v>1960-03-26</v>
      </c>
      <c r="C1832" t="str">
        <f>"67 04 456164"</f>
        <v>67 04 456164</v>
      </c>
      <c r="D1832" t="str">
        <f>"4854630062999985"</f>
        <v>4854630062999985</v>
      </c>
      <c r="E1832" t="str">
        <f>"2021-05-31"</f>
        <v>2021-05-31</v>
      </c>
      <c r="F1832" t="str">
        <f>"Y"</f>
        <v>Y</v>
      </c>
      <c r="G1832" t="str">
        <f>"Q"</f>
        <v>Q</v>
      </c>
      <c r="H1832" t="str">
        <f>"40817810416992193747"</f>
        <v>40817810416992193747</v>
      </c>
      <c r="I1832" t="str">
        <f>"5940"</f>
        <v>5940</v>
      </c>
      <c r="J1832" t="str">
        <f>"0080"</f>
        <v>0080</v>
      </c>
      <c r="K1832" t="str">
        <f>"0.00"</f>
        <v>0.00</v>
      </c>
      <c r="L1832" t="str">
        <f>"628449 ОБЛ ТЮМЕНСКАЯ Р-Н СУРГУТСКИЙ Г ЛЯНТОР   МКР 4 стр. 26"</f>
        <v>628449 ОБЛ ТЮМЕНСКАЯ Р-Н СУРГУТСКИЙ Г ЛЯНТОР   МКР 4 стр. 26</v>
      </c>
      <c r="M1832" t="str">
        <f t="shared" si="314"/>
        <v>2019-08-24</v>
      </c>
      <c r="N1832" t="str">
        <f>"СОШ №5"</f>
        <v>СОШ №5</v>
      </c>
      <c r="O1832" t="str">
        <f>"628449"</f>
        <v>628449</v>
      </c>
      <c r="P1832" t="str">
        <f>"ОБЛ ТЮМЕНСКАЯ"</f>
        <v>ОБЛ ТЮМЕНСКАЯ</v>
      </c>
      <c r="Q1832" t="str">
        <f>"Р-Н СУРГУТСКИЙ"</f>
        <v>Р-Н СУРГУТСКИЙ</v>
      </c>
      <c r="R1832" t="str">
        <f>"Г ЛЯНТОР"</f>
        <v>Г ЛЯНТОР</v>
      </c>
      <c r="S1832" t="str">
        <f>""</f>
        <v/>
      </c>
      <c r="T1832" t="str">
        <f>"МКР 1"</f>
        <v>МКР 1</v>
      </c>
      <c r="U1832" s="1" t="str">
        <f>"11"</f>
        <v>11</v>
      </c>
      <c r="V1832" s="1" t="str">
        <f>""</f>
        <v/>
      </c>
      <c r="W1832" s="1" t="str">
        <f>""</f>
        <v/>
      </c>
      <c r="X1832" s="1" t="str">
        <f>""</f>
        <v/>
      </c>
      <c r="Y1832" s="1" t="str">
        <f>"8"</f>
        <v>8</v>
      </c>
      <c r="Z1832" t="str">
        <f>""</f>
        <v/>
      </c>
      <c r="AA1832" t="str">
        <f>"9227119771"</f>
        <v>9227119771</v>
      </c>
      <c r="AB1832" t="str">
        <f>"9227730772"</f>
        <v>9227730772</v>
      </c>
      <c r="AC1832" t="str">
        <f>"9227119771"</f>
        <v>9227119771</v>
      </c>
      <c r="AD1832" t="str">
        <f>"9227730772"</f>
        <v>9227730772</v>
      </c>
      <c r="AE1832" t="str">
        <f>""</f>
        <v/>
      </c>
    </row>
    <row r="1833" spans="1:31" x14ac:dyDescent="0.45">
      <c r="A1833" t="str">
        <f>"ПАСТУХОВ СЕРГЕЙ НИКОЛАЕВИЧ"</f>
        <v>ПАСТУХОВ СЕРГЕЙ НИКОЛАЕВИЧ</v>
      </c>
      <c r="B1833" t="str">
        <f>"1958-07-31"</f>
        <v>1958-07-31</v>
      </c>
      <c r="C1833" t="str">
        <f>"75 04 010179"</f>
        <v>75 04 010179</v>
      </c>
      <c r="D1833" t="str">
        <f>"5313100597739118"</f>
        <v>5313100597739118</v>
      </c>
      <c r="E1833" t="str">
        <f>"2021-03-31"</f>
        <v>2021-03-31</v>
      </c>
      <c r="F1833" t="str">
        <f>"+"</f>
        <v>+</v>
      </c>
      <c r="G1833" t="str">
        <f>"+"</f>
        <v>+</v>
      </c>
      <c r="H1833" t="str">
        <f>"40817810016991470476"</f>
        <v>40817810016991470476</v>
      </c>
      <c r="I1833" t="str">
        <f>"8597"</f>
        <v>8597</v>
      </c>
      <c r="J1833" t="str">
        <f>"0506"</f>
        <v>0506</v>
      </c>
      <c r="K1833" t="str">
        <f>"50000.00"</f>
        <v>50000.00</v>
      </c>
      <c r="L1833" t="str">
        <f>"454000 ОБЛ ЧЕЛЯБИНСКАЯ   Г ЗЛАТОУСТ   УЛ КОВШОВА д. 3"</f>
        <v>454000 ОБЛ ЧЕЛЯБИНСКАЯ   Г ЗЛАТОУСТ   УЛ КОВШОВА д. 3</v>
      </c>
      <c r="M1833" t="str">
        <f t="shared" si="314"/>
        <v>2019-08-24</v>
      </c>
      <c r="N1833" t="str">
        <f>"ПЕНСИОНЕР"</f>
        <v>ПЕНСИОНЕР</v>
      </c>
      <c r="O1833" t="str">
        <f>"454000"</f>
        <v>454000</v>
      </c>
      <c r="P1833" t="str">
        <f>"ОБЛ ЧЕЛЯБИНСКАЯ"</f>
        <v>ОБЛ ЧЕЛЯБИНСКАЯ</v>
      </c>
      <c r="Q1833" t="str">
        <f>""</f>
        <v/>
      </c>
      <c r="R1833" t="str">
        <f>"Г ЗЛАТОУСТ"</f>
        <v>Г ЗЛАТОУСТ</v>
      </c>
      <c r="S1833" t="str">
        <f>""</f>
        <v/>
      </c>
      <c r="T1833" t="str">
        <f>"УЛ 3 ЛЕСОПИЛЬНАЯ"</f>
        <v>УЛ 3 ЛЕСОПИЛЬНАЯ</v>
      </c>
      <c r="U1833" s="1" t="str">
        <f>"18"</f>
        <v>18</v>
      </c>
      <c r="V1833" s="1" t="str">
        <f>""</f>
        <v/>
      </c>
      <c r="W1833" s="1" t="str">
        <f>""</f>
        <v/>
      </c>
      <c r="X1833" s="1" t="str">
        <f>""</f>
        <v/>
      </c>
      <c r="Y1833" s="1" t="str">
        <f>""</f>
        <v/>
      </c>
      <c r="Z1833" t="str">
        <f>""</f>
        <v/>
      </c>
      <c r="AA1833" t="str">
        <f>"9227039363"</f>
        <v>9227039363</v>
      </c>
      <c r="AB1833" t="str">
        <f>"9227039363"</f>
        <v>9227039363</v>
      </c>
      <c r="AC1833" t="str">
        <f>"9227039363"</f>
        <v>9227039363</v>
      </c>
      <c r="AD1833" t="str">
        <f>"9227039363"</f>
        <v>9227039363</v>
      </c>
      <c r="AE1833" t="str">
        <f>""</f>
        <v/>
      </c>
    </row>
    <row r="1834" spans="1:31" x14ac:dyDescent="0.45">
      <c r="A1834" t="str">
        <f>"КОЗОРЕЗ ОЛЬГА МИХАЙЛОВНА"</f>
        <v>КОЗОРЕЗ ОЛЬГА МИХАЙЛОВНА</v>
      </c>
      <c r="B1834" t="str">
        <f>"1954-06-22"</f>
        <v>1954-06-22</v>
      </c>
      <c r="C1834" t="str">
        <f>"65 04 526222"</f>
        <v>65 04 526222</v>
      </c>
      <c r="D1834" t="str">
        <f>"4854630364157910"</f>
        <v>4854630364157910</v>
      </c>
      <c r="E1834" t="str">
        <f>"2021-05-31"</f>
        <v>2021-05-31</v>
      </c>
      <c r="F1834" t="str">
        <f>"Y"</f>
        <v>Y</v>
      </c>
      <c r="G1834" t="str">
        <f>"Q"</f>
        <v>Q</v>
      </c>
      <c r="H1834" t="str">
        <f>"40817810816991470508"</f>
        <v>40817810816991470508</v>
      </c>
      <c r="I1834" t="str">
        <f>"7003"</f>
        <v>7003</v>
      </c>
      <c r="J1834" t="str">
        <f>"0393"</f>
        <v>0393</v>
      </c>
      <c r="K1834" t="str">
        <f t="shared" ref="K1834:K1836" si="323">"0.00"</f>
        <v>0.00</v>
      </c>
      <c r="L1834" t="str">
        <f>"620141 ОБЛ СВЕРДЛОВСКАЯ   Г ЕКАТЕРИНБУРГ   УЛ АРМАВИРСКАЯ д. 17 кв. 30"</f>
        <v>620141 ОБЛ СВЕРДЛОВСКАЯ   Г ЕКАТЕРИНБУРГ   УЛ АРМАВИРСКАЯ д. 17 кв. 30</v>
      </c>
      <c r="M1834" t="str">
        <f t="shared" si="314"/>
        <v>2019-08-24</v>
      </c>
      <c r="N1834" t="str">
        <f>"ПЕНСИОНЕР"</f>
        <v>ПЕНСИОНЕР</v>
      </c>
      <c r="O1834" t="str">
        <f>"620000"</f>
        <v>620000</v>
      </c>
      <c r="P1834" t="str">
        <f>"ОБЛ СВЕРДЛОВСКАЯ"</f>
        <v>ОБЛ СВЕРДЛОВСКАЯ</v>
      </c>
      <c r="Q1834" t="str">
        <f>""</f>
        <v/>
      </c>
      <c r="R1834" t="str">
        <f>"Г ЕКАТЕРИНБУРГ"</f>
        <v>Г ЕКАТЕРИНБУРГ</v>
      </c>
      <c r="S1834" t="str">
        <f>""</f>
        <v/>
      </c>
      <c r="T1834" t="str">
        <f>"УЛ АРМАВИРСКАЯ"</f>
        <v>УЛ АРМАВИРСКАЯ</v>
      </c>
      <c r="U1834" s="1" t="str">
        <f>"17"</f>
        <v>17</v>
      </c>
      <c r="V1834" s="1" t="str">
        <f>""</f>
        <v/>
      </c>
      <c r="W1834" s="1" t="str">
        <f>""</f>
        <v/>
      </c>
      <c r="X1834" s="1" t="str">
        <f>""</f>
        <v/>
      </c>
      <c r="Y1834" s="1" t="str">
        <f>"30"</f>
        <v>30</v>
      </c>
      <c r="Z1834" t="str">
        <f>"9221194744"</f>
        <v>9221194744</v>
      </c>
      <c r="AA1834" t="str">
        <f>"3433707154"</f>
        <v>3433707154</v>
      </c>
      <c r="AB1834" t="str">
        <f>"9221194744"</f>
        <v>9221194744</v>
      </c>
      <c r="AC1834" t="str">
        <f>"3433707154"</f>
        <v>3433707154</v>
      </c>
      <c r="AD1834" t="str">
        <f>"9221194744"</f>
        <v>9221194744</v>
      </c>
      <c r="AE1834" t="str">
        <f>"9221194744"</f>
        <v>9221194744</v>
      </c>
    </row>
    <row r="1835" spans="1:31" x14ac:dyDescent="0.45">
      <c r="A1835" t="str">
        <f>"БАЛЫКИНА ВЕРА ВЛАДИМИРОВНА"</f>
        <v>БАЛЫКИНА ВЕРА ВЛАДИМИРОВНА</v>
      </c>
      <c r="B1835" t="str">
        <f>"1959-12-29"</f>
        <v>1959-12-29</v>
      </c>
      <c r="C1835" t="str">
        <f>"46 19 157740"</f>
        <v>46 19 157740</v>
      </c>
      <c r="D1835" t="str">
        <f>"4854630408774829"</f>
        <v>4854630408774829</v>
      </c>
      <c r="E1835" t="str">
        <f>"2021-04-30"</f>
        <v>2021-04-30</v>
      </c>
      <c r="F1835" t="str">
        <f>"Y"</f>
        <v>Y</v>
      </c>
      <c r="G1835" t="str">
        <f>"Q"</f>
        <v>Q</v>
      </c>
      <c r="H1835" t="str">
        <f>"40817810116991470509"</f>
        <v>40817810116991470509</v>
      </c>
      <c r="I1835" t="str">
        <f>"8598"</f>
        <v>8598</v>
      </c>
      <c r="J1835" t="str">
        <f>"0694"</f>
        <v>0694</v>
      </c>
      <c r="K1835" t="str">
        <f t="shared" si="323"/>
        <v>0.00</v>
      </c>
      <c r="L1835" t="str">
        <f>"450000 РЕСП БАШКОРТОСТАН   Г КУМЕРТАУ   УЛ ЛЕНИНА д. 15"</f>
        <v>450000 РЕСП БАШКОРТОСТАН   Г КУМЕРТАУ   УЛ ЛЕНИНА д. 15</v>
      </c>
      <c r="M1835" t="str">
        <f t="shared" si="314"/>
        <v>2019-08-24</v>
      </c>
      <c r="N1835" t="str">
        <f>"ПЕНСИОНЕР"</f>
        <v>ПЕНСИОНЕР</v>
      </c>
      <c r="O1835" t="str">
        <f>"450000"</f>
        <v>450000</v>
      </c>
      <c r="P1835" t="str">
        <f>"РЕСП БАШКОРТОСТАН"</f>
        <v>РЕСП БАШКОРТОСТАН</v>
      </c>
      <c r="Q1835" t="str">
        <f>""</f>
        <v/>
      </c>
      <c r="R1835" t="str">
        <f>"Г КУМЕРТАУ"</f>
        <v>Г КУМЕРТАУ</v>
      </c>
      <c r="S1835" t="str">
        <f>""</f>
        <v/>
      </c>
      <c r="T1835" t="str">
        <f>"УЛ МАШИНОСТРОИТЕЛЕЙ"</f>
        <v>УЛ МАШИНОСТРОИТЕЛЕЙ</v>
      </c>
      <c r="U1835" s="1" t="str">
        <f>"7"</f>
        <v>7</v>
      </c>
      <c r="V1835" s="1" t="str">
        <f>""</f>
        <v/>
      </c>
      <c r="W1835" s="1" t="str">
        <f>"В"</f>
        <v>В</v>
      </c>
      <c r="X1835" s="1" t="str">
        <f>""</f>
        <v/>
      </c>
      <c r="Y1835" s="1" t="str">
        <f>"32"</f>
        <v>32</v>
      </c>
      <c r="Z1835" t="str">
        <f>""</f>
        <v/>
      </c>
      <c r="AA1835" t="str">
        <f>"+7 (925) 7274052"</f>
        <v>+7 (925) 7274052</v>
      </c>
      <c r="AB1835" t="str">
        <f>"+7 (925) 5461585"</f>
        <v>+7 (925) 5461585</v>
      </c>
      <c r="AC1835" t="str">
        <f>"9255461585"</f>
        <v>9255461585</v>
      </c>
      <c r="AD1835" t="str">
        <f>"9255461585"</f>
        <v>9255461585</v>
      </c>
      <c r="AE1835" t="str">
        <f>""</f>
        <v/>
      </c>
    </row>
    <row r="1836" spans="1:31" x14ac:dyDescent="0.45">
      <c r="A1836" t="str">
        <f>"АРХИПОВА НАТАЛИЯ ПЕТРОВНА"</f>
        <v>АРХИПОВА НАТАЛИЯ ПЕТРОВНА</v>
      </c>
      <c r="B1836" t="str">
        <f>"1963-12-14"</f>
        <v>1963-12-14</v>
      </c>
      <c r="C1836" t="str">
        <f>"80 08 707134"</f>
        <v>80 08 707134</v>
      </c>
      <c r="D1836" t="str">
        <f>"5313100458750535"</f>
        <v>5313100458750535</v>
      </c>
      <c r="E1836" t="str">
        <f>"2021-03-31"</f>
        <v>2021-03-31</v>
      </c>
      <c r="F1836" t="str">
        <f>"Q"</f>
        <v>Q</v>
      </c>
      <c r="G1836" t="str">
        <f>"Q"</f>
        <v>Q</v>
      </c>
      <c r="H1836" t="str">
        <f>"40817810516991470510"</f>
        <v>40817810516991470510</v>
      </c>
      <c r="I1836" t="str">
        <f>"8598"</f>
        <v>8598</v>
      </c>
      <c r="J1836" t="str">
        <f>"0463"</f>
        <v>0463</v>
      </c>
      <c r="K1836" t="str">
        <f t="shared" si="323"/>
        <v>0.00</v>
      </c>
      <c r="L1836" t="str">
        <f>"452000 РЕСП БАШКОРТОСТАН   Г БЕЛЕБЕЙ   УЛ СЫРТЛАНОВА д. 1"</f>
        <v>452000 РЕСП БАШКОРТОСТАН   Г БЕЛЕБЕЙ   УЛ СЫРТЛАНОВА д. 1</v>
      </c>
      <c r="M1836" t="str">
        <f t="shared" si="314"/>
        <v>2019-08-24</v>
      </c>
      <c r="N1836" t="str">
        <f>"ОАО БЕЛЗАН"</f>
        <v>ОАО БЕЛЗАН</v>
      </c>
      <c r="O1836" t="str">
        <f>"452000"</f>
        <v>452000</v>
      </c>
      <c r="P1836" t="str">
        <f>"РЕСП БАШКОРТОСТАН"</f>
        <v>РЕСП БАШКОРТОСТАН</v>
      </c>
      <c r="Q1836" t="str">
        <f>"Р-Н БЕЛЕБЕЕЕВСКИЙ"</f>
        <v>Р-Н БЕЛЕБЕЕЕВСКИЙ</v>
      </c>
      <c r="R1836" t="str">
        <f>"Г БЕЛЕБЕЙ"</f>
        <v>Г БЕЛЕБЕЙ</v>
      </c>
      <c r="S1836" t="str">
        <f>""</f>
        <v/>
      </c>
      <c r="T1836" t="str">
        <f>"УЛ ЛЕСОПИЛЬНАЯ"</f>
        <v>УЛ ЛЕСОПИЛЬНАЯ</v>
      </c>
      <c r="U1836" s="1" t="str">
        <f>"11"</f>
        <v>11</v>
      </c>
      <c r="V1836" s="1" t="str">
        <f>""</f>
        <v/>
      </c>
      <c r="W1836" s="1" t="str">
        <f>""</f>
        <v/>
      </c>
      <c r="X1836" s="1" t="str">
        <f>""</f>
        <v/>
      </c>
      <c r="Y1836" s="1" t="str">
        <f>""</f>
        <v/>
      </c>
      <c r="Z1836" t="str">
        <f>""</f>
        <v/>
      </c>
      <c r="AA1836" t="str">
        <f>"9373637036"</f>
        <v>9373637036</v>
      </c>
      <c r="AB1836" t="str">
        <f>"9373637036"</f>
        <v>9373637036</v>
      </c>
      <c r="AC1836" t="str">
        <f>"3478654376"</f>
        <v>3478654376</v>
      </c>
      <c r="AD1836" t="str">
        <f>"9373637036"</f>
        <v>9373637036</v>
      </c>
      <c r="AE1836" t="str">
        <f>""</f>
        <v/>
      </c>
    </row>
    <row r="1837" spans="1:31" x14ac:dyDescent="0.45">
      <c r="A1837" t="str">
        <f>"ЯХИН РИНАТ МУХАМЕТСАФИЕВИЧ"</f>
        <v>ЯХИН РИНАТ МУХАМЕТСАФИЕВИЧ</v>
      </c>
      <c r="B1837" t="str">
        <f>"1960-05-08"</f>
        <v>1960-05-08</v>
      </c>
      <c r="C1837" t="str">
        <f>"71 04 293827"</f>
        <v>71 04 293827</v>
      </c>
      <c r="D1837" t="str">
        <f>"4854630373682924"</f>
        <v>4854630373682924</v>
      </c>
      <c r="E1837" t="str">
        <f>"2021-04-30"</f>
        <v>2021-04-30</v>
      </c>
      <c r="F1837" t="str">
        <f>"+"</f>
        <v>+</v>
      </c>
      <c r="G1837" t="str">
        <f>"+"</f>
        <v>+</v>
      </c>
      <c r="H1837" t="str">
        <f>"40817810216992194292"</f>
        <v>40817810216992194292</v>
      </c>
      <c r="I1837" t="str">
        <f>"8647"</f>
        <v>8647</v>
      </c>
      <c r="J1837" t="str">
        <f>"0237"</f>
        <v>0237</v>
      </c>
      <c r="K1837" t="str">
        <f>"105000.00"</f>
        <v>105000.00</v>
      </c>
      <c r="L1837" t="str">
        <f>"627010 ОБЛ ТЮМЕНСКАЯ   Г ЯЛУТОРОВСК   УЛ ЛЕНИНА д. 16"</f>
        <v>627010 ОБЛ ТЮМЕНСКАЯ   Г ЯЛУТОРОВСК   УЛ ЛЕНИНА д. 16</v>
      </c>
      <c r="M1837" t="str">
        <f t="shared" si="314"/>
        <v>2019-08-24</v>
      </c>
      <c r="N1837" t="str">
        <f>"ПФР Г. ЯЛУТОРОВСКА"</f>
        <v>ПФР Г. ЯЛУТОРОВСКА</v>
      </c>
      <c r="O1837" t="str">
        <f>"627010"</f>
        <v>627010</v>
      </c>
      <c r="P1837" t="str">
        <f>"ОБЛ ТЮМЕНСКАЯ"</f>
        <v>ОБЛ ТЮМЕНСКАЯ</v>
      </c>
      <c r="Q1837" t="str">
        <f>""</f>
        <v/>
      </c>
      <c r="R1837" t="str">
        <f>"Г ЯЛУТОРОВСК"</f>
        <v>Г ЯЛУТОРОВСК</v>
      </c>
      <c r="S1837" t="str">
        <f>""</f>
        <v/>
      </c>
      <c r="T1837" t="str">
        <f>"УЛ ВОРОШИЛОВА"</f>
        <v>УЛ ВОРОШИЛОВА</v>
      </c>
      <c r="U1837" s="1" t="str">
        <f>"57"</f>
        <v>57</v>
      </c>
      <c r="V1837" s="1" t="str">
        <f>""</f>
        <v/>
      </c>
      <c r="W1837" s="1" t="str">
        <f>""</f>
        <v/>
      </c>
      <c r="X1837" s="1" t="str">
        <f>""</f>
        <v/>
      </c>
      <c r="Y1837" s="1" t="str">
        <f>"4"</f>
        <v>4</v>
      </c>
      <c r="Z1837" t="str">
        <f>""</f>
        <v/>
      </c>
      <c r="AA1837" t="str">
        <f>"9091920122"</f>
        <v>9091920122</v>
      </c>
      <c r="AB1837" t="str">
        <f>"9091920122"</f>
        <v>9091920122</v>
      </c>
      <c r="AC1837" t="str">
        <f>"3453525611"</f>
        <v>3453525611</v>
      </c>
      <c r="AD1837" t="str">
        <f>"9091920122"</f>
        <v>9091920122</v>
      </c>
      <c r="AE1837" t="str">
        <f>""</f>
        <v/>
      </c>
    </row>
    <row r="1838" spans="1:31" x14ac:dyDescent="0.45">
      <c r="A1838" t="str">
        <f>"ВАХРУШЕВА НАДЕЖДА ФЕДОРОВНА"</f>
        <v>ВАХРУШЕВА НАДЕЖДА ФЕДОРОВНА</v>
      </c>
      <c r="B1838" t="str">
        <f>"1986-05-05"</f>
        <v>1986-05-05</v>
      </c>
      <c r="C1838" t="str">
        <f>"37 05 077238"</f>
        <v>37 05 077238</v>
      </c>
      <c r="D1838" t="str">
        <f>"4854630356730666"</f>
        <v>4854630356730666</v>
      </c>
      <c r="E1838" t="str">
        <f>"2021-05-31"</f>
        <v>2021-05-31</v>
      </c>
      <c r="F1838" t="str">
        <f>"+"</f>
        <v>+</v>
      </c>
      <c r="G1838" t="str">
        <f>"+"</f>
        <v>+</v>
      </c>
      <c r="H1838" t="str">
        <f>"40817810816991470511"</f>
        <v>40817810816991470511</v>
      </c>
      <c r="I1838" t="str">
        <f>"7003"</f>
        <v>7003</v>
      </c>
      <c r="J1838" t="str">
        <f>"0444"</f>
        <v>0444</v>
      </c>
      <c r="K1838" t="str">
        <f>"10000.00"</f>
        <v>10000.00</v>
      </c>
      <c r="L1838" t="str">
        <f>"620000 ОБЛ СВЕРДЛОВСКАЯ   Г ЕКАТЕРИНБУРГ   УЛ КРАСНЫХ БОРЦОВ"</f>
        <v>620000 ОБЛ СВЕРДЛОВСКАЯ   Г ЕКАТЕРИНБУРГ   УЛ КРАСНЫХ БОРЦОВ</v>
      </c>
      <c r="M1838" t="str">
        <f t="shared" si="314"/>
        <v>2019-08-24</v>
      </c>
      <c r="N1838" t="str">
        <f>"ИП КУЗНЕЦОВА У.К."</f>
        <v>ИП КУЗНЕЦОВА У.К.</v>
      </c>
      <c r="O1838" t="str">
        <f>"620000"</f>
        <v>620000</v>
      </c>
      <c r="P1838" t="str">
        <f>"ОБЛ СВЕРДЛОВСКАЯ"</f>
        <v>ОБЛ СВЕРДЛОВСКАЯ</v>
      </c>
      <c r="Q1838" t="str">
        <f>""</f>
        <v/>
      </c>
      <c r="R1838" t="str">
        <f>"Г ЕКАТЕРИНБУРГ"</f>
        <v>Г ЕКАТЕРИНБУРГ</v>
      </c>
      <c r="S1838" t="str">
        <f>""</f>
        <v/>
      </c>
      <c r="T1838" t="str">
        <f>"УЛ КРАСНЫХ БОРЦОВ"</f>
        <v>УЛ КРАСНЫХ БОРЦОВ</v>
      </c>
      <c r="U1838" s="1" t="str">
        <f>"6"</f>
        <v>6</v>
      </c>
      <c r="V1838" s="1" t="str">
        <f>""</f>
        <v/>
      </c>
      <c r="W1838" s="1" t="str">
        <f>""</f>
        <v/>
      </c>
      <c r="X1838" s="1" t="str">
        <f>""</f>
        <v/>
      </c>
      <c r="Y1838" s="1" t="str">
        <f>"52"</f>
        <v>52</v>
      </c>
      <c r="Z1838" t="str">
        <f>""</f>
        <v/>
      </c>
      <c r="AA1838" t="str">
        <f>"9226777643"</f>
        <v>9226777643</v>
      </c>
      <c r="AB1838" t="str">
        <f>"9226777643"</f>
        <v>9226777643</v>
      </c>
      <c r="AC1838" t="str">
        <f>"9226777643"</f>
        <v>9226777643</v>
      </c>
      <c r="AD1838" t="str">
        <f>"9226777643"</f>
        <v>9226777643</v>
      </c>
      <c r="AE1838" t="str">
        <f>""</f>
        <v/>
      </c>
    </row>
    <row r="1839" spans="1:31" x14ac:dyDescent="0.45">
      <c r="A1839" t="str">
        <f>"СЕРЕБРЕННИКОВА ЛЮДМИЛА ВАСИЛЬЕВНА"</f>
        <v>СЕРЕБРЕННИКОВА ЛЮДМИЛА ВАСИЛЬЕВНА</v>
      </c>
      <c r="B1839" t="str">
        <f>"1955-02-12"</f>
        <v>1955-02-12</v>
      </c>
      <c r="C1839" t="str">
        <f>"75 02 354835"</f>
        <v>75 02 354835</v>
      </c>
      <c r="D1839" t="str">
        <f>"4854630382534025"</f>
        <v>4854630382534025</v>
      </c>
      <c r="E1839" t="str">
        <f>"2020-02-29"</f>
        <v>2020-02-29</v>
      </c>
      <c r="F1839" t="str">
        <f>"Q"</f>
        <v>Q</v>
      </c>
      <c r="G1839" t="str">
        <f>"Q"</f>
        <v>Q</v>
      </c>
      <c r="H1839" t="str">
        <f>"40817810116991470512"</f>
        <v>40817810116991470512</v>
      </c>
      <c r="I1839" t="str">
        <f>"8597"</f>
        <v>8597</v>
      </c>
      <c r="J1839" t="str">
        <f>"0242"</f>
        <v>0242</v>
      </c>
      <c r="K1839" t="str">
        <f>"0.00"</f>
        <v>0.00</v>
      </c>
      <c r="L1839" t="str">
        <f>"454000 ОБЛ ЧЕЛЯБИНСКАЯ   Г ЧЕЛЯБИНСК   УЛ ЧЕРКАССКАЯ д. 2"</f>
        <v>454000 ОБЛ ЧЕЛЯБИНСКАЯ   Г ЧЕЛЯБИНСК   УЛ ЧЕРКАССКАЯ д. 2</v>
      </c>
      <c r="M1839" t="str">
        <f t="shared" si="314"/>
        <v>2019-08-24</v>
      </c>
      <c r="N1839" t="str">
        <f>"ЧЕЛГМА"</f>
        <v>ЧЕЛГМА</v>
      </c>
      <c r="O1839" t="str">
        <f>"454000"</f>
        <v>454000</v>
      </c>
      <c r="P1839" t="str">
        <f>"ОБЛ ЧЕЛЯБИНСКАЯ"</f>
        <v>ОБЛ ЧЕЛЯБИНСКАЯ</v>
      </c>
      <c r="Q1839" t="str">
        <f>""</f>
        <v/>
      </c>
      <c r="R1839" t="str">
        <f>"Г ЧЕЛЯБИНСК"</f>
        <v>Г ЧЕЛЯБИНСК</v>
      </c>
      <c r="S1839" t="str">
        <f>""</f>
        <v/>
      </c>
      <c r="T1839" t="str">
        <f>"УЛ ЧЕРКАССКАЯ"</f>
        <v>УЛ ЧЕРКАССКАЯ</v>
      </c>
      <c r="U1839" s="1" t="str">
        <f>"8"</f>
        <v>8</v>
      </c>
      <c r="V1839" s="1" t="str">
        <f>""</f>
        <v/>
      </c>
      <c r="W1839" s="1" t="str">
        <f>""</f>
        <v/>
      </c>
      <c r="X1839" s="1" t="str">
        <f>""</f>
        <v/>
      </c>
      <c r="Y1839" s="1" t="str">
        <f>"90"</f>
        <v>90</v>
      </c>
      <c r="Z1839" t="str">
        <f>""</f>
        <v/>
      </c>
      <c r="AA1839" t="str">
        <f>"9514747555"</f>
        <v>9514747555</v>
      </c>
      <c r="AB1839" t="str">
        <f>"9514747555"</f>
        <v>9514747555</v>
      </c>
      <c r="AC1839" t="str">
        <f>"9000245002"</f>
        <v>9000245002</v>
      </c>
      <c r="AD1839" t="str">
        <f>"9514747555"</f>
        <v>9514747555</v>
      </c>
      <c r="AE1839" t="str">
        <f>""</f>
        <v/>
      </c>
    </row>
    <row r="1840" spans="1:31" x14ac:dyDescent="0.45">
      <c r="A1840" t="str">
        <f>"МУХАМЕТЬЯНОВА АЛЬБИНА АЙРАТОВНА"</f>
        <v>МУХАМЕТЬЯНОВА АЛЬБИНА АЙРАТОВНА</v>
      </c>
      <c r="B1840" t="str">
        <f>"1992-12-06"</f>
        <v>1992-12-06</v>
      </c>
      <c r="C1840" t="str">
        <f>"80 12 634669"</f>
        <v>80 12 634669</v>
      </c>
      <c r="D1840" t="str">
        <f>"4854630396981899"</f>
        <v>4854630396981899</v>
      </c>
      <c r="E1840" t="str">
        <f>"2021-04-30"</f>
        <v>2021-04-30</v>
      </c>
      <c r="F1840" t="str">
        <f t="shared" ref="F1840:G1855" si="324">"+"</f>
        <v>+</v>
      </c>
      <c r="G1840" t="str">
        <f t="shared" si="324"/>
        <v>+</v>
      </c>
      <c r="H1840" t="str">
        <f>"40817810516991470536"</f>
        <v>40817810516991470536</v>
      </c>
      <c r="I1840" t="str">
        <f>"8598"</f>
        <v>8598</v>
      </c>
      <c r="J1840" t="str">
        <f>"0396"</f>
        <v>0396</v>
      </c>
      <c r="K1840" t="str">
        <f>"26000.00"</f>
        <v>26000.00</v>
      </c>
      <c r="L1840" t="str">
        <f>"450000 РЕСП БАШКОРТОСТАН Р-Н ЧЕКМАГУШЕВСКИЙ   С ЧЕКМАГУШ УЛ МИРА д. 29"</f>
        <v>450000 РЕСП БАШКОРТОСТАН Р-Н ЧЕКМАГУШЕВСКИЙ   С ЧЕКМАГУШ УЛ МИРА д. 29</v>
      </c>
      <c r="M1840" t="str">
        <f t="shared" si="314"/>
        <v>2019-08-24</v>
      </c>
      <c r="N1840" t="str">
        <f>"ИТ МОНЕТКА"</f>
        <v>ИТ МОНЕТКА</v>
      </c>
      <c r="O1840" t="str">
        <f>"450000"</f>
        <v>450000</v>
      </c>
      <c r="P1840" t="str">
        <f>"РЕСП БАШКОРТОСТАН"</f>
        <v>РЕСП БАШКОРТОСТАН</v>
      </c>
      <c r="Q1840" t="str">
        <f>"Р-Н ЧЕКМАГУШЕВСКИЙ"</f>
        <v>Р-Н ЧЕКМАГУШЕВСКИЙ</v>
      </c>
      <c r="R1840" t="str">
        <f>""</f>
        <v/>
      </c>
      <c r="S1840" t="str">
        <f>"С ЧЕКМАГУШ"</f>
        <v>С ЧЕКМАГУШ</v>
      </c>
      <c r="T1840" t="str">
        <f>"УЛ КОЛЬЦЕВАЯ"</f>
        <v>УЛ КОЛЬЦЕВАЯ</v>
      </c>
      <c r="U1840" s="1" t="str">
        <f>"19"</f>
        <v>19</v>
      </c>
      <c r="V1840" s="1" t="str">
        <f>""</f>
        <v/>
      </c>
      <c r="W1840" s="1" t="str">
        <f>""</f>
        <v/>
      </c>
      <c r="X1840" s="1" t="str">
        <f>""</f>
        <v/>
      </c>
      <c r="Y1840" s="1" t="str">
        <f>""</f>
        <v/>
      </c>
      <c r="Z1840" t="str">
        <f>"9373620864"</f>
        <v>9373620864</v>
      </c>
      <c r="AA1840" t="str">
        <f>"9373620864"</f>
        <v>9373620864</v>
      </c>
      <c r="AB1840" t="str">
        <f>"9373620864"</f>
        <v>9373620864</v>
      </c>
      <c r="AC1840" t="str">
        <f>"9373620864"</f>
        <v>9373620864</v>
      </c>
      <c r="AD1840" t="str">
        <f>"9373620864"</f>
        <v>9373620864</v>
      </c>
      <c r="AE1840" t="str">
        <f>"9373620864"</f>
        <v>9373620864</v>
      </c>
    </row>
    <row r="1841" spans="1:31" x14ac:dyDescent="0.45">
      <c r="A1841" t="str">
        <f>"СВЕТЛАКОВА АЛЬБИНА АЙДАРОВНА"</f>
        <v>СВЕТЛАКОВА АЛЬБИНА АЙДАРОВНА</v>
      </c>
      <c r="B1841" t="str">
        <f>"1986-08-13"</f>
        <v>1986-08-13</v>
      </c>
      <c r="C1841" t="str">
        <f>"80 18 762992"</f>
        <v>80 18 762992</v>
      </c>
      <c r="D1841" t="str">
        <f>"4854630359231100"</f>
        <v>4854630359231100</v>
      </c>
      <c r="E1841" t="str">
        <f>"2021-04-30"</f>
        <v>2021-04-30</v>
      </c>
      <c r="F1841" t="str">
        <f t="shared" si="324"/>
        <v>+</v>
      </c>
      <c r="G1841" t="str">
        <f t="shared" si="324"/>
        <v>+</v>
      </c>
      <c r="H1841" t="str">
        <f>"40817810916991430613"</f>
        <v>40817810916991430613</v>
      </c>
      <c r="I1841" t="str">
        <f>"8598"</f>
        <v>8598</v>
      </c>
      <c r="J1841" t="str">
        <f>"0217"</f>
        <v>0217</v>
      </c>
      <c r="K1841" t="str">
        <f>"15000.00"</f>
        <v>15000.00</v>
      </c>
      <c r="L1841" t="str">
        <f>"450000 РЕСП БАШКОРТОСТАН   Г УФА   УЛ РЕВОЛЮЦИОННАЯ д. 98/4"</f>
        <v>450000 РЕСП БАШКОРТОСТАН   Г УФА   УЛ РЕВОЛЮЦИОННАЯ д. 98/4</v>
      </c>
      <c r="M1841" t="str">
        <f t="shared" si="314"/>
        <v>2019-08-24</v>
      </c>
      <c r="N1841" t="str">
        <f>"ООО ИМПУЛЬССВЕТ"</f>
        <v>ООО ИМПУЛЬССВЕТ</v>
      </c>
      <c r="O1841" t="str">
        <f>"450000"</f>
        <v>450000</v>
      </c>
      <c r="P1841" t="str">
        <f>"РЕСП БАШКОРТОСТАН"</f>
        <v>РЕСП БАШКОРТОСТАН</v>
      </c>
      <c r="Q1841" t="str">
        <f>""</f>
        <v/>
      </c>
      <c r="R1841" t="str">
        <f>"Г УФА"</f>
        <v>Г УФА</v>
      </c>
      <c r="S1841" t="str">
        <f>""</f>
        <v/>
      </c>
      <c r="T1841" t="str">
        <f>"УЛ Б-Р БАЛАНДИНА"</f>
        <v>УЛ Б-Р БАЛАНДИНА</v>
      </c>
      <c r="U1841" s="1" t="str">
        <f>"2"</f>
        <v>2</v>
      </c>
      <c r="V1841" s="1" t="str">
        <f>""</f>
        <v/>
      </c>
      <c r="W1841" s="1" t="str">
        <f>""</f>
        <v/>
      </c>
      <c r="X1841" s="1" t="str">
        <f>""</f>
        <v/>
      </c>
      <c r="Y1841" s="1" t="str">
        <f>"136"</f>
        <v>136</v>
      </c>
      <c r="Z1841" t="str">
        <f>"9178030095"</f>
        <v>9178030095</v>
      </c>
      <c r="AA1841" t="str">
        <f>"9178030095"</f>
        <v>9178030095</v>
      </c>
      <c r="AB1841" t="str">
        <f>"9178030095"</f>
        <v>9178030095</v>
      </c>
      <c r="AC1841" t="str">
        <f>"9178030095"</f>
        <v>9178030095</v>
      </c>
      <c r="AD1841" t="str">
        <f>"9178030095"</f>
        <v>9178030095</v>
      </c>
      <c r="AE1841" t="str">
        <f>"9178030095"</f>
        <v>9178030095</v>
      </c>
    </row>
    <row r="1842" spans="1:31" x14ac:dyDescent="0.45">
      <c r="A1842" t="str">
        <f>"СЕМЕНОВА ИРИНА ВИКТОРОВНА"</f>
        <v>СЕМЕНОВА ИРИНА ВИКТОРОВНА</v>
      </c>
      <c r="B1842" t="str">
        <f>"1977-07-18"</f>
        <v>1977-07-18</v>
      </c>
      <c r="C1842" t="str">
        <f>"65 02 545518"</f>
        <v>65 02 545518</v>
      </c>
      <c r="D1842" t="str">
        <f>"4854630231567200"</f>
        <v>4854630231567200</v>
      </c>
      <c r="E1842" t="str">
        <f>"2021-04-30"</f>
        <v>2021-04-30</v>
      </c>
      <c r="F1842" t="str">
        <f t="shared" si="324"/>
        <v>+</v>
      </c>
      <c r="G1842" t="str">
        <f t="shared" si="324"/>
        <v>+</v>
      </c>
      <c r="H1842" t="str">
        <f>"40817810116991430633"</f>
        <v>40817810116991430633</v>
      </c>
      <c r="I1842" t="str">
        <f>"7003"</f>
        <v>7003</v>
      </c>
      <c r="J1842" t="str">
        <f>"0445"</f>
        <v>0445</v>
      </c>
      <c r="K1842" t="str">
        <f>"105000.00"</f>
        <v>105000.00</v>
      </c>
      <c r="L1842" t="str">
        <f>"620000 ОБЛ СВЕРДЛОВСКАЯ   Г ЕКАТЕРИНБУРГ   УЛ УРАЛЬСКАЯ д. 70"</f>
        <v>620000 ОБЛ СВЕРДЛОВСКАЯ   Г ЕКАТЕРИНБУРГ   УЛ УРАЛЬСКАЯ д. 70</v>
      </c>
      <c r="M1842" t="str">
        <f t="shared" si="314"/>
        <v>2019-08-24</v>
      </c>
      <c r="N1842" t="s">
        <v>104</v>
      </c>
      <c r="O1842" t="str">
        <f>"620000"</f>
        <v>620000</v>
      </c>
      <c r="P1842" t="str">
        <f>"ОБЛ СВЕРДЛОВСКАЯ"</f>
        <v>ОБЛ СВЕРДЛОВСКАЯ</v>
      </c>
      <c r="Q1842" t="str">
        <f>""</f>
        <v/>
      </c>
      <c r="R1842" t="str">
        <f>"Г ЕКАТЕРИНБУРГ"</f>
        <v>Г ЕКАТЕРИНБУРГ</v>
      </c>
      <c r="S1842" t="str">
        <f>""</f>
        <v/>
      </c>
      <c r="T1842" t="str">
        <f>"УЛ БЕБЕЛЯ"</f>
        <v>УЛ БЕБЕЛЯ</v>
      </c>
      <c r="U1842" s="1" t="str">
        <f>"110"</f>
        <v>110</v>
      </c>
      <c r="V1842" s="1" t="str">
        <f>""</f>
        <v/>
      </c>
      <c r="W1842" s="1" t="str">
        <f>""</f>
        <v/>
      </c>
      <c r="X1842" s="1" t="str">
        <f>""</f>
        <v/>
      </c>
      <c r="Y1842" s="1" t="str">
        <f>"20"</f>
        <v>20</v>
      </c>
      <c r="Z1842" t="str">
        <f>"9022742333"</f>
        <v>9022742333</v>
      </c>
      <c r="AA1842" t="str">
        <f>"9024419175"</f>
        <v>9024419175</v>
      </c>
      <c r="AB1842" t="str">
        <f>"9022742333"</f>
        <v>9022742333</v>
      </c>
      <c r="AC1842" t="str">
        <f>"9024419175"</f>
        <v>9024419175</v>
      </c>
      <c r="AD1842" t="str">
        <f>"9024419175"</f>
        <v>9024419175</v>
      </c>
      <c r="AE1842" t="str">
        <f>""</f>
        <v/>
      </c>
    </row>
    <row r="1843" spans="1:31" x14ac:dyDescent="0.45">
      <c r="A1843" t="str">
        <f>"ХРОМЕНКО ЛЮБОВЬ НИКОЛАЕВНА"</f>
        <v>ХРОМЕНКО ЛЮБОВЬ НИКОЛАЕВНА</v>
      </c>
      <c r="B1843" t="str">
        <f>"1978-08-01"</f>
        <v>1978-08-01</v>
      </c>
      <c r="C1843" t="str">
        <f>"65 00 481975"</f>
        <v>65 00 481975</v>
      </c>
      <c r="D1843" t="str">
        <f>"4854630232345408"</f>
        <v>4854630232345408</v>
      </c>
      <c r="E1843" t="str">
        <f>"2021-04-30"</f>
        <v>2021-04-30</v>
      </c>
      <c r="F1843" t="str">
        <f t="shared" si="324"/>
        <v>+</v>
      </c>
      <c r="G1843" t="str">
        <f t="shared" si="324"/>
        <v>+</v>
      </c>
      <c r="H1843" t="str">
        <f>"40817810416991430634"</f>
        <v>40817810416991430634</v>
      </c>
      <c r="I1843" t="str">
        <f>"7003"</f>
        <v>7003</v>
      </c>
      <c r="J1843" t="str">
        <f>"0875"</f>
        <v>0875</v>
      </c>
      <c r="K1843" t="str">
        <f>"50000.00"</f>
        <v>50000.00</v>
      </c>
      <c r="L1843" t="str">
        <f>"620103 ОБЛ СВЕРДЛОВСКАЯ   Г ЕКАТЕРИНБУРГ   УЛ НОВОСИБИРСКАЯ д. 2"</f>
        <v>620103 ОБЛ СВЕРДЛОВСКАЯ   Г ЕКАТЕРИНБУРГ   УЛ НОВОСИБИРСКАЯ д. 2</v>
      </c>
      <c r="M1843" t="str">
        <f t="shared" si="314"/>
        <v>2019-08-24</v>
      </c>
      <c r="N1843" t="str">
        <f>"ООО ТОЙОТА МОТОР"</f>
        <v>ООО ТОЙОТА МОТОР</v>
      </c>
      <c r="O1843" t="str">
        <f>"620103"</f>
        <v>620103</v>
      </c>
      <c r="P1843" t="str">
        <f>"ОБЛ СВЕРДЛОВСКАЯ"</f>
        <v>ОБЛ СВЕРДЛОВСКАЯ</v>
      </c>
      <c r="Q1843" t="str">
        <f>""</f>
        <v/>
      </c>
      <c r="R1843" t="str">
        <f>"Г ЕКАТЕРИНБУРГ"</f>
        <v>Г ЕКАТЕРИНБУРГ</v>
      </c>
      <c r="S1843" t="str">
        <f>""</f>
        <v/>
      </c>
      <c r="T1843" t="str">
        <f>"УЛ ОКРАИННАЯ"</f>
        <v>УЛ ОКРАИННАЯ</v>
      </c>
      <c r="U1843" s="1" t="str">
        <f>"35"</f>
        <v>35</v>
      </c>
      <c r="V1843" s="1" t="str">
        <f>""</f>
        <v/>
      </c>
      <c r="W1843" s="1" t="str">
        <f>""</f>
        <v/>
      </c>
      <c r="X1843" s="1" t="str">
        <f>""</f>
        <v/>
      </c>
      <c r="Y1843" s="1" t="str">
        <f>"58"</f>
        <v>58</v>
      </c>
      <c r="Z1843" t="str">
        <f>""</f>
        <v/>
      </c>
      <c r="AA1843" t="str">
        <f>"9122102217"</f>
        <v>9122102217</v>
      </c>
      <c r="AB1843" t="str">
        <f>"9086327806"</f>
        <v>9086327806</v>
      </c>
      <c r="AC1843" t="str">
        <f>"9122102217"</f>
        <v>9122102217</v>
      </c>
      <c r="AD1843" t="str">
        <f>"9086327806"</f>
        <v>9086327806</v>
      </c>
      <c r="AE1843" t="str">
        <f>""</f>
        <v/>
      </c>
    </row>
    <row r="1844" spans="1:31" x14ac:dyDescent="0.45">
      <c r="A1844" t="str">
        <f>"ШИМАРЕВА АЛЕКСАНДРА СЕРГЕЕВНА"</f>
        <v>ШИМАРЕВА АЛЕКСАНДРА СЕРГЕЕВНА</v>
      </c>
      <c r="B1844" t="str">
        <f>"1989-11-21"</f>
        <v>1989-11-21</v>
      </c>
      <c r="C1844" t="str">
        <f>"71 14 079939"</f>
        <v>71 14 079939</v>
      </c>
      <c r="D1844" t="str">
        <f>"4276016715958828"</f>
        <v>4276016715958828</v>
      </c>
      <c r="E1844" t="str">
        <f>"2021-06-30"</f>
        <v>2021-06-30</v>
      </c>
      <c r="F1844" t="str">
        <f t="shared" si="324"/>
        <v>+</v>
      </c>
      <c r="G1844" t="str">
        <f t="shared" si="324"/>
        <v>+</v>
      </c>
      <c r="H1844" t="str">
        <f>"40817810316992060035"</f>
        <v>40817810316992060035</v>
      </c>
      <c r="I1844" t="str">
        <f>"8647"</f>
        <v>8647</v>
      </c>
      <c r="J1844" t="str">
        <f>"0026"</f>
        <v>0026</v>
      </c>
      <c r="K1844" t="str">
        <f>"97000.00"</f>
        <v>97000.00</v>
      </c>
      <c r="L1844" t="str">
        <f>"625000 ОБЛ ТЮМЕНСКАЯ Р-Н ТЮМЕНСКИЙ   П БОГАНДИНСКИЙ УЛ ПУШКИНА д. 14А"</f>
        <v>625000 ОБЛ ТЮМЕНСКАЯ Р-Н ТЮМЕНСКИЙ   П БОГАНДИНСКИЙ УЛ ПУШКИНА д. 14А</v>
      </c>
      <c r="M1844" t="str">
        <f t="shared" si="314"/>
        <v>2019-08-24</v>
      </c>
      <c r="N1844" t="str">
        <f>""</f>
        <v/>
      </c>
      <c r="O1844" t="str">
        <f>"625000"</f>
        <v>625000</v>
      </c>
      <c r="P1844" t="str">
        <f>"ОБЛ ТЮМЕНСКАЯ"</f>
        <v>ОБЛ ТЮМЕНСКАЯ</v>
      </c>
      <c r="Q1844" t="str">
        <f>"Р-Н ТЮМЕНСКИЙ"</f>
        <v>Р-Н ТЮМЕНСКИЙ</v>
      </c>
      <c r="R1844" t="str">
        <f>""</f>
        <v/>
      </c>
      <c r="S1844" t="str">
        <f>"П БОГАНДИНСКИЙ"</f>
        <v>П БОГАНДИНСКИЙ</v>
      </c>
      <c r="T1844" t="str">
        <f>"УЛ ПУШКИНА"</f>
        <v>УЛ ПУШКИНА</v>
      </c>
      <c r="U1844" s="1" t="str">
        <f>"14А"</f>
        <v>14А</v>
      </c>
      <c r="V1844" s="1" t="str">
        <f>""</f>
        <v/>
      </c>
      <c r="W1844" s="1" t="str">
        <f>""</f>
        <v/>
      </c>
      <c r="X1844" s="1" t="str">
        <f>""</f>
        <v/>
      </c>
      <c r="Y1844" s="1" t="str">
        <f>""</f>
        <v/>
      </c>
      <c r="Z1844" t="str">
        <f>""</f>
        <v/>
      </c>
      <c r="AA1844" t="str">
        <f>"9829220774"</f>
        <v>9829220774</v>
      </c>
      <c r="AB1844" t="str">
        <f>"9829181756"</f>
        <v>9829181756</v>
      </c>
      <c r="AC1844" t="str">
        <f>"9829220774"</f>
        <v>9829220774</v>
      </c>
      <c r="AD1844" t="str">
        <f>"9829181756"</f>
        <v>9829181756</v>
      </c>
      <c r="AE1844" t="str">
        <f>""</f>
        <v/>
      </c>
    </row>
    <row r="1845" spans="1:31" x14ac:dyDescent="0.45">
      <c r="A1845" t="str">
        <f>"ЦЕПИЛОВА ОКСАНА ОЛЕГОВНА"</f>
        <v>ЦЕПИЛОВА ОКСАНА ОЛЕГОВНА</v>
      </c>
      <c r="B1845" t="str">
        <f>"1973-11-19"</f>
        <v>1973-11-19</v>
      </c>
      <c r="C1845" t="str">
        <f>"74 18 993711"</f>
        <v>74 18 993711</v>
      </c>
      <c r="D1845" t="str">
        <f>"4279016704843764"</f>
        <v>4279016704843764</v>
      </c>
      <c r="E1845" t="str">
        <f>"2021-06-30"</f>
        <v>2021-06-30</v>
      </c>
      <c r="F1845" t="str">
        <f t="shared" si="324"/>
        <v>+</v>
      </c>
      <c r="G1845" t="str">
        <f t="shared" si="324"/>
        <v>+</v>
      </c>
      <c r="H1845" t="str">
        <f>"40817810716992061236"</f>
        <v>40817810716992061236</v>
      </c>
      <c r="I1845" t="str">
        <f>"8369"</f>
        <v>8369</v>
      </c>
      <c r="J1845" t="str">
        <f>"0022"</f>
        <v>0022</v>
      </c>
      <c r="K1845" t="str">
        <f>"220000.00"</f>
        <v>220000.00</v>
      </c>
      <c r="L1845" t="str">
        <f>"629800 ОБЛ ТЮМЕНСКАЯ АО ЯМАЛО-НЕНЕЦКИЙ Г НОЯБРЬСК   УЛ УТДГ д. 18А"</f>
        <v>629800 ОБЛ ТЮМЕНСКАЯ АО ЯМАЛО-НЕНЕЦКИЙ Г НОЯБРЬСК   УЛ УТДГ д. 18А</v>
      </c>
      <c r="M1845" t="str">
        <f t="shared" si="314"/>
        <v>2019-08-24</v>
      </c>
      <c r="N1845" t="str">
        <f>"ИП МОМЗЕРОВА"</f>
        <v>ИП МОМЗЕРОВА</v>
      </c>
      <c r="O1845" t="str">
        <f>"629800"</f>
        <v>629800</v>
      </c>
      <c r="P1845" t="str">
        <f>"ОБЛ ТЮМЕНСКАЯ"</f>
        <v>ОБЛ ТЮМЕНСКАЯ</v>
      </c>
      <c r="Q1845" t="str">
        <f>"АО ЯМАЛО-НЕНЕЦКИЙ"</f>
        <v>АО ЯМАЛО-НЕНЕЦКИЙ</v>
      </c>
      <c r="R1845" t="str">
        <f>"Г НОЯБРЬСК"</f>
        <v>Г НОЯБРЬСК</v>
      </c>
      <c r="S1845" t="str">
        <f>""</f>
        <v/>
      </c>
      <c r="T1845" t="str">
        <f>"УЛ МИРА"</f>
        <v>УЛ МИРА</v>
      </c>
      <c r="U1845" s="1" t="str">
        <f>"78А"</f>
        <v>78А</v>
      </c>
      <c r="V1845" s="1" t="str">
        <f>""</f>
        <v/>
      </c>
      <c r="W1845" s="1" t="str">
        <f>""</f>
        <v/>
      </c>
      <c r="X1845" s="1" t="str">
        <f>""</f>
        <v/>
      </c>
      <c r="Y1845" s="1" t="str">
        <f>"52"</f>
        <v>52</v>
      </c>
      <c r="Z1845" t="str">
        <f>"3496369864"</f>
        <v>3496369864</v>
      </c>
      <c r="AA1845" t="str">
        <f>"9222810008"</f>
        <v>9222810008</v>
      </c>
      <c r="AB1845" t="str">
        <f>"9222810008"</f>
        <v>9222810008</v>
      </c>
      <c r="AC1845" t="str">
        <f>"9224515313"</f>
        <v>9224515313</v>
      </c>
      <c r="AD1845" t="str">
        <f>"9222810008"</f>
        <v>9222810008</v>
      </c>
      <c r="AE1845" t="str">
        <f>"3496369864"</f>
        <v>3496369864</v>
      </c>
    </row>
    <row r="1846" spans="1:31" x14ac:dyDescent="0.45">
      <c r="A1846" t="str">
        <f>"БЕНЬ ДМИТРИЙ ЮРЬЕВИЧ"</f>
        <v>БЕНЬ ДМИТРИЙ ЮРЬЕВИЧ</v>
      </c>
      <c r="B1846" t="str">
        <f>"1985-03-15"</f>
        <v>1985-03-15</v>
      </c>
      <c r="C1846" t="str">
        <f>"67 04 494020"</f>
        <v>67 04 494020</v>
      </c>
      <c r="D1846" t="str">
        <f>"4279016713945923"</f>
        <v>4279016713945923</v>
      </c>
      <c r="E1846" t="str">
        <f>"2021-06-30"</f>
        <v>2021-06-30</v>
      </c>
      <c r="F1846" t="str">
        <f t="shared" si="324"/>
        <v>+</v>
      </c>
      <c r="G1846" t="str">
        <f t="shared" si="324"/>
        <v>+</v>
      </c>
      <c r="H1846" t="str">
        <f>"40817810816992061288"</f>
        <v>40817810816992061288</v>
      </c>
      <c r="I1846" t="str">
        <f>"5940"</f>
        <v>5940</v>
      </c>
      <c r="J1846" t="str">
        <f>"0057"</f>
        <v>0057</v>
      </c>
      <c r="K1846" t="str">
        <f>"83000.00"</f>
        <v>83000.00</v>
      </c>
      <c r="L1846" t="str">
        <f>"628400 ОБЛ ТЮМЕНСКАЯ   Г СУРГУТ   УЛ ПОКАЗАНЬЕВА д. 2"</f>
        <v>628400 ОБЛ ТЮМЕНСКАЯ   Г СУРГУТ   УЛ ПОКАЗАНЬЕВА д. 2</v>
      </c>
      <c r="M1846" t="str">
        <f t="shared" si="314"/>
        <v>2019-08-24</v>
      </c>
      <c r="N1846" t="str">
        <f>"ОАО СУРГУТНЕФТЕГАЗ"</f>
        <v>ОАО СУРГУТНЕФТЕГАЗ</v>
      </c>
      <c r="O1846" t="str">
        <f>"628400"</f>
        <v>628400</v>
      </c>
      <c r="P1846" t="str">
        <f>"ОБЛ ТЮМЕНСКАЯ"</f>
        <v>ОБЛ ТЮМЕНСКАЯ</v>
      </c>
      <c r="Q1846" t="str">
        <f>""</f>
        <v/>
      </c>
      <c r="R1846" t="str">
        <f>"Г СУРГУТ"</f>
        <v>Г СУРГУТ</v>
      </c>
      <c r="S1846" t="str">
        <f>""</f>
        <v/>
      </c>
      <c r="T1846" t="str">
        <f>"УЛ УНИВЕРСИТЕТСКАЯ"</f>
        <v>УЛ УНИВЕРСИТЕТСКАЯ</v>
      </c>
      <c r="U1846" s="1" t="str">
        <f>"11"</f>
        <v>11</v>
      </c>
      <c r="V1846" s="1" t="str">
        <f>""</f>
        <v/>
      </c>
      <c r="W1846" s="1" t="str">
        <f>""</f>
        <v/>
      </c>
      <c r="X1846" s="1" t="str">
        <f>""</f>
        <v/>
      </c>
      <c r="Y1846" s="1" t="str">
        <f>"444"</f>
        <v>444</v>
      </c>
      <c r="Z1846" t="str">
        <f>"3462417167"</f>
        <v>3462417167</v>
      </c>
      <c r="AA1846" t="str">
        <f>"9224334315"</f>
        <v>9224334315</v>
      </c>
      <c r="AB1846" t="str">
        <f>"9224334315"</f>
        <v>9224334315</v>
      </c>
      <c r="AC1846" t="str">
        <f>"9224334315"</f>
        <v>9224334315</v>
      </c>
      <c r="AD1846" t="str">
        <f>"9224334315"</f>
        <v>9224334315</v>
      </c>
      <c r="AE1846" t="str">
        <f>"3462417167"</f>
        <v>3462417167</v>
      </c>
    </row>
    <row r="1847" spans="1:31" x14ac:dyDescent="0.45">
      <c r="A1847" t="str">
        <f>"СТИХАЧ АНДРЕЙ ВЛАДИСЛАВОВИЧ"</f>
        <v>СТИХАЧ АНДРЕЙ ВЛАДИСЛАВОВИЧ</v>
      </c>
      <c r="B1847" t="str">
        <f>"1980-10-17"</f>
        <v>1980-10-17</v>
      </c>
      <c r="C1847" t="str">
        <f>"65 04 318466"</f>
        <v>65 04 318466</v>
      </c>
      <c r="D1847" t="str">
        <f>"5313100281564475"</f>
        <v>5313100281564475</v>
      </c>
      <c r="E1847" t="str">
        <f>"2021-03-31"</f>
        <v>2021-03-31</v>
      </c>
      <c r="F1847" t="str">
        <f t="shared" si="324"/>
        <v>+</v>
      </c>
      <c r="G1847" t="str">
        <f t="shared" si="324"/>
        <v>+</v>
      </c>
      <c r="H1847" t="str">
        <f>"40817810616991442600"</f>
        <v>40817810616991442600</v>
      </c>
      <c r="I1847" t="str">
        <f>"7003"</f>
        <v>7003</v>
      </c>
      <c r="J1847" t="str">
        <f>"0897"</f>
        <v>0897</v>
      </c>
      <c r="K1847" t="str">
        <f>"32000.00"</f>
        <v>32000.00</v>
      </c>
      <c r="L1847" t="str">
        <f>"620000 ОБЛ СВЕРДЛОВСКАЯ   Г ЕКАТЕРИНБУРГ   УЛ МОСКОВСКАЯ д. 11"</f>
        <v>620000 ОБЛ СВЕРДЛОВСКАЯ   Г ЕКАТЕРИНБУРГ   УЛ МОСКОВСКАЯ д. 11</v>
      </c>
      <c r="M1847" t="str">
        <f t="shared" si="314"/>
        <v>2019-08-24</v>
      </c>
      <c r="N1847" t="str">
        <f>"ПАО СБЕРБАНК"</f>
        <v>ПАО СБЕРБАНК</v>
      </c>
      <c r="O1847" t="str">
        <f>"620000"</f>
        <v>620000</v>
      </c>
      <c r="P1847" t="str">
        <f>"ОБЛ СВЕРДЛОВСКАЯ"</f>
        <v>ОБЛ СВЕРДЛОВСКАЯ</v>
      </c>
      <c r="Q1847" t="str">
        <f>""</f>
        <v/>
      </c>
      <c r="R1847" t="str">
        <f>"Г ЕКАТЕРИНБУРГ"</f>
        <v>Г ЕКАТЕРИНБУРГ</v>
      </c>
      <c r="S1847" t="str">
        <f>""</f>
        <v/>
      </c>
      <c r="T1847" t="str">
        <f>"УЛ ВЫСОЦКОГО"</f>
        <v>УЛ ВЫСОЦКОГО</v>
      </c>
      <c r="U1847" s="1" t="str">
        <f>"18"</f>
        <v>18</v>
      </c>
      <c r="V1847" s="1" t="str">
        <f>""</f>
        <v/>
      </c>
      <c r="W1847" s="1" t="str">
        <f>""</f>
        <v/>
      </c>
      <c r="X1847" s="1" t="str">
        <f>""</f>
        <v/>
      </c>
      <c r="Y1847" s="1" t="str">
        <f>"52"</f>
        <v>52</v>
      </c>
      <c r="Z1847" t="str">
        <f>""</f>
        <v/>
      </c>
      <c r="AA1847" t="str">
        <f>"9126945476"</f>
        <v>9126945476</v>
      </c>
      <c r="AB1847" t="str">
        <f>"9126945476"</f>
        <v>9126945476</v>
      </c>
      <c r="AC1847" t="str">
        <f>"9126945476"</f>
        <v>9126945476</v>
      </c>
      <c r="AD1847" t="str">
        <f>"9126945476"</f>
        <v>9126945476</v>
      </c>
      <c r="AE1847" t="str">
        <f>""</f>
        <v/>
      </c>
    </row>
    <row r="1848" spans="1:31" x14ac:dyDescent="0.45">
      <c r="A1848" t="str">
        <f>"ГОППЕ ЮЛИЯ СЕРГЕЕВНА"</f>
        <v>ГОППЕ ЮЛИЯ СЕРГЕЕВНА</v>
      </c>
      <c r="B1848" t="str">
        <f>"1985-05-23"</f>
        <v>1985-05-23</v>
      </c>
      <c r="C1848" t="str">
        <f>"67 11 144039"</f>
        <v>67 11 144039</v>
      </c>
      <c r="D1848" t="str">
        <f>"5313100807708960"</f>
        <v>5313100807708960</v>
      </c>
      <c r="E1848" t="str">
        <f>"2021-03-31"</f>
        <v>2021-03-31</v>
      </c>
      <c r="F1848" t="str">
        <f t="shared" si="324"/>
        <v>+</v>
      </c>
      <c r="G1848" t="str">
        <f t="shared" si="324"/>
        <v>+</v>
      </c>
      <c r="H1848" t="str">
        <f>"40817810116991442618"</f>
        <v>40817810116991442618</v>
      </c>
      <c r="I1848" t="str">
        <f>"8599"</f>
        <v>8599</v>
      </c>
      <c r="J1848" t="str">
        <f>"0045"</f>
        <v>0045</v>
      </c>
      <c r="K1848" t="str">
        <f>"10000.00"</f>
        <v>10000.00</v>
      </c>
      <c r="L1848" t="str">
        <f>"641000 ОБЛ КУРГАНСКАЯ   Г КУРГАН   УЛ ПУШКИНА д. 155"</f>
        <v>641000 ОБЛ КУРГАНСКАЯ   Г КУРГАН   УЛ ПУШКИНА д. 155</v>
      </c>
      <c r="M1848" t="str">
        <f t="shared" si="314"/>
        <v>2019-08-24</v>
      </c>
      <c r="N1848" t="s">
        <v>105</v>
      </c>
      <c r="O1848" t="str">
        <f>"641000"</f>
        <v>641000</v>
      </c>
      <c r="P1848" t="str">
        <f>"ОБЛ КУРГАНСКАЯ"</f>
        <v>ОБЛ КУРГАНСКАЯ</v>
      </c>
      <c r="Q1848" t="str">
        <f>""</f>
        <v/>
      </c>
      <c r="R1848" t="str">
        <f>"Г КУРГАН"</f>
        <v>Г КУРГАН</v>
      </c>
      <c r="S1848" t="str">
        <f>"ТЕР ВОСХОД РОСТОРГМОНТАЖ"</f>
        <v>ТЕР ВОСХОД РОСТОРГМОНТАЖ</v>
      </c>
      <c r="T1848" t="str">
        <f>"УЛ УЧАСТОК 132"</f>
        <v>УЛ УЧАСТОК 132</v>
      </c>
      <c r="U1848" s="1" t="str">
        <f>""</f>
        <v/>
      </c>
      <c r="V1848" s="1" t="str">
        <f>""</f>
        <v/>
      </c>
      <c r="W1848" s="1" t="str">
        <f>""</f>
        <v/>
      </c>
      <c r="X1848" s="1" t="str">
        <f>""</f>
        <v/>
      </c>
      <c r="Y1848" s="1" t="str">
        <f>""</f>
        <v/>
      </c>
      <c r="Z1848" t="str">
        <f>""</f>
        <v/>
      </c>
      <c r="AA1848" t="str">
        <f>"9995099101"</f>
        <v>9995099101</v>
      </c>
      <c r="AB1848" t="str">
        <f>"9225714331"</f>
        <v>9225714331</v>
      </c>
      <c r="AC1848" t="str">
        <f>"9995099101"</f>
        <v>9995099101</v>
      </c>
      <c r="AD1848" t="str">
        <f>"9225714331"</f>
        <v>9225714331</v>
      </c>
      <c r="AE1848" t="str">
        <f>""</f>
        <v/>
      </c>
    </row>
    <row r="1849" spans="1:31" x14ac:dyDescent="0.45">
      <c r="A1849" t="str">
        <f>"САЖНЕВ АНДРЕЙ ВИКТОРОВИЧ"</f>
        <v>САЖНЕВ АНДРЕЙ ВИКТОРОВИЧ</v>
      </c>
      <c r="B1849" t="str">
        <f>"1993-08-19"</f>
        <v>1993-08-19</v>
      </c>
      <c r="C1849" t="str">
        <f>"67 13 332720"</f>
        <v>67 13 332720</v>
      </c>
      <c r="D1849" t="str">
        <f>"4854630382575622"</f>
        <v>4854630382575622</v>
      </c>
      <c r="E1849" t="str">
        <f>"2021-04-30"</f>
        <v>2021-04-30</v>
      </c>
      <c r="F1849" t="str">
        <f t="shared" si="324"/>
        <v>+</v>
      </c>
      <c r="G1849" t="str">
        <f>"W"</f>
        <v>W</v>
      </c>
      <c r="H1849" t="str">
        <f>"40817810416992351893"</f>
        <v>40817810416992351893</v>
      </c>
      <c r="I1849" t="str">
        <f>"1791"</f>
        <v>1791</v>
      </c>
      <c r="J1849" t="str">
        <f>"0116"</f>
        <v>0116</v>
      </c>
      <c r="K1849" t="str">
        <f>"50000.00"</f>
        <v>50000.00</v>
      </c>
      <c r="L1849" t="str">
        <f>"620000 ОБЛ СВЕРДЛОВСКАЯ   Г ЕКАТЕРИНБУРГ   УЛ МОНТЕРСКАЯ д. 5А"</f>
        <v>620000 ОБЛ СВЕРДЛОВСКАЯ   Г ЕКАТЕРИНБУРГ   УЛ МОНТЕРСКАЯ д. 5А</v>
      </c>
      <c r="M1849" t="str">
        <f t="shared" si="314"/>
        <v>2019-08-24</v>
      </c>
      <c r="N1849" t="str">
        <f>"ПКЦ СТРОЙТРАНСКОМПЛЕКС"</f>
        <v>ПКЦ СТРОЙТРАНСКОМПЛЕКС</v>
      </c>
      <c r="O1849" t="str">
        <f>"628260"</f>
        <v>628260</v>
      </c>
      <c r="P1849" t="str">
        <f>"ОБЛ ТЮМЕНСКАЯ"</f>
        <v>ОБЛ ТЮМЕНСКАЯ</v>
      </c>
      <c r="Q1849" t="str">
        <f>""</f>
        <v/>
      </c>
      <c r="R1849" t="str">
        <f>"Г ЮГОРСК"</f>
        <v>Г ЮГОРСК</v>
      </c>
      <c r="S1849" t="str">
        <f>""</f>
        <v/>
      </c>
      <c r="T1849" t="str">
        <f>"УЛ ТИТОВА"</f>
        <v>УЛ ТИТОВА</v>
      </c>
      <c r="U1849" s="1" t="str">
        <f>"9"</f>
        <v>9</v>
      </c>
      <c r="V1849" s="1" t="str">
        <f>""</f>
        <v/>
      </c>
      <c r="W1849" s="1" t="str">
        <f>""</f>
        <v/>
      </c>
      <c r="X1849" s="1" t="str">
        <f>""</f>
        <v/>
      </c>
      <c r="Y1849" s="1" t="str">
        <f>"30"</f>
        <v>30</v>
      </c>
      <c r="Z1849" t="str">
        <f>""</f>
        <v/>
      </c>
      <c r="AA1849" t="str">
        <f>"3433804196"</f>
        <v>3433804196</v>
      </c>
      <c r="AB1849" t="str">
        <f>"9324286292"</f>
        <v>9324286292</v>
      </c>
      <c r="AC1849" t="str">
        <f>"3433804196"</f>
        <v>3433804196</v>
      </c>
      <c r="AD1849" t="str">
        <f>"9324286292"</f>
        <v>9324286292</v>
      </c>
      <c r="AE1849" t="str">
        <f>""</f>
        <v/>
      </c>
    </row>
    <row r="1850" spans="1:31" x14ac:dyDescent="0.45">
      <c r="A1850" t="str">
        <f>"УБА ИВАН СЕРГЕЕВИЧ"</f>
        <v>УБА ИВАН СЕРГЕЕВИЧ</v>
      </c>
      <c r="B1850" t="str">
        <f>"1989-12-04"</f>
        <v>1989-12-04</v>
      </c>
      <c r="C1850" t="str">
        <f>"80 09 940863"</f>
        <v>80 09 940863</v>
      </c>
      <c r="D1850" t="str">
        <f>"4854630408495243"</f>
        <v>4854630408495243</v>
      </c>
      <c r="E1850" t="str">
        <f>"2021-04-30"</f>
        <v>2021-04-30</v>
      </c>
      <c r="F1850" t="str">
        <f t="shared" si="324"/>
        <v>+</v>
      </c>
      <c r="G1850" t="str">
        <f>"+"</f>
        <v>+</v>
      </c>
      <c r="H1850" t="str">
        <f>"40817810416991442619"</f>
        <v>40817810416991442619</v>
      </c>
      <c r="I1850" t="str">
        <f>"8598"</f>
        <v>8598</v>
      </c>
      <c r="J1850" t="str">
        <f>"0764"</f>
        <v>0764</v>
      </c>
      <c r="K1850" t="str">
        <f>"30000.00"</f>
        <v>30000.00</v>
      </c>
      <c r="L1850" t="str">
        <f>"450000 РЕСП БАШКОРТОСТАН   Г МЕЛЕУЗ   ПЛ ХИМ ЗАВОДА д. 1"</f>
        <v>450000 РЕСП БАШКОРТОСТАН   Г МЕЛЕУЗ   ПЛ ХИМ ЗАВОДА д. 1</v>
      </c>
      <c r="M1850" t="str">
        <f t="shared" si="314"/>
        <v>2019-08-24</v>
      </c>
      <c r="N1850" t="str">
        <f>"ЛИКОМ"</f>
        <v>ЛИКОМ</v>
      </c>
      <c r="O1850" t="str">
        <f>"468320"</f>
        <v>468320</v>
      </c>
      <c r="P1850" t="str">
        <f>"Г БАЙКОНУР"</f>
        <v>Г БАЙКОНУР</v>
      </c>
      <c r="Q1850" t="str">
        <f>""</f>
        <v/>
      </c>
      <c r="R1850" t="str">
        <f>"Г МЕЛЕУЗ"</f>
        <v>Г МЕЛЕУЗ</v>
      </c>
      <c r="S1850" t="str">
        <f>""</f>
        <v/>
      </c>
      <c r="T1850" t="str">
        <f>"УЛ МОСКОВСКАЯ"</f>
        <v>УЛ МОСКОВСКАЯ</v>
      </c>
      <c r="U1850" s="1" t="str">
        <f>"7"</f>
        <v>7</v>
      </c>
      <c r="V1850" s="1" t="str">
        <f>""</f>
        <v/>
      </c>
      <c r="W1850" s="1" t="str">
        <f>""</f>
        <v/>
      </c>
      <c r="X1850" s="1" t="str">
        <f>""</f>
        <v/>
      </c>
      <c r="Y1850" s="1" t="str">
        <f>"54"</f>
        <v>54</v>
      </c>
      <c r="Z1850" t="str">
        <f>"9373434380"</f>
        <v>9373434380</v>
      </c>
      <c r="AA1850" t="str">
        <f>"9373434380"</f>
        <v>9373434380</v>
      </c>
      <c r="AB1850" t="str">
        <f>"9373434380"</f>
        <v>9373434380</v>
      </c>
      <c r="AC1850" t="str">
        <f>"9373434380"</f>
        <v>9373434380</v>
      </c>
      <c r="AD1850" t="str">
        <f>"9373434380"</f>
        <v>9373434380</v>
      </c>
      <c r="AE1850" t="str">
        <f>""</f>
        <v/>
      </c>
    </row>
    <row r="1851" spans="1:31" x14ac:dyDescent="0.45">
      <c r="A1851" t="str">
        <f>"ЮЛДАШБАЕВ ЗАГИР ИЛЬГАМОВИЧ"</f>
        <v>ЮЛДАШБАЕВ ЗАГИР ИЛЬГАМОВИЧ</v>
      </c>
      <c r="B1851" t="str">
        <f>"1990-09-29"</f>
        <v>1990-09-29</v>
      </c>
      <c r="C1851" t="str">
        <f>"80 10 279641"</f>
        <v>80 10 279641</v>
      </c>
      <c r="D1851" t="str">
        <f>"4854630255942768"</f>
        <v>4854630255942768</v>
      </c>
      <c r="E1851" t="str">
        <f>"2021-06-30"</f>
        <v>2021-06-30</v>
      </c>
      <c r="F1851" t="str">
        <f t="shared" si="324"/>
        <v>+</v>
      </c>
      <c r="G1851" t="str">
        <f>"+"</f>
        <v>+</v>
      </c>
      <c r="H1851" t="str">
        <f>"40817810016991470395"</f>
        <v>40817810016991470395</v>
      </c>
      <c r="I1851" t="str">
        <f>"8598"</f>
        <v>8598</v>
      </c>
      <c r="J1851" t="str">
        <f>"0160"</f>
        <v>0160</v>
      </c>
      <c r="K1851" t="str">
        <f>"50000.00"</f>
        <v>50000.00</v>
      </c>
      <c r="L1851" t="str">
        <f>"450000 РЕСП БАШКОРТОСТАН   Г УФА   УЛ БУРЕВЕСТНИКА д. 12"</f>
        <v>450000 РЕСП БАШКОРТОСТАН   Г УФА   УЛ БУРЕВЕСТНИКА д. 12</v>
      </c>
      <c r="M1851" t="str">
        <f t="shared" si="314"/>
        <v>2019-08-24</v>
      </c>
      <c r="N1851" t="str">
        <f>"ООО МАСТЕР ЭКСЛКЛЮЗИВ"</f>
        <v>ООО МАСТЕР ЭКСЛКЛЮЗИВ</v>
      </c>
      <c r="O1851" t="str">
        <f>"450000"</f>
        <v>450000</v>
      </c>
      <c r="P1851" t="str">
        <f>"РЕСП БАШКОРТОСТАН"</f>
        <v>РЕСП БАШКОРТОСТАН</v>
      </c>
      <c r="Q1851" t="str">
        <f>"Р-Н УФИМСКИЙ"</f>
        <v>Р-Н УФИМСКИЙ</v>
      </c>
      <c r="R1851" t="str">
        <f>""</f>
        <v/>
      </c>
      <c r="S1851" t="str">
        <f>"С МИЛОВКА"</f>
        <v>С МИЛОВКА</v>
      </c>
      <c r="T1851" t="str">
        <f>"УЛ СОВЕТСКАЯ"</f>
        <v>УЛ СОВЕТСКАЯ</v>
      </c>
      <c r="U1851" s="1" t="str">
        <f>"14/4"</f>
        <v>14/4</v>
      </c>
      <c r="V1851" s="1" t="str">
        <f>""</f>
        <v/>
      </c>
      <c r="W1851" s="1" t="str">
        <f>""</f>
        <v/>
      </c>
      <c r="X1851" s="1" t="str">
        <f>""</f>
        <v/>
      </c>
      <c r="Y1851" s="1" t="str">
        <f>""</f>
        <v/>
      </c>
      <c r="Z1851" t="str">
        <f>""</f>
        <v/>
      </c>
      <c r="AA1851" t="str">
        <f>"+7 (987) 4894076"</f>
        <v>+7 (987) 4894076</v>
      </c>
      <c r="AB1851" t="str">
        <f>"+7 (927) 9288807"</f>
        <v>+7 (927) 9288807</v>
      </c>
      <c r="AC1851" t="str">
        <f>"9874894076"</f>
        <v>9874894076</v>
      </c>
      <c r="AD1851" t="str">
        <f>"9874894076"</f>
        <v>9874894076</v>
      </c>
      <c r="AE1851" t="str">
        <f>""</f>
        <v/>
      </c>
    </row>
    <row r="1852" spans="1:31" x14ac:dyDescent="0.45">
      <c r="A1852" t="str">
        <f>"ГАНЕЕВА ГУЛЬИРА ГИЗАТУЛЛОВНА"</f>
        <v>ГАНЕЕВА ГУЛЬИРА ГИЗАТУЛЛОВНА</v>
      </c>
      <c r="B1852" t="str">
        <f>"1955-11-13"</f>
        <v>1955-11-13</v>
      </c>
      <c r="C1852" t="str">
        <f>"80 05 858995"</f>
        <v>80 05 858995</v>
      </c>
      <c r="D1852" t="str">
        <f>"4854630354154026"</f>
        <v>4854630354154026</v>
      </c>
      <c r="E1852" t="str">
        <f>"2021-04-30"</f>
        <v>2021-04-30</v>
      </c>
      <c r="F1852" t="str">
        <f t="shared" si="324"/>
        <v>+</v>
      </c>
      <c r="G1852" t="str">
        <f>"+"</f>
        <v>+</v>
      </c>
      <c r="H1852" t="str">
        <f>"40817810316991470396"</f>
        <v>40817810316991470396</v>
      </c>
      <c r="I1852" t="str">
        <f>"8598"</f>
        <v>8598</v>
      </c>
      <c r="J1852" t="str">
        <f>"0569"</f>
        <v>0569</v>
      </c>
      <c r="K1852" t="str">
        <f>"39000.00"</f>
        <v>39000.00</v>
      </c>
      <c r="L1852" t="str">
        <f>"453030 РЕСП БАШКОРТОСТАН Р-Н АРХАНГЕЛЬСКИЙ   Д АЗОВО УЛ СОВЕТСКАЯ д. 31"</f>
        <v>453030 РЕСП БАШКОРТОСТАН Р-Н АРХАНГЕЛЬСКИЙ   Д АЗОВО УЛ СОВЕТСКАЯ д. 31</v>
      </c>
      <c r="M1852" t="str">
        <f t="shared" si="314"/>
        <v>2019-08-24</v>
      </c>
      <c r="N1852" t="str">
        <f>"ПФР"</f>
        <v>ПФР</v>
      </c>
      <c r="O1852" t="str">
        <f>"453030"</f>
        <v>453030</v>
      </c>
      <c r="P1852" t="str">
        <f>"РЕСП БАШКОРТОСТАН"</f>
        <v>РЕСП БАШКОРТОСТАН</v>
      </c>
      <c r="Q1852" t="str">
        <f>"Р-Н АРХАНГЕЛЬСКИЙ"</f>
        <v>Р-Н АРХАНГЕЛЬСКИЙ</v>
      </c>
      <c r="R1852" t="str">
        <f>""</f>
        <v/>
      </c>
      <c r="S1852" t="str">
        <f>"Д АЗОВО"</f>
        <v>Д АЗОВО</v>
      </c>
      <c r="T1852" t="str">
        <f>"УЛ СОВЕТСКАЯ"</f>
        <v>УЛ СОВЕТСКАЯ</v>
      </c>
      <c r="U1852" s="1" t="str">
        <f>"31"</f>
        <v>31</v>
      </c>
      <c r="V1852" s="1" t="str">
        <f>""</f>
        <v/>
      </c>
      <c r="W1852" s="1" t="str">
        <f>""</f>
        <v/>
      </c>
      <c r="X1852" s="1" t="str">
        <f>""</f>
        <v/>
      </c>
      <c r="Y1852" s="1" t="str">
        <f>""</f>
        <v/>
      </c>
      <c r="Z1852" t="str">
        <f>""</f>
        <v/>
      </c>
      <c r="AA1852" t="str">
        <f>"9677467813"</f>
        <v>9677467813</v>
      </c>
      <c r="AB1852" t="str">
        <f>"9677467813"</f>
        <v>9677467813</v>
      </c>
      <c r="AC1852" t="str">
        <f>"9677467813"</f>
        <v>9677467813</v>
      </c>
      <c r="AD1852" t="str">
        <f>"9677467813"</f>
        <v>9677467813</v>
      </c>
      <c r="AE1852" t="str">
        <f>""</f>
        <v/>
      </c>
    </row>
    <row r="1853" spans="1:31" x14ac:dyDescent="0.45">
      <c r="A1853" t="str">
        <f>"ИСМОИЛОВ КИЁМУДИН ХАСАНОВИЧ"</f>
        <v>ИСМОИЛОВ КИЁМУДИН ХАСАНОВИЧ</v>
      </c>
      <c r="B1853" t="str">
        <f>"1976-01-26"</f>
        <v>1976-01-26</v>
      </c>
      <c r="C1853" t="str">
        <f>"87 05 064504"</f>
        <v>87 05 064504</v>
      </c>
      <c r="D1853" t="str">
        <f>"4854630091136625"</f>
        <v>4854630091136625</v>
      </c>
      <c r="E1853" t="str">
        <f>"2021-05-31"</f>
        <v>2021-05-31</v>
      </c>
      <c r="F1853" t="str">
        <f t="shared" si="324"/>
        <v>+</v>
      </c>
      <c r="G1853" t="str">
        <f>"+"</f>
        <v>+</v>
      </c>
      <c r="H1853" t="str">
        <f>"40817810616992554911"</f>
        <v>40817810616992554911</v>
      </c>
      <c r="I1853" t="str">
        <f>"1790"</f>
        <v>1790</v>
      </c>
      <c r="J1853" t="str">
        <f>"0059"</f>
        <v>0059</v>
      </c>
      <c r="K1853" t="str">
        <f>"200000.00"</f>
        <v>200000.00</v>
      </c>
      <c r="L1853" t="str">
        <f>"629000 ОБЛ ТЮМЕНСКАЯ   Г САЛЕХАРД   УЛ ОБЪЕЗДНАЯ д. 36А"</f>
        <v>629000 ОБЛ ТЮМЕНСКАЯ   Г САЛЕХАРД   УЛ ОБЪЕЗДНАЯ д. 36А</v>
      </c>
      <c r="M1853" t="str">
        <f t="shared" si="314"/>
        <v>2019-08-24</v>
      </c>
      <c r="N1853" t="str">
        <f>"ООО СТРОЙКОМ"</f>
        <v>ООО СТРОЙКОМ</v>
      </c>
      <c r="O1853" t="str">
        <f>"629000"</f>
        <v>629000</v>
      </c>
      <c r="P1853" t="str">
        <f>"ОБЛ ТЮМЕНСКАЯ"</f>
        <v>ОБЛ ТЮМЕНСКАЯ</v>
      </c>
      <c r="Q1853" t="str">
        <f>""</f>
        <v/>
      </c>
      <c r="R1853" t="str">
        <f>"Г САЛЕХАРД"</f>
        <v>Г САЛЕХАРД</v>
      </c>
      <c r="S1853" t="str">
        <f>""</f>
        <v/>
      </c>
      <c r="T1853" t="str">
        <f>"УЛ МАЯКОВСКОГО"</f>
        <v>УЛ МАЯКОВСКОГО</v>
      </c>
      <c r="U1853" s="1" t="str">
        <f>"37"</f>
        <v>37</v>
      </c>
      <c r="V1853" s="1" t="str">
        <f>""</f>
        <v/>
      </c>
      <c r="W1853" s="1" t="str">
        <f>""</f>
        <v/>
      </c>
      <c r="X1853" s="1" t="str">
        <f>""</f>
        <v/>
      </c>
      <c r="Y1853" s="1" t="str">
        <f>""</f>
        <v/>
      </c>
      <c r="Z1853" t="str">
        <f>""</f>
        <v/>
      </c>
      <c r="AA1853" t="str">
        <f>"9821623077"</f>
        <v>9821623077</v>
      </c>
      <c r="AB1853" t="str">
        <f>"9821623077"</f>
        <v>9821623077</v>
      </c>
      <c r="AC1853" t="str">
        <f>"9028165665"</f>
        <v>9028165665</v>
      </c>
      <c r="AD1853" t="str">
        <f>"9821623077"</f>
        <v>9821623077</v>
      </c>
      <c r="AE1853" t="str">
        <f>""</f>
        <v/>
      </c>
    </row>
    <row r="1854" spans="1:31" x14ac:dyDescent="0.45">
      <c r="A1854" t="str">
        <f>"ИЛЬЯСОВА АЛЬМИРА ФАРИТОВНА"</f>
        <v>ИЛЬЯСОВА АЛЬМИРА ФАРИТОВНА</v>
      </c>
      <c r="B1854" t="str">
        <f>"1963-07-23"</f>
        <v>1963-07-23</v>
      </c>
      <c r="C1854" t="str">
        <f>"80 08 600753"</f>
        <v>80 08 600753</v>
      </c>
      <c r="D1854" t="str">
        <f>"4854630174597198"</f>
        <v>4854630174597198</v>
      </c>
      <c r="E1854" t="str">
        <f>"2020-04-30"</f>
        <v>2020-04-30</v>
      </c>
      <c r="F1854" t="str">
        <f t="shared" si="324"/>
        <v>+</v>
      </c>
      <c r="G1854" t="str">
        <f>"+"</f>
        <v>+</v>
      </c>
      <c r="H1854" t="str">
        <f>"40817810716991470446"</f>
        <v>40817810716991470446</v>
      </c>
      <c r="I1854" t="str">
        <f>"8598"</f>
        <v>8598</v>
      </c>
      <c r="J1854" t="str">
        <f>"0585"</f>
        <v>0585</v>
      </c>
      <c r="K1854" t="str">
        <f>"10000.00"</f>
        <v>10000.00</v>
      </c>
      <c r="L1854" t="str">
        <f>"450000 РЕСП БАШКОРТОСТАН   Г БЛАГОВЕЩЕНСК   УЛ МИРА"</f>
        <v>450000 РЕСП БАШКОРТОСТАН   Г БЛАГОВЕЩЕНСК   УЛ МИРА</v>
      </c>
      <c r="M1854" t="str">
        <f t="shared" si="314"/>
        <v>2019-08-24</v>
      </c>
      <c r="N1854" t="str">
        <f>"ПЕНСИОНЕР"</f>
        <v>ПЕНСИОНЕР</v>
      </c>
      <c r="O1854" t="str">
        <f>"450000"</f>
        <v>450000</v>
      </c>
      <c r="P1854" t="str">
        <f>"РЕСП БАШКОРТОСТАН"</f>
        <v>РЕСП БАШКОРТОСТАН</v>
      </c>
      <c r="Q1854" t="str">
        <f>"Р-Н НУРИМАНОВСКИЙ"</f>
        <v>Р-Н НУРИМАНОВСКИЙ</v>
      </c>
      <c r="R1854" t="str">
        <f>""</f>
        <v/>
      </c>
      <c r="S1854" t="str">
        <f>"Д СТАРОБИРЮЧЕВО"</f>
        <v>Д СТАРОБИРЮЧЕВО</v>
      </c>
      <c r="T1854" t="str">
        <f>"УЛ ПОЛЕВАЯ"</f>
        <v>УЛ ПОЛЕВАЯ</v>
      </c>
      <c r="U1854" s="1" t="str">
        <f>"13"</f>
        <v>13</v>
      </c>
      <c r="V1854" s="1" t="str">
        <f>""</f>
        <v/>
      </c>
      <c r="W1854" s="1" t="str">
        <f>""</f>
        <v/>
      </c>
      <c r="X1854" s="1" t="str">
        <f>""</f>
        <v/>
      </c>
      <c r="Y1854" s="1" t="str">
        <f>""</f>
        <v/>
      </c>
      <c r="Z1854" t="str">
        <f>"9373307807"</f>
        <v>9373307807</v>
      </c>
      <c r="AA1854" t="str">
        <f>"9373307807"</f>
        <v>9373307807</v>
      </c>
      <c r="AB1854" t="str">
        <f>"9373307807"</f>
        <v>9373307807</v>
      </c>
      <c r="AC1854" t="str">
        <f>"9373307807"</f>
        <v>9373307807</v>
      </c>
      <c r="AD1854" t="str">
        <f>"9373307807"</f>
        <v>9373307807</v>
      </c>
      <c r="AE1854" t="str">
        <f>"9373307807"</f>
        <v>9373307807</v>
      </c>
    </row>
    <row r="1855" spans="1:31" x14ac:dyDescent="0.45">
      <c r="A1855" t="str">
        <f>"ОБУХОВ АЛЕКСАНДР ВАСИЛЬЕВИЧ"</f>
        <v>ОБУХОВ АЛЕКСАНДР ВАСИЛЬЕВИЧ</v>
      </c>
      <c r="B1855" t="str">
        <f>"1954-09-07"</f>
        <v>1954-09-07</v>
      </c>
      <c r="C1855" t="str">
        <f>"80 04 303108"</f>
        <v>80 04 303108</v>
      </c>
      <c r="D1855" t="str">
        <f>"4854630168863267"</f>
        <v>4854630168863267</v>
      </c>
      <c r="E1855" t="str">
        <f>"2021-05-31"</f>
        <v>2021-05-31</v>
      </c>
      <c r="F1855" t="str">
        <f t="shared" si="324"/>
        <v>+</v>
      </c>
      <c r="G1855" t="str">
        <f>"W"</f>
        <v>W</v>
      </c>
      <c r="H1855" t="str">
        <f>"40817810016991470447"</f>
        <v>40817810016991470447</v>
      </c>
      <c r="I1855" t="str">
        <f>"8598"</f>
        <v>8598</v>
      </c>
      <c r="J1855" t="str">
        <f>"0212"</f>
        <v>0212</v>
      </c>
      <c r="K1855" t="str">
        <f>"14000.00"</f>
        <v>14000.00</v>
      </c>
      <c r="L1855" t="str">
        <f>"450000 РЕСП БАШКОРТОСТАН   Г УФА   УЛ АХМЕТОВА д. 77"</f>
        <v>450000 РЕСП БАШКОРТОСТАН   Г УФА   УЛ АХМЕТОВА д. 77</v>
      </c>
      <c r="M1855" t="str">
        <f t="shared" si="314"/>
        <v>2019-08-24</v>
      </c>
      <c r="N1855" t="str">
        <f>"ПФ"</f>
        <v>ПФ</v>
      </c>
      <c r="O1855" t="str">
        <f>"450000"</f>
        <v>450000</v>
      </c>
      <c r="P1855" t="str">
        <f>"РЕСП БАШКОРТОСТАН"</f>
        <v>РЕСП БАШКОРТОСТАН</v>
      </c>
      <c r="Q1855" t="str">
        <f>""</f>
        <v/>
      </c>
      <c r="R1855" t="str">
        <f>"Г УФА"</f>
        <v>Г УФА</v>
      </c>
      <c r="S1855" t="str">
        <f>""</f>
        <v/>
      </c>
      <c r="T1855" t="str">
        <f>"УЛ АХМЕТОВА"</f>
        <v>УЛ АХМЕТОВА</v>
      </c>
      <c r="U1855" s="1" t="str">
        <f>"77"</f>
        <v>77</v>
      </c>
      <c r="V1855" s="1" t="str">
        <f>""</f>
        <v/>
      </c>
      <c r="W1855" s="1" t="str">
        <f>""</f>
        <v/>
      </c>
      <c r="X1855" s="1" t="str">
        <f>""</f>
        <v/>
      </c>
      <c r="Y1855" s="1" t="str">
        <f>""</f>
        <v/>
      </c>
      <c r="Z1855" t="str">
        <f>"9174936086"</f>
        <v>9174936086</v>
      </c>
      <c r="AA1855" t="str">
        <f>"9174936086"</f>
        <v>9174936086</v>
      </c>
      <c r="AB1855" t="str">
        <f>"9174936086"</f>
        <v>9174936086</v>
      </c>
      <c r="AC1855" t="str">
        <f>"9174936086"</f>
        <v>9174936086</v>
      </c>
      <c r="AD1855" t="str">
        <f>"9174936086"</f>
        <v>9174936086</v>
      </c>
      <c r="AE1855" t="str">
        <f>"9174936086"</f>
        <v>9174936086</v>
      </c>
    </row>
    <row r="1856" spans="1:31" x14ac:dyDescent="0.45">
      <c r="A1856" t="str">
        <f>"ПОЛОВОДОВА ОЛЬГА АНАТОЛЬЕВНА"</f>
        <v>ПОЛОВОДОВА ОЛЬГА АНАТОЛЬЕВНА</v>
      </c>
      <c r="B1856" t="str">
        <f>"1959-08-03"</f>
        <v>1959-08-03</v>
      </c>
      <c r="C1856" t="str">
        <f>"71 13 013201"</f>
        <v>71 13 013201</v>
      </c>
      <c r="D1856" t="str">
        <f>"4854630374618984"</f>
        <v>4854630374618984</v>
      </c>
      <c r="E1856" t="str">
        <f>"2021-04-30"</f>
        <v>2021-04-30</v>
      </c>
      <c r="F1856" t="str">
        <f>"Y"</f>
        <v>Y</v>
      </c>
      <c r="G1856" t="str">
        <f>"Q"</f>
        <v>Q</v>
      </c>
      <c r="H1856" t="str">
        <f>"40817810216992556241"</f>
        <v>40817810216992556241</v>
      </c>
      <c r="I1856" t="str">
        <f>"8647"</f>
        <v>8647</v>
      </c>
      <c r="J1856" t="str">
        <f>"0260"</f>
        <v>0260</v>
      </c>
      <c r="K1856" t="str">
        <f>"0.00"</f>
        <v>0.00</v>
      </c>
      <c r="L1856" t="str">
        <f>"627000 ОБЛ ТЮМЕНСКАЯ Р-Н ОМУТИНСКИЙ   С СИТНИКОВО УЛ ЗАВОДСКАЯ д. 12 кв. 2"</f>
        <v>627000 ОБЛ ТЮМЕНСКАЯ Р-Н ОМУТИНСКИЙ   С СИТНИКОВО УЛ ЗАВОДСКАЯ д. 12 кв. 2</v>
      </c>
      <c r="M1856" t="str">
        <f t="shared" si="314"/>
        <v>2019-08-24</v>
      </c>
      <c r="N1856" t="str">
        <f>"ГУ ПФР РФ"</f>
        <v>ГУ ПФР РФ</v>
      </c>
      <c r="O1856" t="str">
        <f>"627000"</f>
        <v>627000</v>
      </c>
      <c r="P1856" t="str">
        <f>"ОБЛ ТЮМЕНСКАЯ"</f>
        <v>ОБЛ ТЮМЕНСКАЯ</v>
      </c>
      <c r="Q1856" t="str">
        <f>"Р-Н ОМУТИНСКИЙ"</f>
        <v>Р-Н ОМУТИНСКИЙ</v>
      </c>
      <c r="R1856" t="str">
        <f>""</f>
        <v/>
      </c>
      <c r="S1856" t="str">
        <f>"С СИТНИКОВО"</f>
        <v>С СИТНИКОВО</v>
      </c>
      <c r="T1856" t="str">
        <f>"УЛ ЗАВОДСКАЯ"</f>
        <v>УЛ ЗАВОДСКАЯ</v>
      </c>
      <c r="U1856" s="1" t="str">
        <f>"12"</f>
        <v>12</v>
      </c>
      <c r="V1856" s="1" t="str">
        <f>""</f>
        <v/>
      </c>
      <c r="W1856" s="1" t="str">
        <f>""</f>
        <v/>
      </c>
      <c r="X1856" s="1" t="str">
        <f>""</f>
        <v/>
      </c>
      <c r="Y1856" s="1" t="str">
        <f>"2"</f>
        <v>2</v>
      </c>
      <c r="Z1856" t="str">
        <f>"3454424669"</f>
        <v>3454424669</v>
      </c>
      <c r="AA1856" t="str">
        <f>"9504812071"</f>
        <v>9504812071</v>
      </c>
      <c r="AB1856" t="str">
        <f>"9504812071"</f>
        <v>9504812071</v>
      </c>
      <c r="AC1856" t="str">
        <f>"9504812071"</f>
        <v>9504812071</v>
      </c>
      <c r="AD1856" t="str">
        <f>"9504812071"</f>
        <v>9504812071</v>
      </c>
      <c r="AE1856" t="str">
        <f>"3454424669"</f>
        <v>3454424669</v>
      </c>
    </row>
    <row r="1857" spans="1:31" x14ac:dyDescent="0.45">
      <c r="A1857" t="str">
        <f>"БАДЕКИН АЛЕКСАНДР ВАЛЕРЬЕВИЧ"</f>
        <v>БАДЕКИН АЛЕКСАНДР ВАЛЕРЬЕВИЧ</v>
      </c>
      <c r="B1857" t="str">
        <f>"1973-08-09"</f>
        <v>1973-08-09</v>
      </c>
      <c r="C1857" t="str">
        <f>"74 18 985442"</f>
        <v>74 18 985442</v>
      </c>
      <c r="D1857" t="str">
        <f>"4854630090293385"</f>
        <v>4854630090293385</v>
      </c>
      <c r="E1857" t="str">
        <f>"2021-05-31"</f>
        <v>2021-05-31</v>
      </c>
      <c r="F1857" t="str">
        <f t="shared" ref="F1857:G1862" si="325">"+"</f>
        <v>+</v>
      </c>
      <c r="G1857" t="str">
        <f t="shared" si="325"/>
        <v>+</v>
      </c>
      <c r="H1857" t="str">
        <f>"40817810316992193012"</f>
        <v>40817810316992193012</v>
      </c>
      <c r="I1857" t="str">
        <f>"1790"</f>
        <v>1790</v>
      </c>
      <c r="J1857" t="str">
        <f>"0040"</f>
        <v>0040</v>
      </c>
      <c r="K1857" t="str">
        <f>"75000.00"</f>
        <v>75000.00</v>
      </c>
      <c r="L1857" t="str">
        <f>"629000 ОБЛ ТЮМЕНСКАЯ Р-Н ЯМАЛЬСКИЙ   П СЕЯХА УЛ БАМОВСКАЯ д. 15"</f>
        <v>629000 ОБЛ ТЮМЕНСКАЯ Р-Н ЯМАЛЬСКИЙ   П СЕЯХА УЛ БАМОВСКАЯ д. 15</v>
      </c>
      <c r="M1857" t="str">
        <f t="shared" si="314"/>
        <v>2019-08-24</v>
      </c>
      <c r="N1857" t="str">
        <f>"ООО СЕВЕРТРАНСТОРГ"</f>
        <v>ООО СЕВЕРТРАНСТОРГ</v>
      </c>
      <c r="O1857" t="str">
        <f>"629400"</f>
        <v>629400</v>
      </c>
      <c r="P1857" t="str">
        <f>"ОБЛ ТЮМЕНСКАЯ"</f>
        <v>ОБЛ ТЮМЕНСКАЯ</v>
      </c>
      <c r="Q1857" t="str">
        <f>"АО ЯМАЛО-НЕНЕЦКИЙ"</f>
        <v>АО ЯМАЛО-НЕНЕЦКИЙ</v>
      </c>
      <c r="R1857" t="str">
        <f>"Г ЛАБЫТНАНГИ"</f>
        <v>Г ЛАБЫТНАНГИ</v>
      </c>
      <c r="S1857" t="str">
        <f>""</f>
        <v/>
      </c>
      <c r="T1857" t="str">
        <f>"УЛ СТУДЕНЧЕСКАЯ"</f>
        <v>УЛ СТУДЕНЧЕСКАЯ</v>
      </c>
      <c r="U1857" s="1" t="str">
        <f>"20"</f>
        <v>20</v>
      </c>
      <c r="V1857" s="1" t="str">
        <f>""</f>
        <v/>
      </c>
      <c r="W1857" s="1" t="str">
        <f>""</f>
        <v/>
      </c>
      <c r="X1857" s="1" t="str">
        <f>""</f>
        <v/>
      </c>
      <c r="Y1857" s="1" t="str">
        <f>"7"</f>
        <v>7</v>
      </c>
      <c r="Z1857" t="str">
        <f>""</f>
        <v/>
      </c>
      <c r="AA1857" t="str">
        <f>"9028166121"</f>
        <v>9028166121</v>
      </c>
      <c r="AB1857" t="str">
        <f>"9028166121"</f>
        <v>9028166121</v>
      </c>
      <c r="AC1857" t="str">
        <f>"9044585256"</f>
        <v>9044585256</v>
      </c>
      <c r="AD1857" t="str">
        <f>"9028166121"</f>
        <v>9028166121</v>
      </c>
      <c r="AE1857" t="str">
        <f>""</f>
        <v/>
      </c>
    </row>
    <row r="1858" spans="1:31" x14ac:dyDescent="0.45">
      <c r="A1858" t="str">
        <f>"ШТЕФАН НАТАЛЬЯ ВАЛЕРЬЕВНА"</f>
        <v>ШТЕФАН НАТАЛЬЯ ВАЛЕРЬЕВНА</v>
      </c>
      <c r="B1858" t="str">
        <f>"1979-06-18"</f>
        <v>1979-06-18</v>
      </c>
      <c r="C1858" t="str">
        <f>"71 03 912402"</f>
        <v>71 03 912402</v>
      </c>
      <c r="D1858" t="str">
        <f>"4854630400472034"</f>
        <v>4854630400472034</v>
      </c>
      <c r="E1858" t="str">
        <f>"2021-04-30"</f>
        <v>2021-04-30</v>
      </c>
      <c r="F1858" t="str">
        <f t="shared" si="325"/>
        <v>+</v>
      </c>
      <c r="G1858" t="str">
        <f t="shared" si="325"/>
        <v>+</v>
      </c>
      <c r="H1858" t="str">
        <f>"40817810616992193204"</f>
        <v>40817810616992193204</v>
      </c>
      <c r="I1858" t="str">
        <f>"8647"</f>
        <v>8647</v>
      </c>
      <c r="J1858" t="str">
        <f>"0188"</f>
        <v>0188</v>
      </c>
      <c r="K1858" t="str">
        <f>"85000.00"</f>
        <v>85000.00</v>
      </c>
      <c r="L1858" t="str">
        <f>"627750 ОБЛ ТЮМЕНСКАЯ   Г ТЮМЕНЬ   УЛ НЕПОМНЯЩЕГО д. 101"</f>
        <v>627750 ОБЛ ТЮМЕНСКАЯ   Г ТЮМЕНЬ   УЛ НЕПОМНЯЩЕГО д. 101</v>
      </c>
      <c r="M1858" t="str">
        <f t="shared" ref="M1858:M1921" si="326">"2019-08-24"</f>
        <v>2019-08-24</v>
      </c>
      <c r="N1858" t="str">
        <f>"ИП БЕЛЫХ СЕРЕЙ НИКОЛАЕВИЧ"</f>
        <v>ИП БЕЛЫХ СЕРЕЙ НИКОЛАЕВИЧ</v>
      </c>
      <c r="O1858" t="str">
        <f>"627750"</f>
        <v>627750</v>
      </c>
      <c r="P1858" t="str">
        <f>"ОБЛ ТЮМЕНСКАЯ"</f>
        <v>ОБЛ ТЮМЕНСКАЯ</v>
      </c>
      <c r="Q1858" t="str">
        <f>""</f>
        <v/>
      </c>
      <c r="R1858" t="str">
        <f>"Г ИШИМ"</f>
        <v>Г ИШИМ</v>
      </c>
      <c r="S1858" t="str">
        <f>""</f>
        <v/>
      </c>
      <c r="T1858" t="str">
        <f>"УЛ КАЛИНИНА"</f>
        <v>УЛ КАЛИНИНА</v>
      </c>
      <c r="U1858" s="1" t="str">
        <f>"135"</f>
        <v>135</v>
      </c>
      <c r="V1858" s="1" t="str">
        <f>""</f>
        <v/>
      </c>
      <c r="W1858" s="1" t="str">
        <f>""</f>
        <v/>
      </c>
      <c r="X1858" s="1" t="str">
        <f>""</f>
        <v/>
      </c>
      <c r="Y1858" s="1" t="str">
        <f>"20"</f>
        <v>20</v>
      </c>
      <c r="Z1858" t="str">
        <f>""</f>
        <v/>
      </c>
      <c r="AA1858" t="str">
        <f>"9504946442"</f>
        <v>9504946442</v>
      </c>
      <c r="AB1858" t="str">
        <f>"9523413454"</f>
        <v>9523413454</v>
      </c>
      <c r="AC1858" t="str">
        <f>"9504946442"</f>
        <v>9504946442</v>
      </c>
      <c r="AD1858" t="str">
        <f>"9523413454"</f>
        <v>9523413454</v>
      </c>
      <c r="AE1858" t="str">
        <f>""</f>
        <v/>
      </c>
    </row>
    <row r="1859" spans="1:31" x14ac:dyDescent="0.45">
      <c r="A1859" t="str">
        <f>"КУРДИНА ИРИНА АНАТОЛЬЕВНА"</f>
        <v>КУРДИНА ИРИНА АНАТОЛЬЕВНА</v>
      </c>
      <c r="B1859" t="str">
        <f>"1963-07-13"</f>
        <v>1963-07-13</v>
      </c>
      <c r="C1859" t="str">
        <f>"80 08 623018"</f>
        <v>80 08 623018</v>
      </c>
      <c r="D1859" t="str">
        <f>"4276011635113364"</f>
        <v>4276011635113364</v>
      </c>
      <c r="E1859" t="str">
        <f>"2022-05-31"</f>
        <v>2022-05-31</v>
      </c>
      <c r="F1859" t="str">
        <f t="shared" si="325"/>
        <v>+</v>
      </c>
      <c r="G1859" t="str">
        <f t="shared" si="325"/>
        <v>+</v>
      </c>
      <c r="H1859" t="str">
        <f>"40817810316991470448"</f>
        <v>40817810316991470448</v>
      </c>
      <c r="I1859" t="str">
        <f>"8598"</f>
        <v>8598</v>
      </c>
      <c r="J1859" t="str">
        <f>"0699"</f>
        <v>0699</v>
      </c>
      <c r="K1859" t="str">
        <f>"150000.00"</f>
        <v>150000.00</v>
      </c>
      <c r="L1859" t="str">
        <f>"450000 РЕСП БАШКОРТОСТАН   Г САЛАВАТ   УЛ ОСТРОВСКОГО д. 55А кв. 44"</f>
        <v>450000 РЕСП БАШКОРТОСТАН   Г САЛАВАТ   УЛ ОСТРОВСКОГО д. 55А кв. 44</v>
      </c>
      <c r="M1859" t="str">
        <f t="shared" si="326"/>
        <v>2019-08-24</v>
      </c>
      <c r="N1859" t="str">
        <f>"ИП КУРДИНА ИА"</f>
        <v>ИП КУРДИНА ИА</v>
      </c>
      <c r="O1859" t="str">
        <f>"450000"</f>
        <v>450000</v>
      </c>
      <c r="P1859" t="str">
        <f>"РЕСП БАШКОРТОСТАН"</f>
        <v>РЕСП БАШКОРТОСТАН</v>
      </c>
      <c r="Q1859" t="str">
        <f>""</f>
        <v/>
      </c>
      <c r="R1859" t="str">
        <f>"Г САЛАВАТ"</f>
        <v>Г САЛАВАТ</v>
      </c>
      <c r="S1859" t="str">
        <f>""</f>
        <v/>
      </c>
      <c r="T1859" t="str">
        <f>"УЛ ОСТРОВСКОГО"</f>
        <v>УЛ ОСТРОВСКОГО</v>
      </c>
      <c r="U1859" s="1" t="str">
        <f>"55А"</f>
        <v>55А</v>
      </c>
      <c r="V1859" s="1" t="str">
        <f>""</f>
        <v/>
      </c>
      <c r="W1859" s="1" t="str">
        <f>""</f>
        <v/>
      </c>
      <c r="X1859" s="1" t="str">
        <f>""</f>
        <v/>
      </c>
      <c r="Y1859" s="1" t="str">
        <f>"44"</f>
        <v>44</v>
      </c>
      <c r="Z1859" t="str">
        <f>""</f>
        <v/>
      </c>
      <c r="AA1859" t="str">
        <f>"9191582447"</f>
        <v>9191582447</v>
      </c>
      <c r="AB1859" t="str">
        <f>"9173790154"</f>
        <v>9173790154</v>
      </c>
      <c r="AC1859" t="str">
        <f>"9191582447"</f>
        <v>9191582447</v>
      </c>
      <c r="AD1859" t="str">
        <f>"9173790154"</f>
        <v>9173790154</v>
      </c>
      <c r="AE1859" t="str">
        <f>""</f>
        <v/>
      </c>
    </row>
    <row r="1860" spans="1:31" x14ac:dyDescent="0.45">
      <c r="A1860" t="str">
        <f>"АХМАДЕЕВА ЗИМФИРА МИННАЗАЛОВНА"</f>
        <v>АХМАДЕЕВА ЗИМФИРА МИННАЗАЛОВНА</v>
      </c>
      <c r="B1860" t="str">
        <f>"1958-01-29"</f>
        <v>1958-01-29</v>
      </c>
      <c r="C1860" t="str">
        <f>"80 04 745984"</f>
        <v>80 04 745984</v>
      </c>
      <c r="D1860" t="str">
        <f>"4854630351541621"</f>
        <v>4854630351541621</v>
      </c>
      <c r="E1860" t="str">
        <f>"2021-04-30"</f>
        <v>2021-04-30</v>
      </c>
      <c r="F1860" t="str">
        <f t="shared" si="325"/>
        <v>+</v>
      </c>
      <c r="G1860" t="str">
        <f t="shared" si="325"/>
        <v>+</v>
      </c>
      <c r="H1860" t="str">
        <f>"40817810616991470449"</f>
        <v>40817810616991470449</v>
      </c>
      <c r="I1860" t="str">
        <f>"8598"</f>
        <v>8598</v>
      </c>
      <c r="J1860" t="str">
        <f>"0652"</f>
        <v>0652</v>
      </c>
      <c r="K1860" t="str">
        <f>"240000.00"</f>
        <v>240000.00</v>
      </c>
      <c r="L1860" t="str">
        <f>"452765 РЕСП БАШКОРТОСТАН Р-Н ТУЙМАЗИНСКИЙ   С КАНДРЫ УЛ МИРА д. 21 кв. 12"</f>
        <v>452765 РЕСП БАШКОРТОСТАН Р-Н ТУЙМАЗИНСКИЙ   С КАНДРЫ УЛ МИРА д. 21 кв. 12</v>
      </c>
      <c r="M1860" t="str">
        <f t="shared" si="326"/>
        <v>2019-08-24</v>
      </c>
      <c r="N1860" t="str">
        <f>"ПЕНСИОНЕР"</f>
        <v>ПЕНСИОНЕР</v>
      </c>
      <c r="O1860" t="str">
        <f>"452765"</f>
        <v>452765</v>
      </c>
      <c r="P1860" t="str">
        <f>"РЕСП БАШКОРТОСТАН"</f>
        <v>РЕСП БАШКОРТОСТАН</v>
      </c>
      <c r="Q1860" t="str">
        <f>""</f>
        <v/>
      </c>
      <c r="R1860" t="str">
        <f>""</f>
        <v/>
      </c>
      <c r="S1860" t="str">
        <f>"С КАНДРЫ"</f>
        <v>С КАНДРЫ</v>
      </c>
      <c r="T1860" t="str">
        <f>"УЛ МИРА"</f>
        <v>УЛ МИРА</v>
      </c>
      <c r="U1860" s="1" t="str">
        <f>"21"</f>
        <v>21</v>
      </c>
      <c r="V1860" s="1" t="str">
        <f>""</f>
        <v/>
      </c>
      <c r="W1860" s="1" t="str">
        <f>""</f>
        <v/>
      </c>
      <c r="X1860" s="1" t="str">
        <f>""</f>
        <v/>
      </c>
      <c r="Y1860" s="1" t="str">
        <f>"12"</f>
        <v>12</v>
      </c>
      <c r="Z1860" t="str">
        <f>""</f>
        <v/>
      </c>
      <c r="AA1860" t="str">
        <f>"+7 (34782) 40824"</f>
        <v>+7 (34782) 40824</v>
      </c>
      <c r="AB1860" t="str">
        <f>"+7 (937) 4853910"</f>
        <v>+7 (937) 4853910</v>
      </c>
      <c r="AC1860" t="str">
        <f>"3478248174"</f>
        <v>3478248174</v>
      </c>
      <c r="AD1860" t="str">
        <f>"9273526626"</f>
        <v>9273526626</v>
      </c>
      <c r="AE1860" t="str">
        <f>""</f>
        <v/>
      </c>
    </row>
    <row r="1861" spans="1:31" x14ac:dyDescent="0.45">
      <c r="A1861" t="str">
        <f>"ПЕТРИВАНОВ ГЕННАДИЙ ЛЕОНТЬЕВИЧ"</f>
        <v>ПЕТРИВАНОВ ГЕННАДИЙ ЛЕОНТЬЕВИЧ</v>
      </c>
      <c r="B1861" t="str">
        <f>"1955-08-03"</f>
        <v>1955-08-03</v>
      </c>
      <c r="C1861" t="str">
        <f>"75 00 512457"</f>
        <v>75 00 512457</v>
      </c>
      <c r="D1861" t="str">
        <f>"4854630320510921"</f>
        <v>4854630320510921</v>
      </c>
      <c r="E1861" t="str">
        <f>"2021-05-31"</f>
        <v>2021-05-31</v>
      </c>
      <c r="F1861" t="str">
        <f t="shared" si="325"/>
        <v>+</v>
      </c>
      <c r="G1861" t="str">
        <f t="shared" si="325"/>
        <v>+</v>
      </c>
      <c r="H1861" t="str">
        <f>"40817810316991470477"</f>
        <v>40817810316991470477</v>
      </c>
      <c r="I1861" t="str">
        <f>"8597"</f>
        <v>8597</v>
      </c>
      <c r="J1861" t="str">
        <f>"0109"</f>
        <v>0109</v>
      </c>
      <c r="K1861" t="str">
        <f>"18000.00"</f>
        <v>18000.00</v>
      </c>
      <c r="L1861" t="str">
        <f>"454087 ОБЛ ЧЕЛЯБИНСКАЯ   Г ЧЕЛЯБИНСК   УЛ ГОРНАЯ 1-Я д. 30"</f>
        <v>454087 ОБЛ ЧЕЛЯБИНСКАЯ   Г ЧЕЛЯБИНСК   УЛ ГОРНАЯ 1-Я д. 30</v>
      </c>
      <c r="M1861" t="str">
        <f t="shared" si="326"/>
        <v>2019-08-24</v>
      </c>
      <c r="N1861" t="str">
        <f>"ПЕНСИОНЕР"</f>
        <v>ПЕНСИОНЕР</v>
      </c>
      <c r="O1861" t="str">
        <f>"454087"</f>
        <v>454087</v>
      </c>
      <c r="P1861" t="str">
        <f>"ОБЛ ЧЕЛЯБИНСКАЯ"</f>
        <v>ОБЛ ЧЕЛЯБИНСКАЯ</v>
      </c>
      <c r="Q1861" t="str">
        <f>""</f>
        <v/>
      </c>
      <c r="R1861" t="str">
        <f>"Г ЧЕЛЯБИНСК"</f>
        <v>Г ЧЕЛЯБИНСК</v>
      </c>
      <c r="S1861" t="str">
        <f>""</f>
        <v/>
      </c>
      <c r="T1861" t="str">
        <f>"УЛ ГОРНАЯ 1-Я"</f>
        <v>УЛ ГОРНАЯ 1-Я</v>
      </c>
      <c r="U1861" s="1" t="str">
        <f>"30"</f>
        <v>30</v>
      </c>
      <c r="V1861" s="1" t="str">
        <f>""</f>
        <v/>
      </c>
      <c r="W1861" s="1" t="str">
        <f>""</f>
        <v/>
      </c>
      <c r="X1861" s="1" t="str">
        <f>""</f>
        <v/>
      </c>
      <c r="Y1861" s="1" t="str">
        <f>""</f>
        <v/>
      </c>
      <c r="Z1861" t="str">
        <f>"9193539095"</f>
        <v>9193539095</v>
      </c>
      <c r="AA1861" t="str">
        <f>"9043099820"</f>
        <v>9043099820</v>
      </c>
      <c r="AB1861" t="str">
        <f>"9043099820"</f>
        <v>9043099820</v>
      </c>
      <c r="AC1861" t="str">
        <f>"9043099820"</f>
        <v>9043099820</v>
      </c>
      <c r="AD1861" t="str">
        <f>"9043099820"</f>
        <v>9043099820</v>
      </c>
      <c r="AE1861" t="str">
        <f>"9193539095"</f>
        <v>9193539095</v>
      </c>
    </row>
    <row r="1862" spans="1:31" x14ac:dyDescent="0.45">
      <c r="A1862" t="str">
        <f>"БАГРАМОВ РАФИС МУХАМАТНУРОВИЧ"</f>
        <v>БАГРАМОВ РАФИС МУХАМАТНУРОВИЧ</v>
      </c>
      <c r="B1862" t="str">
        <f>"1963-11-23"</f>
        <v>1963-11-23</v>
      </c>
      <c r="C1862" t="str">
        <f>"65 08 485779"</f>
        <v>65 08 485779</v>
      </c>
      <c r="D1862" t="str">
        <f>"4854630370590088"</f>
        <v>4854630370590088</v>
      </c>
      <c r="E1862" t="str">
        <f>"2021-04-30"</f>
        <v>2021-04-30</v>
      </c>
      <c r="F1862" t="str">
        <f t="shared" si="325"/>
        <v>+</v>
      </c>
      <c r="G1862" t="str">
        <f t="shared" si="325"/>
        <v>+</v>
      </c>
      <c r="H1862" t="str">
        <f>"40817810616991470478"</f>
        <v>40817810616991470478</v>
      </c>
      <c r="I1862" t="str">
        <f>"7003"</f>
        <v>7003</v>
      </c>
      <c r="J1862" t="str">
        <f>"0418"</f>
        <v>0418</v>
      </c>
      <c r="K1862" t="str">
        <f>"11000.00"</f>
        <v>11000.00</v>
      </c>
      <c r="L1862" t="str">
        <f>"620000 ОБЛ СВЕРДЛОВСКАЯ   Г ЕКАТЕРИНБУРГ   УЛ ПОПОВА д. 33 стр. А"</f>
        <v>620000 ОБЛ СВЕРДЛОВСКАЯ   Г ЕКАТЕРИНБУРГ   УЛ ПОПОВА д. 33 стр. А</v>
      </c>
      <c r="M1862" t="str">
        <f t="shared" si="326"/>
        <v>2019-08-24</v>
      </c>
      <c r="N1862" t="str">
        <f>"ЧОП КАСТ"</f>
        <v>ЧОП КАСТ</v>
      </c>
      <c r="O1862" t="str">
        <f>"620000"</f>
        <v>620000</v>
      </c>
      <c r="P1862" t="str">
        <f>"ОБЛ СВЕРДЛОВСКАЯ"</f>
        <v>ОБЛ СВЕРДЛОВСКАЯ</v>
      </c>
      <c r="Q1862" t="str">
        <f>""</f>
        <v/>
      </c>
      <c r="R1862" t="str">
        <f>"Г ЕКАТЕРИНБУРГ"</f>
        <v>Г ЕКАТЕРИНБУРГ</v>
      </c>
      <c r="S1862" t="str">
        <f>""</f>
        <v/>
      </c>
      <c r="T1862" t="str">
        <f>"УЛ КУЙБЫШЕВА"</f>
        <v>УЛ КУЙБЫШЕВА</v>
      </c>
      <c r="U1862" s="1" t="str">
        <f>"6"</f>
        <v>6</v>
      </c>
      <c r="V1862" s="1" t="str">
        <f>""</f>
        <v/>
      </c>
      <c r="W1862" s="1" t="str">
        <f>""</f>
        <v/>
      </c>
      <c r="X1862" s="1" t="str">
        <f>""</f>
        <v/>
      </c>
      <c r="Y1862" s="1" t="str">
        <f>"118"</f>
        <v>118</v>
      </c>
      <c r="Z1862" t="str">
        <f>""</f>
        <v/>
      </c>
      <c r="AA1862" t="str">
        <f>"9827590032"</f>
        <v>9827590032</v>
      </c>
      <c r="AB1862" t="str">
        <f>"9827590032"</f>
        <v>9827590032</v>
      </c>
      <c r="AC1862" t="str">
        <f>"9827590032"</f>
        <v>9827590032</v>
      </c>
      <c r="AD1862" t="str">
        <f>"9827590032"</f>
        <v>9827590032</v>
      </c>
      <c r="AE1862" t="str">
        <f>""</f>
        <v/>
      </c>
    </row>
    <row r="1863" spans="1:31" x14ac:dyDescent="0.45">
      <c r="A1863" t="str">
        <f>"ШАРАФУТДИНОВА НУРЗИЯ РИВХАТОВНА"</f>
        <v>ШАРАФУТДИНОВА НУРЗИЯ РИВХАТОВНА</v>
      </c>
      <c r="B1863" t="str">
        <f>"1956-05-25"</f>
        <v>1956-05-25</v>
      </c>
      <c r="C1863" t="str">
        <f>"71 02 822268"</f>
        <v>71 02 822268</v>
      </c>
      <c r="D1863" t="str">
        <f>"4854630411752408"</f>
        <v>4854630411752408</v>
      </c>
      <c r="E1863" t="str">
        <f>"2021-04-30"</f>
        <v>2021-04-30</v>
      </c>
      <c r="F1863" t="str">
        <f>"Q"</f>
        <v>Q</v>
      </c>
      <c r="G1863" t="str">
        <f>"Q"</f>
        <v>Q</v>
      </c>
      <c r="H1863" t="str">
        <f>"40817810516992556886"</f>
        <v>40817810516992556886</v>
      </c>
      <c r="I1863" t="str">
        <f>"8647"</f>
        <v>8647</v>
      </c>
      <c r="J1863" t="str">
        <f>"0083"</f>
        <v>0083</v>
      </c>
      <c r="K1863" t="str">
        <f>"0.00"</f>
        <v>0.00</v>
      </c>
      <c r="L1863" t="str">
        <f>"625000 ОБЛ ТЮМЕНСКАЯ   Г ТЮМЕНЬ   УЛ ПЕРМЯКОВА д. 21 кв. 95"</f>
        <v>625000 ОБЛ ТЮМЕНСКАЯ   Г ТЮМЕНЬ   УЛ ПЕРМЯКОВА д. 21 кв. 95</v>
      </c>
      <c r="M1863" t="str">
        <f t="shared" si="326"/>
        <v>2019-08-24</v>
      </c>
      <c r="N1863" t="str">
        <f>"ПЕНСИОНЕР"</f>
        <v>ПЕНСИОНЕР</v>
      </c>
      <c r="O1863" t="str">
        <f>"625000"</f>
        <v>625000</v>
      </c>
      <c r="P1863" t="str">
        <f>"ОБЛ ТЮМЕНСКАЯ"</f>
        <v>ОБЛ ТЮМЕНСКАЯ</v>
      </c>
      <c r="Q1863" t="str">
        <f>""</f>
        <v/>
      </c>
      <c r="R1863" t="str">
        <f>"Г ТЮМЕНЬ"</f>
        <v>Г ТЮМЕНЬ</v>
      </c>
      <c r="S1863" t="str">
        <f>""</f>
        <v/>
      </c>
      <c r="T1863" t="str">
        <f>"УЛ ПЕРМЯКОВА"</f>
        <v>УЛ ПЕРМЯКОВА</v>
      </c>
      <c r="U1863" s="1" t="str">
        <f>"21"</f>
        <v>21</v>
      </c>
      <c r="V1863" s="1" t="str">
        <f>""</f>
        <v/>
      </c>
      <c r="W1863" s="1" t="str">
        <f>""</f>
        <v/>
      </c>
      <c r="X1863" s="1" t="str">
        <f>""</f>
        <v/>
      </c>
      <c r="Y1863" s="1" t="str">
        <f>"95"</f>
        <v>95</v>
      </c>
      <c r="Z1863" t="str">
        <f>""</f>
        <v/>
      </c>
      <c r="AA1863" t="str">
        <f>"9129212208"</f>
        <v>9129212208</v>
      </c>
      <c r="AB1863" t="str">
        <f>"9129212208"</f>
        <v>9129212208</v>
      </c>
      <c r="AC1863" t="str">
        <f>"9129220491"</f>
        <v>9129220491</v>
      </c>
      <c r="AD1863" t="str">
        <f>"9129212208"</f>
        <v>9129212208</v>
      </c>
      <c r="AE1863" t="str">
        <f>""</f>
        <v/>
      </c>
    </row>
    <row r="1864" spans="1:31" x14ac:dyDescent="0.45">
      <c r="A1864" t="str">
        <f>"КИСЕЛЕВ МАКСИМ АНАТОЛЬЕВИЧ"</f>
        <v>КИСЕЛЕВ МАКСИМ АНАТОЛЬЕВИЧ</v>
      </c>
      <c r="B1864" t="str">
        <f>"1986-05-28"</f>
        <v>1986-05-28</v>
      </c>
      <c r="C1864" t="str">
        <f>"80 11 518429"</f>
        <v>80 11 518429</v>
      </c>
      <c r="D1864" t="str">
        <f>"4854630354134929"</f>
        <v>4854630354134929</v>
      </c>
      <c r="E1864" t="str">
        <f>"2021-04-30"</f>
        <v>2021-04-30</v>
      </c>
      <c r="F1864" t="str">
        <f>"+"</f>
        <v>+</v>
      </c>
      <c r="G1864" t="str">
        <f>"+"</f>
        <v>+</v>
      </c>
      <c r="H1864" t="str">
        <f>"40817810416991470513"</f>
        <v>40817810416991470513</v>
      </c>
      <c r="I1864" t="str">
        <f>"8598"</f>
        <v>8598</v>
      </c>
      <c r="J1864" t="str">
        <f>"0569"</f>
        <v>0569</v>
      </c>
      <c r="K1864" t="str">
        <f>"290000.00"</f>
        <v>290000.00</v>
      </c>
      <c r="L1864" t="str">
        <f>"453040 РЕСП БАШКОРТОСТАН Р-Н АРХАНГЕЛЬСКИЙ   С АРХАНГЕЛЬСКОЕ УЛ ВОРОШИЛОВА д. 58"</f>
        <v>453040 РЕСП БАШКОРТОСТАН Р-Н АРХАНГЕЛЬСКИЙ   С АРХАНГЕЛЬСКОЕ УЛ ВОРОШИЛОВА д. 58</v>
      </c>
      <c r="M1864" t="str">
        <f t="shared" si="326"/>
        <v>2019-08-24</v>
      </c>
      <c r="N1864" t="str">
        <f>"ООО АРГОС-КЕДА"</f>
        <v>ООО АРГОС-КЕДА</v>
      </c>
      <c r="O1864" t="str">
        <f>"453040"</f>
        <v>453040</v>
      </c>
      <c r="P1864" t="str">
        <f>"РЕСП БАШКОРТОСТАН"</f>
        <v>РЕСП БАШКОРТОСТАН</v>
      </c>
      <c r="Q1864" t="str">
        <f>"Р-Н АРХАНГЕЛЬСКИЙ"</f>
        <v>Р-Н АРХАНГЕЛЬСКИЙ</v>
      </c>
      <c r="R1864" t="str">
        <f>""</f>
        <v/>
      </c>
      <c r="S1864" t="str">
        <f>"С АРХАНГЕЛЬСКОЕ"</f>
        <v>С АРХАНГЕЛЬСКОЕ</v>
      </c>
      <c r="T1864" t="str">
        <f>"УЛ ВОРОШИЛОВА"</f>
        <v>УЛ ВОРОШИЛОВА</v>
      </c>
      <c r="U1864" s="1" t="str">
        <f>"58"</f>
        <v>58</v>
      </c>
      <c r="V1864" s="1" t="str">
        <f>""</f>
        <v/>
      </c>
      <c r="W1864" s="1" t="str">
        <f>""</f>
        <v/>
      </c>
      <c r="X1864" s="1" t="str">
        <f>""</f>
        <v/>
      </c>
      <c r="Y1864" s="1" t="str">
        <f>""</f>
        <v/>
      </c>
      <c r="Z1864" t="str">
        <f>"345 2689112"</f>
        <v>345 2689112</v>
      </c>
      <c r="AA1864" t="str">
        <f>"3477421473"</f>
        <v>3477421473</v>
      </c>
      <c r="AB1864" t="str">
        <f>"9196110656"</f>
        <v>9196110656</v>
      </c>
      <c r="AC1864" t="str">
        <f>"3477421473"</f>
        <v>3477421473</v>
      </c>
      <c r="AD1864" t="str">
        <f>"9196110656"</f>
        <v>9196110656</v>
      </c>
      <c r="AE1864" t="str">
        <f>""</f>
        <v/>
      </c>
    </row>
    <row r="1865" spans="1:31" x14ac:dyDescent="0.45">
      <c r="A1865" t="str">
        <f>"СУВОРОВА НАДЕЖДА ГРИГОРЬЕВНА"</f>
        <v>СУВОРОВА НАДЕЖДА ГРИГОРЬЕВНА</v>
      </c>
      <c r="B1865" t="str">
        <f>"1959-09-08"</f>
        <v>1959-09-08</v>
      </c>
      <c r="C1865" t="str">
        <f>"80 05 437729"</f>
        <v>80 05 437729</v>
      </c>
      <c r="D1865" t="str">
        <f>"4854630158326929"</f>
        <v>4854630158326929</v>
      </c>
      <c r="E1865" t="str">
        <f>"2021-05-31"</f>
        <v>2021-05-31</v>
      </c>
      <c r="F1865" t="str">
        <f>"Q"</f>
        <v>Q</v>
      </c>
      <c r="G1865" t="str">
        <f>"Q"</f>
        <v>Q</v>
      </c>
      <c r="H1865" t="str">
        <f>"40817810716991470514"</f>
        <v>40817810716991470514</v>
      </c>
      <c r="I1865" t="str">
        <f>"8598"</f>
        <v>8598</v>
      </c>
      <c r="J1865" t="str">
        <f>"0059"</f>
        <v>0059</v>
      </c>
      <c r="K1865" t="str">
        <f>"0.00"</f>
        <v>0.00</v>
      </c>
      <c r="L1865" t="str">
        <f>"450000 РЕСП БАШКОРТОСТАН   Г УФА   УЛ МАШИНОСТРОИТЕЛЕЙ д. 21 корп. А"</f>
        <v>450000 РЕСП БАШКОРТОСТАН   Г УФА   УЛ МАШИНОСТРОИТЕЛЕЙ д. 21 корп. А</v>
      </c>
      <c r="M1865" t="str">
        <f t="shared" si="326"/>
        <v>2019-08-24</v>
      </c>
      <c r="N1865" t="str">
        <f>"ПФ"</f>
        <v>ПФ</v>
      </c>
      <c r="O1865" t="str">
        <f>"450000"</f>
        <v>450000</v>
      </c>
      <c r="P1865" t="str">
        <f>"РЕСП БАШКОРТОСТАН"</f>
        <v>РЕСП БАШКОРТОСТАН</v>
      </c>
      <c r="Q1865" t="str">
        <f>""</f>
        <v/>
      </c>
      <c r="R1865" t="str">
        <f>"Г УФА"</f>
        <v>Г УФА</v>
      </c>
      <c r="S1865" t="str">
        <f>""</f>
        <v/>
      </c>
      <c r="T1865" t="str">
        <f>"УЛ ВЫСОКОВОЛЬТНАЯ"</f>
        <v>УЛ ВЫСОКОВОЛЬТНАЯ</v>
      </c>
      <c r="U1865" s="1" t="str">
        <f>"20"</f>
        <v>20</v>
      </c>
      <c r="V1865" s="1" t="str">
        <f>""</f>
        <v/>
      </c>
      <c r="W1865" s="1" t="str">
        <f>""</f>
        <v/>
      </c>
      <c r="X1865" s="1" t="str">
        <f>""</f>
        <v/>
      </c>
      <c r="Y1865" s="1" t="str">
        <f>"12"</f>
        <v>12</v>
      </c>
      <c r="Z1865" t="str">
        <f>""</f>
        <v/>
      </c>
      <c r="AA1865" t="str">
        <f>"+7 (347) 2672706"</f>
        <v>+7 (347) 2672706</v>
      </c>
      <c r="AB1865" t="str">
        <f>"+7 (917) 3404818"</f>
        <v>+7 (917) 3404818</v>
      </c>
      <c r="AC1865" t="str">
        <f>"9173404818"</f>
        <v>9173404818</v>
      </c>
      <c r="AD1865" t="str">
        <f>"9603862068"</f>
        <v>9603862068</v>
      </c>
      <c r="AE1865" t="str">
        <f>""</f>
        <v/>
      </c>
    </row>
    <row r="1866" spans="1:31" x14ac:dyDescent="0.45">
      <c r="A1866" t="str">
        <f>"АКУЛЬШИН СЕРГЕЙ АЛЕКСАНДРОВИЧ"</f>
        <v>АКУЛЬШИН СЕРГЕЙ АЛЕКСАНДРОВИЧ</v>
      </c>
      <c r="B1866" t="str">
        <f>"1960-12-11"</f>
        <v>1960-12-11</v>
      </c>
      <c r="C1866" t="str">
        <f>"75 05 654288"</f>
        <v>75 05 654288</v>
      </c>
      <c r="D1866" t="str">
        <f>"4854630320630513"</f>
        <v>4854630320630513</v>
      </c>
      <c r="E1866" t="str">
        <f>"2021-05-31"</f>
        <v>2021-05-31</v>
      </c>
      <c r="F1866" t="str">
        <f>"+"</f>
        <v>+</v>
      </c>
      <c r="G1866" t="str">
        <f>"+"</f>
        <v>+</v>
      </c>
      <c r="H1866" t="str">
        <f>"40817810016991470515"</f>
        <v>40817810016991470515</v>
      </c>
      <c r="I1866" t="str">
        <f>"8597"</f>
        <v>8597</v>
      </c>
      <c r="J1866" t="str">
        <f>"0169"</f>
        <v>0169</v>
      </c>
      <c r="K1866" t="str">
        <f>"13000.00"</f>
        <v>13000.00</v>
      </c>
      <c r="L1866" t="str">
        <f>"454053 ОБЛ ЧЕЛЯБИНСКАЯ   Г ЧЕЛЯБИНСК   УЛ ЗАСЛОНОВА д. 14 корп. А кв. 34"</f>
        <v>454053 ОБЛ ЧЕЛЯБИНСКАЯ   Г ЧЕЛЯБИНСК   УЛ ЗАСЛОНОВА д. 14 корп. А кв. 34</v>
      </c>
      <c r="M1866" t="str">
        <f t="shared" si="326"/>
        <v>2019-08-24</v>
      </c>
      <c r="N1866" t="str">
        <f>"ПЕНСИОНЕР"</f>
        <v>ПЕНСИОНЕР</v>
      </c>
      <c r="O1866" t="str">
        <f>"454053"</f>
        <v>454053</v>
      </c>
      <c r="P1866" t="str">
        <f>"ОБЛ ЧЕЛЯБИНСКАЯ"</f>
        <v>ОБЛ ЧЕЛЯБИНСКАЯ</v>
      </c>
      <c r="Q1866" t="str">
        <f>""</f>
        <v/>
      </c>
      <c r="R1866" t="str">
        <f>"Г ЧЕЛЯБИНСК"</f>
        <v>Г ЧЕЛЯБИНСК</v>
      </c>
      <c r="S1866" t="str">
        <f>""</f>
        <v/>
      </c>
      <c r="T1866" t="str">
        <f>"УЛ ЗАСЛОНОВА"</f>
        <v>УЛ ЗАСЛОНОВА</v>
      </c>
      <c r="U1866" s="1" t="str">
        <f>"14"</f>
        <v>14</v>
      </c>
      <c r="V1866" s="1" t="str">
        <f>""</f>
        <v/>
      </c>
      <c r="W1866" s="1" t="str">
        <f>"А"</f>
        <v>А</v>
      </c>
      <c r="X1866" s="1" t="str">
        <f>""</f>
        <v/>
      </c>
      <c r="Y1866" s="1" t="str">
        <f>"34"</f>
        <v>34</v>
      </c>
      <c r="Z1866" t="str">
        <f>""</f>
        <v/>
      </c>
      <c r="AA1866" t="str">
        <f>"9823182100"</f>
        <v>9823182100</v>
      </c>
      <c r="AB1866" t="str">
        <f>"9823182100"</f>
        <v>9823182100</v>
      </c>
      <c r="AC1866" t="str">
        <f>"9823182100"</f>
        <v>9823182100</v>
      </c>
      <c r="AD1866" t="str">
        <f>"9123163109"</f>
        <v>9123163109</v>
      </c>
      <c r="AE1866" t="str">
        <f>""</f>
        <v/>
      </c>
    </row>
    <row r="1867" spans="1:31" x14ac:dyDescent="0.45">
      <c r="A1867" t="str">
        <f>"СОДИКОВ ДАЛЕРЖОН ОРИФЖОНОВИЧ"</f>
        <v>СОДИКОВ ДАЛЕРЖОН ОРИФЖОНОВИЧ</v>
      </c>
      <c r="B1867" t="str">
        <f>"1989-08-31"</f>
        <v>1989-08-31</v>
      </c>
      <c r="C1867" t="str">
        <f>"67 17 654649"</f>
        <v>67 17 654649</v>
      </c>
      <c r="D1867" t="str">
        <f>"4854630049289765"</f>
        <v>4854630049289765</v>
      </c>
      <c r="E1867" t="str">
        <f>"2021-05-31"</f>
        <v>2021-05-31</v>
      </c>
      <c r="F1867" t="str">
        <f>"Q"</f>
        <v>Q</v>
      </c>
      <c r="G1867" t="str">
        <f>"Q"</f>
        <v>Q</v>
      </c>
      <c r="H1867" t="str">
        <f>"40817810816992557491"</f>
        <v>40817810816992557491</v>
      </c>
      <c r="I1867" t="str">
        <f>"5940"</f>
        <v>5940</v>
      </c>
      <c r="J1867" t="str">
        <f>"0138"</f>
        <v>0138</v>
      </c>
      <c r="K1867" t="str">
        <f>"0.00"</f>
        <v>0.00</v>
      </c>
      <c r="L1867" t="str">
        <f>"628600 ОБЛ ТЮМЕНСКАЯ   Г НИЖНЕВАРТОВСК   УЛ ПЕРМСКАЯ д. 9Т"</f>
        <v>628600 ОБЛ ТЮМЕНСКАЯ   Г НИЖНЕВАРТОВСК   УЛ ПЕРМСКАЯ д. 9Т</v>
      </c>
      <c r="M1867" t="str">
        <f t="shared" si="326"/>
        <v>2019-08-24</v>
      </c>
      <c r="N1867" t="str">
        <f>"ООО НЕФТЕСЕРВИС"</f>
        <v>ООО НЕФТЕСЕРВИС</v>
      </c>
      <c r="O1867" t="str">
        <f>"628600"</f>
        <v>628600</v>
      </c>
      <c r="P1867" t="str">
        <f>"ОБЛ ТЮМЕНСКАЯ"</f>
        <v>ОБЛ ТЮМЕНСКАЯ</v>
      </c>
      <c r="Q1867" t="str">
        <f>""</f>
        <v/>
      </c>
      <c r="R1867" t="str">
        <f>"Г РАДУЖНЫЙ"</f>
        <v>Г РАДУЖНЫЙ</v>
      </c>
      <c r="S1867" t="str">
        <f>""</f>
        <v/>
      </c>
      <c r="T1867" t="str">
        <f>"УЛ АЭРОДРОМНАЯ"</f>
        <v>УЛ АЭРОДРОМНАЯ</v>
      </c>
      <c r="U1867" s="1" t="str">
        <f>"3А"</f>
        <v>3А</v>
      </c>
      <c r="V1867" s="1" t="str">
        <f>""</f>
        <v/>
      </c>
      <c r="W1867" s="1" t="str">
        <f>""</f>
        <v/>
      </c>
      <c r="X1867" s="1" t="str">
        <f>""</f>
        <v/>
      </c>
      <c r="Y1867" s="1" t="str">
        <f>"1"</f>
        <v>1</v>
      </c>
      <c r="Z1867" t="str">
        <f>"+7 (3466) 219410"</f>
        <v>+7 (3466) 219410</v>
      </c>
      <c r="AA1867" t="str">
        <f>"+7 (982) 5897634"</f>
        <v>+7 (982) 5897634</v>
      </c>
      <c r="AB1867" t="str">
        <f>"+7 (982) 1912232"</f>
        <v>+7 (982) 1912232</v>
      </c>
      <c r="AC1867" t="str">
        <f>"9825897634"</f>
        <v>9825897634</v>
      </c>
      <c r="AD1867" t="str">
        <f>"9821912232"</f>
        <v>9821912232</v>
      </c>
      <c r="AE1867" t="str">
        <f>""</f>
        <v/>
      </c>
    </row>
    <row r="1868" spans="1:31" x14ac:dyDescent="0.45">
      <c r="A1868" t="str">
        <f>"ЦУРКАН ТАТЬЯНА ПЕТРОВНА"</f>
        <v>ЦУРКАН ТАТЬЯНА ПЕТРОВНА</v>
      </c>
      <c r="B1868" t="str">
        <f>"1982-04-25"</f>
        <v>1982-04-25</v>
      </c>
      <c r="C1868" t="str">
        <f>"67 09 978178"</f>
        <v>67 09 978178</v>
      </c>
      <c r="D1868" t="str">
        <f>"4854630393458131"</f>
        <v>4854630393458131</v>
      </c>
      <c r="E1868" t="str">
        <f>"2021-04-30"</f>
        <v>2021-04-30</v>
      </c>
      <c r="F1868" t="str">
        <f>"Q"</f>
        <v>Q</v>
      </c>
      <c r="G1868" t="str">
        <f>"Q"</f>
        <v>Q</v>
      </c>
      <c r="H1868" t="str">
        <f>"40817810216992302217"</f>
        <v>40817810216992302217</v>
      </c>
      <c r="I1868" t="str">
        <f>"5940"</f>
        <v>5940</v>
      </c>
      <c r="J1868" t="str">
        <f>"0053"</f>
        <v>0053</v>
      </c>
      <c r="K1868" t="str">
        <f>"0.00"</f>
        <v>0.00</v>
      </c>
      <c r="L1868" t="str">
        <f>"628400 ОБЛ ТЮМЕНСКАЯ АО ХМАО-ЮГРА Г СУРГУТ     д. 0"</f>
        <v>628400 ОБЛ ТЮМЕНСКАЯ АО ХМАО-ЮГРА Г СУРГУТ     д. 0</v>
      </c>
      <c r="M1868" t="str">
        <f t="shared" si="326"/>
        <v>2019-08-24</v>
      </c>
      <c r="N1868" t="str">
        <f>"ООО СИБСТРОЙСЕРВИС"</f>
        <v>ООО СИБСТРОЙСЕРВИС</v>
      </c>
      <c r="O1868" t="str">
        <f>"628400"</f>
        <v>628400</v>
      </c>
      <c r="P1868" t="str">
        <f>"ОБЛ ТЮМЕНСКАЯ"</f>
        <v>ОБЛ ТЮМЕНСКАЯ</v>
      </c>
      <c r="Q1868" t="str">
        <f>"АО ХМАО-ЮГРА"</f>
        <v>АО ХМАО-ЮГРА</v>
      </c>
      <c r="R1868" t="str">
        <f>"ПГТ БЕЛЫЙ ЯР"</f>
        <v>ПГТ БЕЛЫЙ ЯР</v>
      </c>
      <c r="S1868" t="str">
        <f>""</f>
        <v/>
      </c>
      <c r="T1868" t="str">
        <f>"УЛ КУШНИКОВА"</f>
        <v>УЛ КУШНИКОВА</v>
      </c>
      <c r="U1868" s="1" t="str">
        <f>"70"</f>
        <v>70</v>
      </c>
      <c r="V1868" s="1" t="str">
        <f>""</f>
        <v/>
      </c>
      <c r="W1868" s="1" t="str">
        <f>""</f>
        <v/>
      </c>
      <c r="X1868" s="1" t="str">
        <f>""</f>
        <v/>
      </c>
      <c r="Y1868" s="1" t="str">
        <f>"10"</f>
        <v>10</v>
      </c>
      <c r="Z1868" t="str">
        <f>""</f>
        <v/>
      </c>
      <c r="AA1868" t="str">
        <f>"3462228934"</f>
        <v>3462228934</v>
      </c>
      <c r="AB1868" t="str">
        <f>"9124193364"</f>
        <v>9124193364</v>
      </c>
      <c r="AC1868" t="str">
        <f>"3462228934"</f>
        <v>3462228934</v>
      </c>
      <c r="AD1868" t="str">
        <f>"9124193364"</f>
        <v>9124193364</v>
      </c>
      <c r="AE1868" t="str">
        <f>""</f>
        <v/>
      </c>
    </row>
    <row r="1869" spans="1:31" x14ac:dyDescent="0.45">
      <c r="A1869" t="str">
        <f>"АСАДУЛЛИНА ЗАЙТУНА ГАБИТОВНА"</f>
        <v>АСАДУЛЛИНА ЗАЙТУНА ГАБИТОВНА</v>
      </c>
      <c r="B1869" t="str">
        <f>"1956-12-11"</f>
        <v>1956-12-11</v>
      </c>
      <c r="C1869" t="str">
        <f>"80 04 728494"</f>
        <v>80 04 728494</v>
      </c>
      <c r="D1869" t="str">
        <f>"4854630383656520"</f>
        <v>4854630383656520</v>
      </c>
      <c r="E1869" t="str">
        <f>"2021-04-30"</f>
        <v>2021-04-30</v>
      </c>
      <c r="F1869" t="str">
        <f t="shared" ref="F1869:G1876" si="327">"+"</f>
        <v>+</v>
      </c>
      <c r="G1869" t="str">
        <f t="shared" si="327"/>
        <v>+</v>
      </c>
      <c r="H1869" t="str">
        <f>"40817810616991430625"</f>
        <v>40817810616991430625</v>
      </c>
      <c r="I1869" t="str">
        <f>"8597"</f>
        <v>8597</v>
      </c>
      <c r="J1869" t="str">
        <f>"0342"</f>
        <v>0342</v>
      </c>
      <c r="K1869" t="str">
        <f>"10000.00"</f>
        <v>10000.00</v>
      </c>
      <c r="L1869" t="str">
        <f>"455000 ОБЛ ЧЕЛЯБИНСКАЯ   Г МАГНИТОГОРСК   УЛ ПОМЯЛОВСКОГО д. 23 корп. А кв. 0"</f>
        <v>455000 ОБЛ ЧЕЛЯБИНСКАЯ   Г МАГНИТОГОРСК   УЛ ПОМЯЛОВСКОГО д. 23 корп. А кв. 0</v>
      </c>
      <c r="M1869" t="str">
        <f t="shared" si="326"/>
        <v>2019-08-24</v>
      </c>
      <c r="N1869" t="str">
        <f>"ПЕНСИОННЫЙ ФОНД"</f>
        <v>ПЕНСИОННЫЙ ФОНД</v>
      </c>
      <c r="O1869" t="str">
        <f>"453638"</f>
        <v>453638</v>
      </c>
      <c r="P1869" t="str">
        <f>"ОБЛ ЧЕЛЯБИНСКАЯ"</f>
        <v>ОБЛ ЧЕЛЯБИНСКАЯ</v>
      </c>
      <c r="Q1869" t="str">
        <f>"Р-Н АБЗЕЛИЛОВСКИЙ"</f>
        <v>Р-Н АБЗЕЛИЛОВСКИЙ</v>
      </c>
      <c r="R1869" t="str">
        <f>""</f>
        <v/>
      </c>
      <c r="S1869" t="str">
        <f>"С КРАСНАЯ БАШКИРИЯ"</f>
        <v>С КРАСНАЯ БАШКИРИЯ</v>
      </c>
      <c r="T1869" t="str">
        <f>"УЛ ГАГАРИНА"</f>
        <v>УЛ ГАГАРИНА</v>
      </c>
      <c r="U1869" s="1" t="str">
        <f>"2"</f>
        <v>2</v>
      </c>
      <c r="V1869" s="1" t="str">
        <f>""</f>
        <v/>
      </c>
      <c r="W1869" s="1" t="str">
        <f>""</f>
        <v/>
      </c>
      <c r="X1869" s="1" t="str">
        <f>""</f>
        <v/>
      </c>
      <c r="Y1869" s="1" t="str">
        <f>"3"</f>
        <v>3</v>
      </c>
      <c r="Z1869" t="str">
        <f>"+7 (34772) 20324"</f>
        <v>+7 (34772) 20324</v>
      </c>
      <c r="AA1869" t="str">
        <f>"+7 (905) 3592290"</f>
        <v>+7 (905) 3592290</v>
      </c>
      <c r="AB1869" t="str">
        <f>"+7 (905) 3592290"</f>
        <v>+7 (905) 3592290</v>
      </c>
      <c r="AC1869" t="str">
        <f>"9053592290"</f>
        <v>9053592290</v>
      </c>
      <c r="AD1869" t="str">
        <f>"9053592290"</f>
        <v>9053592290</v>
      </c>
      <c r="AE1869" t="str">
        <f>""</f>
        <v/>
      </c>
    </row>
    <row r="1870" spans="1:31" x14ac:dyDescent="0.45">
      <c r="A1870" t="str">
        <f>"БУРАКОВА ОЛЬГА ВЛАДИСЛАВОВНА"</f>
        <v>БУРАКОВА ОЛЬГА ВЛАДИСЛАВОВНА</v>
      </c>
      <c r="B1870" t="str">
        <f>"1963-02-26"</f>
        <v>1963-02-26</v>
      </c>
      <c r="C1870" t="str">
        <f>"71 08 594613"</f>
        <v>71 08 594613</v>
      </c>
      <c r="D1870" t="str">
        <f>"4279016717950093"</f>
        <v>4279016717950093</v>
      </c>
      <c r="E1870" t="str">
        <f t="shared" ref="E1870:E1877" si="328">"2021-06-30"</f>
        <v>2021-06-30</v>
      </c>
      <c r="F1870" t="str">
        <f t="shared" si="327"/>
        <v>+</v>
      </c>
      <c r="G1870" t="str">
        <f t="shared" si="327"/>
        <v>+</v>
      </c>
      <c r="H1870" t="str">
        <f>"40817810116992060206"</f>
        <v>40817810116992060206</v>
      </c>
      <c r="I1870" t="str">
        <f>"8647"</f>
        <v>8647</v>
      </c>
      <c r="J1870" t="str">
        <f>"0102"</f>
        <v>0102</v>
      </c>
      <c r="K1870" t="str">
        <f>"90000.00"</f>
        <v>90000.00</v>
      </c>
      <c r="L1870" t="str">
        <f>"625000 ОБЛ ТЮМЕНСКАЯ   Г ТЮМЕНЬ   УЛ ВОЛГОГРАДСКАЯ д. 103 кв. 87"</f>
        <v>625000 ОБЛ ТЮМЕНСКАЯ   Г ТЮМЕНЬ   УЛ ВОЛГОГРАДСКАЯ д. 103 кв. 87</v>
      </c>
      <c r="M1870" t="str">
        <f t="shared" si="326"/>
        <v>2019-08-24</v>
      </c>
      <c r="N1870" t="str">
        <f>"ПЕНСИОНЕР"</f>
        <v>ПЕНСИОНЕР</v>
      </c>
      <c r="O1870" t="str">
        <f>"625000"</f>
        <v>625000</v>
      </c>
      <c r="P1870" t="str">
        <f t="shared" ref="P1870:P1876" si="329">"ОБЛ ТЮМЕНСКАЯ"</f>
        <v>ОБЛ ТЮМЕНСКАЯ</v>
      </c>
      <c r="Q1870" t="str">
        <f>""</f>
        <v/>
      </c>
      <c r="R1870" t="str">
        <f>"Г ТЮМЕНЬ"</f>
        <v>Г ТЮМЕНЬ</v>
      </c>
      <c r="S1870" t="str">
        <f>""</f>
        <v/>
      </c>
      <c r="T1870" t="str">
        <f>"УЛ ВОЛГОГРАДСКАЯ"</f>
        <v>УЛ ВОЛГОГРАДСКАЯ</v>
      </c>
      <c r="U1870" s="1" t="str">
        <f>"103"</f>
        <v>103</v>
      </c>
      <c r="V1870" s="1" t="str">
        <f>""</f>
        <v/>
      </c>
      <c r="W1870" s="1" t="str">
        <f>""</f>
        <v/>
      </c>
      <c r="X1870" s="1" t="str">
        <f>""</f>
        <v/>
      </c>
      <c r="Y1870" s="1" t="str">
        <f>"87"</f>
        <v>87</v>
      </c>
      <c r="Z1870" t="str">
        <f>""</f>
        <v/>
      </c>
      <c r="AA1870" t="str">
        <f>"9504825438"</f>
        <v>9504825438</v>
      </c>
      <c r="AB1870" t="str">
        <f>"9612017857"</f>
        <v>9612017857</v>
      </c>
      <c r="AC1870" t="str">
        <f>"9504825438"</f>
        <v>9504825438</v>
      </c>
      <c r="AD1870" t="str">
        <f>"9612017857"</f>
        <v>9612017857</v>
      </c>
      <c r="AE1870" t="str">
        <f>""</f>
        <v/>
      </c>
    </row>
    <row r="1871" spans="1:31" x14ac:dyDescent="0.45">
      <c r="A1871" t="str">
        <f>"ТАРАСОВА МАНСУРА МАГСУМОВНА"</f>
        <v>ТАРАСОВА МАНСУРА МАГСУМОВНА</v>
      </c>
      <c r="B1871" t="str">
        <f>"1953-04-05"</f>
        <v>1953-04-05</v>
      </c>
      <c r="C1871" t="str">
        <f>"92 04 994553"</f>
        <v>92 04 994553</v>
      </c>
      <c r="D1871" t="str">
        <f>"4279016712919291"</f>
        <v>4279016712919291</v>
      </c>
      <c r="E1871" t="str">
        <f t="shared" si="328"/>
        <v>2021-06-30</v>
      </c>
      <c r="F1871" t="str">
        <f t="shared" si="327"/>
        <v>+</v>
      </c>
      <c r="G1871" t="str">
        <f t="shared" si="327"/>
        <v>+</v>
      </c>
      <c r="H1871" t="str">
        <f>"40817810716992304168"</f>
        <v>40817810716992304168</v>
      </c>
      <c r="I1871" t="str">
        <f>"5940"</f>
        <v>5940</v>
      </c>
      <c r="J1871" t="str">
        <f>"0071"</f>
        <v>0071</v>
      </c>
      <c r="K1871" t="str">
        <f>"40000.00"</f>
        <v>40000.00</v>
      </c>
      <c r="L1871" t="str">
        <f>"628481 ОБЛ ТЮМЕНСКАЯ   Г КОГАЛЫМ   УЛ ЛЕНИНГРАДСКАЯ д. 47 кв. 16"</f>
        <v>628481 ОБЛ ТЮМЕНСКАЯ   Г КОГАЛЫМ   УЛ ЛЕНИНГРАДСКАЯ д. 47 кв. 16</v>
      </c>
      <c r="M1871" t="str">
        <f t="shared" si="326"/>
        <v>2019-08-24</v>
      </c>
      <c r="N1871" t="str">
        <f>"ПФР"</f>
        <v>ПФР</v>
      </c>
      <c r="O1871" t="str">
        <f>"628481"</f>
        <v>628481</v>
      </c>
      <c r="P1871" t="str">
        <f t="shared" si="329"/>
        <v>ОБЛ ТЮМЕНСКАЯ</v>
      </c>
      <c r="Q1871" t="str">
        <f>""</f>
        <v/>
      </c>
      <c r="R1871" t="str">
        <f>"Г КОГАЛЫМ"</f>
        <v>Г КОГАЛЫМ</v>
      </c>
      <c r="S1871" t="str">
        <f>""</f>
        <v/>
      </c>
      <c r="T1871" t="str">
        <f>"УЛ ЛЕНИНГРАДСКАЯ"</f>
        <v>УЛ ЛЕНИНГРАДСКАЯ</v>
      </c>
      <c r="U1871" s="1" t="str">
        <f>"47"</f>
        <v>47</v>
      </c>
      <c r="V1871" s="1" t="str">
        <f>""</f>
        <v/>
      </c>
      <c r="W1871" s="1" t="str">
        <f>""</f>
        <v/>
      </c>
      <c r="X1871" s="1" t="str">
        <f>""</f>
        <v/>
      </c>
      <c r="Y1871" s="1" t="str">
        <f>"16"</f>
        <v>16</v>
      </c>
      <c r="Z1871" t="str">
        <f>""</f>
        <v/>
      </c>
      <c r="AA1871" t="str">
        <f>"3466723333"</f>
        <v>3466723333</v>
      </c>
      <c r="AB1871" t="str">
        <f>"9923555227"</f>
        <v>9923555227</v>
      </c>
      <c r="AC1871" t="str">
        <f>"3466723333"</f>
        <v>3466723333</v>
      </c>
      <c r="AD1871" t="str">
        <f>"9923555227"</f>
        <v>9923555227</v>
      </c>
      <c r="AE1871" t="str">
        <f>""</f>
        <v/>
      </c>
    </row>
    <row r="1872" spans="1:31" x14ac:dyDescent="0.45">
      <c r="A1872" t="str">
        <f>"КЛЕЩЕВА ЛЮДМИЛА КОНСТАНТИНОВНА"</f>
        <v>КЛЕЩЕВА ЛЮДМИЛА КОНСТАНТИНОВНА</v>
      </c>
      <c r="B1872" t="str">
        <f>"1962-06-28"</f>
        <v>1962-06-28</v>
      </c>
      <c r="C1872" t="str">
        <f>"71 09 730223"</f>
        <v>71 09 730223</v>
      </c>
      <c r="D1872" t="str">
        <f>"4279016734799051"</f>
        <v>4279016734799051</v>
      </c>
      <c r="E1872" t="str">
        <f t="shared" si="328"/>
        <v>2021-06-30</v>
      </c>
      <c r="F1872" t="str">
        <f t="shared" si="327"/>
        <v>+</v>
      </c>
      <c r="G1872" t="str">
        <f t="shared" si="327"/>
        <v>+</v>
      </c>
      <c r="H1872" t="str">
        <f>"40817810916992060228"</f>
        <v>40817810916992060228</v>
      </c>
      <c r="I1872" t="str">
        <f>"8647"</f>
        <v>8647</v>
      </c>
      <c r="J1872" t="str">
        <f>"0079"</f>
        <v>0079</v>
      </c>
      <c r="K1872" t="str">
        <f>"24000.00"</f>
        <v>24000.00</v>
      </c>
      <c r="L1872" t="str">
        <f>"625000 ОБЛ ТЮМЕНСКАЯ   Г ТЮМЕНЬ   УЛ РЕСПУБЛИКИ д. 211"</f>
        <v>625000 ОБЛ ТЮМЕНСКАЯ   Г ТЮМЕНЬ   УЛ РЕСПУБЛИКИ д. 211</v>
      </c>
      <c r="M1872" t="str">
        <f t="shared" si="326"/>
        <v>2019-08-24</v>
      </c>
      <c r="N1872" t="str">
        <f>"ООО ИНГЕОСЕРВИС"</f>
        <v>ООО ИНГЕОСЕРВИС</v>
      </c>
      <c r="O1872" t="str">
        <f>"625000"</f>
        <v>625000</v>
      </c>
      <c r="P1872" t="str">
        <f t="shared" si="329"/>
        <v>ОБЛ ТЮМЕНСКАЯ</v>
      </c>
      <c r="Q1872" t="str">
        <f>""</f>
        <v/>
      </c>
      <c r="R1872" t="str">
        <f>"Г ТЮМЕНЬ"</f>
        <v>Г ТЮМЕНЬ</v>
      </c>
      <c r="S1872" t="str">
        <f>""</f>
        <v/>
      </c>
      <c r="T1872" t="str">
        <f>"УЛ 30 ЛЕТ ПОБЕДЫ"</f>
        <v>УЛ 30 ЛЕТ ПОБЕДЫ</v>
      </c>
      <c r="U1872" s="1" t="str">
        <f>"104"</f>
        <v>104</v>
      </c>
      <c r="V1872" s="1" t="str">
        <f>""</f>
        <v/>
      </c>
      <c r="W1872" s="1" t="str">
        <f>""</f>
        <v/>
      </c>
      <c r="X1872" s="1" t="str">
        <f>""</f>
        <v/>
      </c>
      <c r="Y1872" s="1" t="str">
        <f>"61"</f>
        <v>61</v>
      </c>
      <c r="Z1872" t="str">
        <f>""</f>
        <v/>
      </c>
      <c r="AA1872" t="str">
        <f>"3452333326"</f>
        <v>3452333326</v>
      </c>
      <c r="AB1872" t="str">
        <f>"9123845232"</f>
        <v>9123845232</v>
      </c>
      <c r="AC1872" t="str">
        <f>"3452333326"</f>
        <v>3452333326</v>
      </c>
      <c r="AD1872" t="str">
        <f>"9123845232"</f>
        <v>9123845232</v>
      </c>
      <c r="AE1872" t="str">
        <f>""</f>
        <v/>
      </c>
    </row>
    <row r="1873" spans="1:31" x14ac:dyDescent="0.45">
      <c r="A1873" t="str">
        <f>"ПОПОВ СЕРГЕЙ ВЛАДИМИРОВИЧ"</f>
        <v>ПОПОВ СЕРГЕЙ ВЛАДИМИРОВИЧ</v>
      </c>
      <c r="B1873" t="str">
        <f>"1968-09-13"</f>
        <v>1968-09-13</v>
      </c>
      <c r="C1873" t="str">
        <f>"67 13 315037"</f>
        <v>67 13 315037</v>
      </c>
      <c r="D1873" t="str">
        <f>"4279016715951754"</f>
        <v>4279016715951754</v>
      </c>
      <c r="E1873" t="str">
        <f t="shared" si="328"/>
        <v>2021-06-30</v>
      </c>
      <c r="F1873" t="str">
        <f t="shared" si="327"/>
        <v>+</v>
      </c>
      <c r="G1873" t="str">
        <f t="shared" si="327"/>
        <v>+</v>
      </c>
      <c r="H1873" t="str">
        <f>"40817810516992060343"</f>
        <v>40817810516992060343</v>
      </c>
      <c r="I1873" t="str">
        <f>"8647"</f>
        <v>8647</v>
      </c>
      <c r="J1873" t="str">
        <f>"0079"</f>
        <v>0079</v>
      </c>
      <c r="K1873" t="str">
        <f>"310000.00"</f>
        <v>310000.00</v>
      </c>
      <c r="L1873" t="str">
        <f>"625000 ОБЛ ТЮМЕНСКАЯ   Г НЕФТЕЮГАНСК   УЛ КИЕВСКАЯ д. 4"</f>
        <v>625000 ОБЛ ТЮМЕНСКАЯ   Г НЕФТЕЮГАНСК   УЛ КИЕВСКАЯ д. 4</v>
      </c>
      <c r="M1873" t="str">
        <f t="shared" si="326"/>
        <v>2019-08-24</v>
      </c>
      <c r="N1873" t="str">
        <f>"ООО МАМОНТОВСКИЙ КАПИТАЛЬНЫЙ РЕМОНТ СКВАЖИН"</f>
        <v>ООО МАМОНТОВСКИЙ КАПИТАЛЬНЫЙ РЕМОНТ СКВАЖИН</v>
      </c>
      <c r="O1873" t="str">
        <f>"625000"</f>
        <v>625000</v>
      </c>
      <c r="P1873" t="str">
        <f t="shared" si="329"/>
        <v>ОБЛ ТЮМЕНСКАЯ</v>
      </c>
      <c r="Q1873" t="str">
        <f>"АО ХАНТЫ-МАНСИЙСКИЙ АВТОНОМНЫЙ ОКРУГ"</f>
        <v>АО ХАНТЫ-МАНСИЙСКИЙ АВТОНОМНЫЙ ОКРУГ</v>
      </c>
      <c r="R1873" t="str">
        <f>""</f>
        <v/>
      </c>
      <c r="S1873" t="str">
        <f>"ПГТ ПОЙКОВСКИЙ"</f>
        <v>ПГТ ПОЙКОВСКИЙ</v>
      </c>
      <c r="T1873" t="str">
        <f>"УЛ МКР 1-Й"</f>
        <v>УЛ МКР 1-Й</v>
      </c>
      <c r="U1873" s="1" t="str">
        <f>"20"</f>
        <v>20</v>
      </c>
      <c r="V1873" s="1" t="str">
        <f>""</f>
        <v/>
      </c>
      <c r="W1873" s="1" t="str">
        <f>""</f>
        <v/>
      </c>
      <c r="X1873" s="1" t="str">
        <f>""</f>
        <v/>
      </c>
      <c r="Y1873" s="1" t="str">
        <f>"15"</f>
        <v>15</v>
      </c>
      <c r="Z1873" t="str">
        <f>"3463230500"</f>
        <v>3463230500</v>
      </c>
      <c r="AA1873" t="str">
        <f>"9129987204"</f>
        <v>9129987204</v>
      </c>
      <c r="AB1873" t="str">
        <f>"9129987204"</f>
        <v>9129987204</v>
      </c>
      <c r="AC1873" t="str">
        <f>"9827708169"</f>
        <v>9827708169</v>
      </c>
      <c r="AD1873" t="str">
        <f>"9129987204"</f>
        <v>9129987204</v>
      </c>
      <c r="AE1873" t="str">
        <f>""</f>
        <v/>
      </c>
    </row>
    <row r="1874" spans="1:31" x14ac:dyDescent="0.45">
      <c r="A1874" t="str">
        <f>"МАНЦУРОВ ЕВГЕНИЙ АЛЕКСАНДРОВИЧ"</f>
        <v>МАНЦУРОВ ЕВГЕНИЙ АЛЕКСАНДРОВИЧ</v>
      </c>
      <c r="B1874" t="str">
        <f>"1973-03-20"</f>
        <v>1973-03-20</v>
      </c>
      <c r="C1874" t="str">
        <f>"24 02 485196"</f>
        <v>24 02 485196</v>
      </c>
      <c r="D1874" t="str">
        <f>"4279016742089149"</f>
        <v>4279016742089149</v>
      </c>
      <c r="E1874" t="str">
        <f t="shared" si="328"/>
        <v>2021-06-30</v>
      </c>
      <c r="F1874" t="str">
        <f t="shared" si="327"/>
        <v>+</v>
      </c>
      <c r="G1874" t="str">
        <f t="shared" si="327"/>
        <v>+</v>
      </c>
      <c r="H1874" t="str">
        <f>"40817810416992061468"</f>
        <v>40817810416992061468</v>
      </c>
      <c r="I1874" t="str">
        <f>"1791"</f>
        <v>1791</v>
      </c>
      <c r="J1874" t="str">
        <f>"0102"</f>
        <v>0102</v>
      </c>
      <c r="K1874" t="str">
        <f>"430000.00"</f>
        <v>430000.00</v>
      </c>
      <c r="L1874" t="str">
        <f>"352030 ОБЛ НИЖЕГОРОДСКАЯ   Г НИЖНИЙ НОВГОРОД   УЛ МЕДИЦИНСКАЯ д. 22"</f>
        <v>352030 ОБЛ НИЖЕГОРОДСКАЯ   Г НИЖНИЙ НОВГОРОД   УЛ МЕДИЦИНСКАЯ д. 22</v>
      </c>
      <c r="M1874" t="str">
        <f t="shared" si="326"/>
        <v>2019-08-24</v>
      </c>
      <c r="N1874" t="str">
        <f>"ООО ЭНЕРГОСЕТЬПРОЕКТ-НН"</f>
        <v>ООО ЭНЕРГОСЕТЬПРОЕКТ-НН</v>
      </c>
      <c r="O1874" t="str">
        <f>"628187"</f>
        <v>628187</v>
      </c>
      <c r="P1874" t="str">
        <f t="shared" si="329"/>
        <v>ОБЛ ТЮМЕНСКАЯ</v>
      </c>
      <c r="Q1874" t="str">
        <f>"Р-Н ОКТЯБРЬСКИЙ"</f>
        <v>Р-Н ОКТЯБРЬСКИЙ</v>
      </c>
      <c r="R1874" t="str">
        <f>""</f>
        <v/>
      </c>
      <c r="S1874" t="str">
        <f>"ПГТ ТАЛИНКА"</f>
        <v>ПГТ ТАЛИНКА</v>
      </c>
      <c r="T1874" t="str">
        <f>"МКР 2-Й"</f>
        <v>МКР 2-Й</v>
      </c>
      <c r="U1874" s="1" t="str">
        <f>"3"</f>
        <v>3</v>
      </c>
      <c r="V1874" s="1" t="str">
        <f>""</f>
        <v/>
      </c>
      <c r="W1874" s="1" t="str">
        <f>""</f>
        <v/>
      </c>
      <c r="X1874" s="1" t="str">
        <f>""</f>
        <v/>
      </c>
      <c r="Y1874" s="1" t="str">
        <f>"54"</f>
        <v>54</v>
      </c>
      <c r="Z1874" t="str">
        <f>"3462777556"</f>
        <v>3462777556</v>
      </c>
      <c r="AA1874" t="str">
        <f>"9200332571"</f>
        <v>9200332571</v>
      </c>
      <c r="AB1874" t="str">
        <f>"9200332538"</f>
        <v>9200332538</v>
      </c>
      <c r="AC1874" t="str">
        <f>"9200332538"</f>
        <v>9200332538</v>
      </c>
      <c r="AD1874" t="str">
        <f>"9200332538"</f>
        <v>9200332538</v>
      </c>
      <c r="AE1874" t="str">
        <f>"3462777556"</f>
        <v>3462777556</v>
      </c>
    </row>
    <row r="1875" spans="1:31" x14ac:dyDescent="0.45">
      <c r="A1875" t="str">
        <f>"ВЕЛИЖАНИН ДМИТРИЙ ВАЛЕРЬЕВИЧ"</f>
        <v>ВЕЛИЖАНИН ДМИТРИЙ ВАЛЕРЬЕВИЧ</v>
      </c>
      <c r="B1875" t="str">
        <f>"1976-05-07"</f>
        <v>1976-05-07</v>
      </c>
      <c r="C1875" t="str">
        <f>"71 06 475403"</f>
        <v>71 06 475403</v>
      </c>
      <c r="D1875" t="str">
        <f>"4279016713894741"</f>
        <v>4279016713894741</v>
      </c>
      <c r="E1875" t="str">
        <f t="shared" si="328"/>
        <v>2021-06-30</v>
      </c>
      <c r="F1875" t="str">
        <f t="shared" si="327"/>
        <v>+</v>
      </c>
      <c r="G1875" t="str">
        <f t="shared" si="327"/>
        <v>+</v>
      </c>
      <c r="H1875" t="str">
        <f>"40817810016992350427"</f>
        <v>40817810016992350427</v>
      </c>
      <c r="I1875" t="str">
        <f>"8647"</f>
        <v>8647</v>
      </c>
      <c r="J1875" t="str">
        <f>"0149"</f>
        <v>0149</v>
      </c>
      <c r="K1875" t="str">
        <f>"14000.00"</f>
        <v>14000.00</v>
      </c>
      <c r="L1875" t="str">
        <f>"625000 ОБЛ ТЮМЕНСКАЯ   Г ТЮМЕНЬ   УЛ ГОСПАРОВСКАЯ д. 2Б"</f>
        <v>625000 ОБЛ ТЮМЕНСКАЯ   Г ТЮМЕНЬ   УЛ ГОСПАРОВСКАЯ д. 2Б</v>
      </c>
      <c r="M1875" t="str">
        <f t="shared" si="326"/>
        <v>2019-08-24</v>
      </c>
      <c r="N1875" t="str">
        <f>"ООО ЮГСОНСЕРВИС"</f>
        <v>ООО ЮГСОНСЕРВИС</v>
      </c>
      <c r="O1875" t="str">
        <f>"625000"</f>
        <v>625000</v>
      </c>
      <c r="P1875" t="str">
        <f t="shared" si="329"/>
        <v>ОБЛ ТЮМЕНСКАЯ</v>
      </c>
      <c r="Q1875" t="str">
        <f>""</f>
        <v/>
      </c>
      <c r="R1875" t="str">
        <f>"Г ТЮМЕНЬ"</f>
        <v>Г ТЮМЕНЬ</v>
      </c>
      <c r="S1875" t="str">
        <f>""</f>
        <v/>
      </c>
      <c r="T1875" t="str">
        <f>"УЛ КУЙБЫШЕВА"</f>
        <v>УЛ КУЙБЫШЕВА</v>
      </c>
      <c r="U1875" s="1" t="str">
        <f>"117"</f>
        <v>117</v>
      </c>
      <c r="V1875" s="1" t="str">
        <f>""</f>
        <v/>
      </c>
      <c r="W1875" s="1" t="str">
        <f>""</f>
        <v/>
      </c>
      <c r="X1875" s="1" t="str">
        <f>""</f>
        <v/>
      </c>
      <c r="Y1875" s="1" t="str">
        <f>""</f>
        <v/>
      </c>
      <c r="Z1875" t="str">
        <f>"9044907885"</f>
        <v>9044907885</v>
      </c>
      <c r="AA1875" t="str">
        <f>"9199517768"</f>
        <v>9199517768</v>
      </c>
      <c r="AB1875" t="str">
        <f>"9199517768"</f>
        <v>9199517768</v>
      </c>
      <c r="AC1875" t="str">
        <f>"9199517768"</f>
        <v>9199517768</v>
      </c>
      <c r="AD1875" t="str">
        <f>"9199517768"</f>
        <v>9199517768</v>
      </c>
      <c r="AE1875" t="str">
        <f>"9044907885"</f>
        <v>9044907885</v>
      </c>
    </row>
    <row r="1876" spans="1:31" x14ac:dyDescent="0.45">
      <c r="A1876" t="str">
        <f>"СЕМЕНЧУК ВАСИЛИЙ ЛЕОНТЬЕВИЧ"</f>
        <v>СЕМЕНЧУК ВАСИЛИЙ ЛЕОНТЬЕВИЧ</v>
      </c>
      <c r="B1876" t="str">
        <f>"1958-09-01"</f>
        <v>1958-09-01</v>
      </c>
      <c r="C1876" t="str">
        <f>"67 04 125306"</f>
        <v>67 04 125306</v>
      </c>
      <c r="D1876" t="str">
        <f>"4279016742372487"</f>
        <v>4279016742372487</v>
      </c>
      <c r="E1876" t="str">
        <f t="shared" si="328"/>
        <v>2021-06-30</v>
      </c>
      <c r="F1876" t="str">
        <f t="shared" si="327"/>
        <v>+</v>
      </c>
      <c r="G1876" t="str">
        <f t="shared" si="327"/>
        <v>+</v>
      </c>
      <c r="H1876" t="str">
        <f>"40817810716992061579"</f>
        <v>40817810716992061579</v>
      </c>
      <c r="I1876" t="str">
        <f>"5940"</f>
        <v>5940</v>
      </c>
      <c r="J1876" t="str">
        <f>"0057"</f>
        <v>0057</v>
      </c>
      <c r="K1876" t="str">
        <f>"105000.00"</f>
        <v>105000.00</v>
      </c>
      <c r="L1876" t="str">
        <f>"628400 ОБЛ ТЮМЕНСКАЯ   Г СУРГУТ   УЛ БАЗОВАЯ д. 14"</f>
        <v>628400 ОБЛ ТЮМЕНСКАЯ   Г СУРГУТ   УЛ БАЗОВАЯ д. 14</v>
      </c>
      <c r="M1876" t="str">
        <f t="shared" si="326"/>
        <v>2019-08-24</v>
      </c>
      <c r="N1876" t="str">
        <f>"ООО СТС"</f>
        <v>ООО СТС</v>
      </c>
      <c r="O1876" t="str">
        <f>"628400"</f>
        <v>628400</v>
      </c>
      <c r="P1876" t="str">
        <f t="shared" si="329"/>
        <v>ОБЛ ТЮМЕНСКАЯ</v>
      </c>
      <c r="Q1876" t="str">
        <f>""</f>
        <v/>
      </c>
      <c r="R1876" t="str">
        <f>"Г СУРГУТ"</f>
        <v>Г СУРГУТ</v>
      </c>
      <c r="S1876" t="str">
        <f>""</f>
        <v/>
      </c>
      <c r="T1876" t="str">
        <f>"УЛ ДЕКАБРИСТОВ"</f>
        <v>УЛ ДЕКАБРИСТОВ</v>
      </c>
      <c r="U1876" s="1" t="str">
        <f>"7/2"</f>
        <v>7/2</v>
      </c>
      <c r="V1876" s="1" t="str">
        <f>""</f>
        <v/>
      </c>
      <c r="W1876" s="1" t="str">
        <f>""</f>
        <v/>
      </c>
      <c r="X1876" s="1" t="str">
        <f>""</f>
        <v/>
      </c>
      <c r="Y1876" s="1" t="str">
        <f>"48"</f>
        <v>48</v>
      </c>
      <c r="Z1876" t="str">
        <f>""</f>
        <v/>
      </c>
      <c r="AA1876" t="str">
        <f>"3462636115"</f>
        <v>3462636115</v>
      </c>
      <c r="AB1876" t="str">
        <f>"9226536115"</f>
        <v>9226536115</v>
      </c>
      <c r="AC1876" t="str">
        <f>"9824168410"</f>
        <v>9824168410</v>
      </c>
      <c r="AD1876" t="str">
        <f>"9226536115"</f>
        <v>9226536115</v>
      </c>
      <c r="AE1876" t="str">
        <f>""</f>
        <v/>
      </c>
    </row>
    <row r="1877" spans="1:31" x14ac:dyDescent="0.45">
      <c r="A1877" t="str">
        <f>"ПАЙВИН ВИТАЛИЙ АНДРЕЕВИЧ"</f>
        <v>ПАЙВИН ВИТАЛИЙ АНДРЕЕВИЧ</v>
      </c>
      <c r="B1877" t="str">
        <f>"1992-01-16"</f>
        <v>1992-01-16</v>
      </c>
      <c r="C1877" t="str">
        <f>"65 11 288511"</f>
        <v>65 11 288511</v>
      </c>
      <c r="D1877" t="str">
        <f>"4276016716006650"</f>
        <v>4276016716006650</v>
      </c>
      <c r="E1877" t="str">
        <f t="shared" si="328"/>
        <v>2021-06-30</v>
      </c>
      <c r="F1877" t="str">
        <f>"Z"</f>
        <v>Z</v>
      </c>
      <c r="G1877" t="str">
        <f>"W"</f>
        <v>W</v>
      </c>
      <c r="H1877" t="str">
        <f>"40817810816992061686"</f>
        <v>40817810816992061686</v>
      </c>
      <c r="I1877" t="str">
        <f>"1791"</f>
        <v>1791</v>
      </c>
      <c r="J1877" t="str">
        <f>"0100"</f>
        <v>0100</v>
      </c>
      <c r="K1877" t="str">
        <f>"199971.08"</f>
        <v>199971.08</v>
      </c>
      <c r="L1877" t="str">
        <f>"628181 АО ХАНТЫ-МАНСИЙСКИЙ   Г ЮГОРСК   УЛ МИРА д. 24"</f>
        <v>628181 АО ХАНТЫ-МАНСИЙСКИЙ   Г ЮГОРСК   УЛ МИРА д. 24</v>
      </c>
      <c r="M1877" t="str">
        <f t="shared" si="326"/>
        <v>2019-08-24</v>
      </c>
      <c r="N1877" t="str">
        <f>"ООО ГАЗПРОМ"</f>
        <v>ООО ГАЗПРОМ</v>
      </c>
      <c r="O1877" t="str">
        <f>"623408"</f>
        <v>623408</v>
      </c>
      <c r="P1877" t="str">
        <f>"ОБЛ СВЕРДЛОВСКАЯ"</f>
        <v>ОБЛ СВЕРДЛОВСКАЯ</v>
      </c>
      <c r="Q1877" t="str">
        <f>""</f>
        <v/>
      </c>
      <c r="R1877" t="str">
        <f>"Г КАМЕНСК-УРАЛЬСКИЙ"</f>
        <v>Г КАМЕНСК-УРАЛЬСКИЙ</v>
      </c>
      <c r="S1877" t="str">
        <f>""</f>
        <v/>
      </c>
      <c r="T1877" t="str">
        <f>"УЛ КАЛИНИНА"</f>
        <v>УЛ КАЛИНИНА</v>
      </c>
      <c r="U1877" s="1" t="str">
        <f>"27"</f>
        <v>27</v>
      </c>
      <c r="V1877" s="1" t="str">
        <f>""</f>
        <v/>
      </c>
      <c r="W1877" s="1" t="str">
        <f>""</f>
        <v/>
      </c>
      <c r="X1877" s="1" t="str">
        <f>""</f>
        <v/>
      </c>
      <c r="Y1877" s="1" t="str">
        <f>"70"</f>
        <v>70</v>
      </c>
      <c r="Z1877" t="str">
        <f>""</f>
        <v/>
      </c>
      <c r="AA1877" t="str">
        <f>"3439355745"</f>
        <v>3439355745</v>
      </c>
      <c r="AB1877" t="str">
        <f>"9003910252"</f>
        <v>9003910252</v>
      </c>
      <c r="AC1877" t="str">
        <f>""</f>
        <v/>
      </c>
      <c r="AD1877" t="str">
        <f>"9003910252"</f>
        <v>9003910252</v>
      </c>
      <c r="AE1877" t="str">
        <f>""</f>
        <v/>
      </c>
    </row>
    <row r="1878" spans="1:31" x14ac:dyDescent="0.45">
      <c r="A1878" t="str">
        <f>"ПЕРМЯКОВ СЕРГЕЙ ПЕТРОВИЧ"</f>
        <v>ПЕРМЯКОВ СЕРГЕЙ ПЕТРОВИЧ</v>
      </c>
      <c r="B1878" t="str">
        <f>"1957-01-31"</f>
        <v>1957-01-31</v>
      </c>
      <c r="C1878" t="str">
        <f>"75 02 900640"</f>
        <v>75 02 900640</v>
      </c>
      <c r="D1878" t="str">
        <f>"4854630222182951"</f>
        <v>4854630222182951</v>
      </c>
      <c r="E1878" t="str">
        <f>"2021-04-30"</f>
        <v>2021-04-30</v>
      </c>
      <c r="F1878" t="str">
        <f>"+"</f>
        <v>+</v>
      </c>
      <c r="G1878" t="str">
        <f>"+"</f>
        <v>+</v>
      </c>
      <c r="H1878" t="str">
        <f>"40817810916991442601"</f>
        <v>40817810916991442601</v>
      </c>
      <c r="I1878" t="str">
        <f>"8597"</f>
        <v>8597</v>
      </c>
      <c r="J1878" t="str">
        <f>"0530"</f>
        <v>0530</v>
      </c>
      <c r="K1878" t="str">
        <f>"20000.00"</f>
        <v>20000.00</v>
      </c>
      <c r="L1878" t="str">
        <f>"456300 ОБЛ ЧЕЛЯБИНСКАЯ   Г МИАСС   УЛ АВТОЗАВОДЦЕВ д. 1 кв. 0"</f>
        <v>456300 ОБЛ ЧЕЛЯБИНСКАЯ   Г МИАСС   УЛ АВТОЗАВОДЦЕВ д. 1 кв. 0</v>
      </c>
      <c r="M1878" t="str">
        <f t="shared" si="326"/>
        <v>2019-08-24</v>
      </c>
      <c r="N1878" t="str">
        <f>"МЧС ПОЖАРНАЯ ОХРАНА"</f>
        <v>МЧС ПОЖАРНАЯ ОХРАНА</v>
      </c>
      <c r="O1878" t="str">
        <f>"456300"</f>
        <v>456300</v>
      </c>
      <c r="P1878" t="str">
        <f>"ОБЛ ЧЕЛЯБИНСКАЯ"</f>
        <v>ОБЛ ЧЕЛЯБИНСКАЯ</v>
      </c>
      <c r="Q1878" t="str">
        <f>""</f>
        <v/>
      </c>
      <c r="R1878" t="str">
        <f>"Г МИАСС"</f>
        <v>Г МИАСС</v>
      </c>
      <c r="S1878" t="str">
        <f>""</f>
        <v/>
      </c>
      <c r="T1878" t="str">
        <f>"УЛ ЛЕНИНА"</f>
        <v>УЛ ЛЕНИНА</v>
      </c>
      <c r="U1878" s="1" t="str">
        <f>"69"</f>
        <v>69</v>
      </c>
      <c r="V1878" s="1" t="str">
        <f>""</f>
        <v/>
      </c>
      <c r="W1878" s="1" t="str">
        <f>""</f>
        <v/>
      </c>
      <c r="X1878" s="1" t="str">
        <f>""</f>
        <v/>
      </c>
      <c r="Y1878" s="1" t="str">
        <f>"0"</f>
        <v>0</v>
      </c>
      <c r="Z1878" t="str">
        <f>"3513241672"</f>
        <v>3513241672</v>
      </c>
      <c r="AA1878" t="str">
        <f>"9821036589"</f>
        <v>9821036589</v>
      </c>
      <c r="AB1878" t="str">
        <f>"9043087269"</f>
        <v>9043087269</v>
      </c>
      <c r="AC1878" t="str">
        <f>"9821036589"</f>
        <v>9821036589</v>
      </c>
      <c r="AD1878" t="str">
        <f>"9043087269"</f>
        <v>9043087269</v>
      </c>
      <c r="AE1878" t="str">
        <f>""</f>
        <v/>
      </c>
    </row>
    <row r="1879" spans="1:31" x14ac:dyDescent="0.45">
      <c r="A1879" t="str">
        <f>"КУЧЕРЕНКО ВЛАДИМИР НИКОЛАЕВИЧ"</f>
        <v>КУЧЕРЕНКО ВЛАДИМИР НИКОЛАЕВИЧ</v>
      </c>
      <c r="B1879" t="str">
        <f>"1965-02-19"</f>
        <v>1965-02-19</v>
      </c>
      <c r="C1879" t="str">
        <f>"65 09 785351"</f>
        <v>65 09 785351</v>
      </c>
      <c r="D1879" t="str">
        <f>"4854630379159687"</f>
        <v>4854630379159687</v>
      </c>
      <c r="E1879" t="str">
        <f>"2021-04-30"</f>
        <v>2021-04-30</v>
      </c>
      <c r="F1879" t="str">
        <f>"+"</f>
        <v>+</v>
      </c>
      <c r="G1879" t="str">
        <f>"+"</f>
        <v>+</v>
      </c>
      <c r="H1879" t="str">
        <f>"40817810216991442602"</f>
        <v>40817810216991442602</v>
      </c>
      <c r="I1879" t="str">
        <f>"7003"</f>
        <v>7003</v>
      </c>
      <c r="J1879" t="str">
        <f>"0759"</f>
        <v>0759</v>
      </c>
      <c r="K1879" t="str">
        <f>"40000.00"</f>
        <v>40000.00</v>
      </c>
      <c r="L1879" t="str">
        <f>"620000 ОБЛ СВЕРДЛОВСКАЯ   Г ЕКАТЕРИНБУРГ   УЛ ШЕФСКАЯ д. 97 кв. 114"</f>
        <v>620000 ОБЛ СВЕРДЛОВСКАЯ   Г ЕКАТЕРИНБУРГ   УЛ ШЕФСКАЯ д. 97 кв. 114</v>
      </c>
      <c r="M1879" t="str">
        <f t="shared" si="326"/>
        <v>2019-08-24</v>
      </c>
      <c r="N1879" t="str">
        <f>"ПЕНСИОНЕР"</f>
        <v>ПЕНСИОНЕР</v>
      </c>
      <c r="O1879" t="str">
        <f>"620000"</f>
        <v>620000</v>
      </c>
      <c r="P1879" t="str">
        <f>"ОБЛ СВЕРДЛОВСКАЯ"</f>
        <v>ОБЛ СВЕРДЛОВСКАЯ</v>
      </c>
      <c r="Q1879" t="str">
        <f>""</f>
        <v/>
      </c>
      <c r="R1879" t="str">
        <f>"Г ЕКАТЕРИНБУРГ"</f>
        <v>Г ЕКАТЕРИНБУРГ</v>
      </c>
      <c r="S1879" t="str">
        <f>""</f>
        <v/>
      </c>
      <c r="T1879" t="str">
        <f>"УЛ ШЕФСКАЯ"</f>
        <v>УЛ ШЕФСКАЯ</v>
      </c>
      <c r="U1879" s="1" t="str">
        <f>"97"</f>
        <v>97</v>
      </c>
      <c r="V1879" s="1" t="str">
        <f>""</f>
        <v/>
      </c>
      <c r="W1879" s="1" t="str">
        <f>""</f>
        <v/>
      </c>
      <c r="X1879" s="1" t="str">
        <f>""</f>
        <v/>
      </c>
      <c r="Y1879" s="1" t="str">
        <f>"114"</f>
        <v>114</v>
      </c>
      <c r="Z1879" t="str">
        <f>""</f>
        <v/>
      </c>
      <c r="AA1879" t="str">
        <f>"0000000000"</f>
        <v>0000000000</v>
      </c>
      <c r="AB1879" t="str">
        <f>"9501996761"</f>
        <v>9501996761</v>
      </c>
      <c r="AC1879" t="str">
        <f>"0000000000"</f>
        <v>0000000000</v>
      </c>
      <c r="AD1879" t="str">
        <f>"9501996761"</f>
        <v>9501996761</v>
      </c>
      <c r="AE1879" t="str">
        <f>""</f>
        <v/>
      </c>
    </row>
    <row r="1880" spans="1:31" x14ac:dyDescent="0.45">
      <c r="A1880" t="str">
        <f>"СМИРНОВА ЯНА АНАТОЛЬЕВНА"</f>
        <v>СМИРНОВА ЯНА АНАТОЛЬЕВНА</v>
      </c>
      <c r="B1880" t="str">
        <f>"1968-08-20"</f>
        <v>1968-08-20</v>
      </c>
      <c r="C1880" t="str">
        <f>"75 13 331759"</f>
        <v>75 13 331759</v>
      </c>
      <c r="D1880" t="str">
        <f>"4854630402796869"</f>
        <v>4854630402796869</v>
      </c>
      <c r="E1880" t="str">
        <f>"2021-04-30"</f>
        <v>2021-04-30</v>
      </c>
      <c r="F1880" t="str">
        <f>"K"</f>
        <v>K</v>
      </c>
      <c r="G1880" t="str">
        <f>"Q"</f>
        <v>Q</v>
      </c>
      <c r="H1880" t="str">
        <f>"40817810516991442603"</f>
        <v>40817810516991442603</v>
      </c>
      <c r="I1880" t="str">
        <f>"8597"</f>
        <v>8597</v>
      </c>
      <c r="J1880" t="str">
        <f>"0242"</f>
        <v>0242</v>
      </c>
      <c r="K1880" t="str">
        <f>"0.00"</f>
        <v>0.00</v>
      </c>
      <c r="L1880" t="str">
        <f>"454000 ОБЛ ЧЕЛЯБИНСКАЯ   Г ЧЕЛЯБИНСК   УЛ БАЙКАЛЬСКАЯ д. 31"</f>
        <v>454000 ОБЛ ЧЕЛЯБИНСКАЯ   Г ЧЕЛЯБИНСК   УЛ БАЙКАЛЬСКАЯ д. 31</v>
      </c>
      <c r="M1880" t="str">
        <f t="shared" si="326"/>
        <v>2019-08-24</v>
      </c>
      <c r="N1880" t="str">
        <f>"ИП  СМИНОВА  Я.А."</f>
        <v>ИП  СМИНОВА  Я.А.</v>
      </c>
      <c r="O1880" t="str">
        <f>"454000"</f>
        <v>454000</v>
      </c>
      <c r="P1880" t="str">
        <f>"ОБЛ ЧЕЛЯБИНСКАЯ"</f>
        <v>ОБЛ ЧЕЛЯБИНСКАЯ</v>
      </c>
      <c r="Q1880" t="str">
        <f>""</f>
        <v/>
      </c>
      <c r="R1880" t="str">
        <f>""</f>
        <v/>
      </c>
      <c r="S1880" t="str">
        <f>"Д УЖЕВКА"</f>
        <v>Д УЖЕВКА</v>
      </c>
      <c r="T1880" t="str">
        <f>"УЛ ПЕР. БЕРЕГОВОЙ"</f>
        <v>УЛ ПЕР. БЕРЕГОВОЙ</v>
      </c>
      <c r="U1880" s="1" t="str">
        <f>"18"</f>
        <v>18</v>
      </c>
      <c r="V1880" s="1" t="str">
        <f>""</f>
        <v/>
      </c>
      <c r="W1880" s="1" t="str">
        <f>""</f>
        <v/>
      </c>
      <c r="X1880" s="1" t="str">
        <f>""</f>
        <v/>
      </c>
      <c r="Y1880" s="1" t="str">
        <f>""</f>
        <v/>
      </c>
      <c r="Z1880" t="str">
        <f>""</f>
        <v/>
      </c>
      <c r="AA1880" t="str">
        <f>"+7 (919) 1247878"</f>
        <v>+7 (919) 1247878</v>
      </c>
      <c r="AB1880" t="str">
        <f>"+7 (919) 1247878"</f>
        <v>+7 (919) 1247878</v>
      </c>
      <c r="AC1880" t="str">
        <f>"9193389006"</f>
        <v>9193389006</v>
      </c>
      <c r="AD1880" t="str">
        <f>"9191247878"</f>
        <v>9191247878</v>
      </c>
      <c r="AE1880" t="str">
        <f>""</f>
        <v/>
      </c>
    </row>
    <row r="1881" spans="1:31" x14ac:dyDescent="0.45">
      <c r="A1881" t="str">
        <f>"ПАЛАГУТИНА ТАТЬЯНА ИЛЬИНИЧНА"</f>
        <v>ПАЛАГУТИНА ТАТЬЯНА ИЛЬИНИЧНА</v>
      </c>
      <c r="B1881" t="str">
        <f>"1965-11-21"</f>
        <v>1965-11-21</v>
      </c>
      <c r="C1881" t="str">
        <f>"67 10 096878"</f>
        <v>67 10 096878</v>
      </c>
      <c r="D1881" t="str">
        <f>"4854630393139541"</f>
        <v>4854630393139541</v>
      </c>
      <c r="E1881" t="str">
        <f>"2021-04-30"</f>
        <v>2021-04-30</v>
      </c>
      <c r="F1881" t="str">
        <f>"Q"</f>
        <v>Q</v>
      </c>
      <c r="G1881" t="str">
        <f>"Q"</f>
        <v>Q</v>
      </c>
      <c r="H1881" t="str">
        <f>"40817810367720704908"</f>
        <v>40817810367720704908</v>
      </c>
      <c r="I1881" t="str">
        <f>"5940"</f>
        <v>5940</v>
      </c>
      <c r="J1881" t="str">
        <f>"0053"</f>
        <v>0053</v>
      </c>
      <c r="K1881" t="str">
        <f>"0.00"</f>
        <v>0.00</v>
      </c>
      <c r="L1881" t="str">
        <f>"628400 ОБЛ ТЮМЕНСКАЯ   Г СУРГУТ   УЛ КУКУЕВИЦКОГО д. 1"</f>
        <v>628400 ОБЛ ТЮМЕНСКАЯ   Г СУРГУТ   УЛ КУКУЕВИЦКОГО д. 1</v>
      </c>
      <c r="M1881" t="str">
        <f t="shared" si="326"/>
        <v>2019-08-24</v>
      </c>
      <c r="N1881" t="str">
        <f>"ОАО СУРГУТНЕФТЕГАЗ"</f>
        <v>ОАО СУРГУТНЕФТЕГАЗ</v>
      </c>
      <c r="O1881" t="str">
        <f>"628400"</f>
        <v>628400</v>
      </c>
      <c r="P1881" t="str">
        <f>"ОБЛ ТЮМЕНСКАЯ"</f>
        <v>ОБЛ ТЮМЕНСКАЯ</v>
      </c>
      <c r="Q1881" t="str">
        <f>""</f>
        <v/>
      </c>
      <c r="R1881" t="str">
        <f>"Г СУРГУТ"</f>
        <v>Г СУРГУТ</v>
      </c>
      <c r="S1881" t="str">
        <f>""</f>
        <v/>
      </c>
      <c r="T1881" t="str">
        <f>"УЛ ЛЕНИНГРАДСКАЯ"</f>
        <v>УЛ ЛЕНИНГРАДСКАЯ</v>
      </c>
      <c r="U1881" s="1" t="str">
        <f>"4"</f>
        <v>4</v>
      </c>
      <c r="V1881" s="1" t="str">
        <f>""</f>
        <v/>
      </c>
      <c r="W1881" s="1" t="str">
        <f>""</f>
        <v/>
      </c>
      <c r="X1881" s="1" t="str">
        <f>""</f>
        <v/>
      </c>
      <c r="Y1881" s="1" t="str">
        <f>"21"</f>
        <v>21</v>
      </c>
      <c r="Z1881" t="str">
        <f>""</f>
        <v/>
      </c>
      <c r="AA1881" t="str">
        <f>"3462380773"</f>
        <v>3462380773</v>
      </c>
      <c r="AB1881" t="str">
        <f>"9222568880"</f>
        <v>9222568880</v>
      </c>
      <c r="AC1881" t="str">
        <f>"3462380773"</f>
        <v>3462380773</v>
      </c>
      <c r="AD1881" t="str">
        <f>"9222568880"</f>
        <v>9222568880</v>
      </c>
      <c r="AE1881" t="str">
        <f>""</f>
        <v/>
      </c>
    </row>
    <row r="1882" spans="1:31" x14ac:dyDescent="0.45">
      <c r="A1882" t="str">
        <f>"КОРНИКОВ БОРИС КОНСТАНТИНОВИЧ"</f>
        <v>КОРНИКОВ БОРИС КОНСТАНТИНОВИЧ</v>
      </c>
      <c r="B1882" t="str">
        <f>"1961-09-22"</f>
        <v>1961-09-22</v>
      </c>
      <c r="C1882" t="str">
        <f>"71 12 946901"</f>
        <v>71 12 946901</v>
      </c>
      <c r="D1882" t="str">
        <f>"4854630158167711"</f>
        <v>4854630158167711</v>
      </c>
      <c r="E1882" t="str">
        <f>"2022-02-28"</f>
        <v>2022-02-28</v>
      </c>
      <c r="F1882" t="str">
        <f t="shared" ref="F1882:G1886" si="330">"+"</f>
        <v>+</v>
      </c>
      <c r="G1882" t="str">
        <f t="shared" si="330"/>
        <v>+</v>
      </c>
      <c r="H1882" t="str">
        <f>"40817810216992063284"</f>
        <v>40817810216992063284</v>
      </c>
      <c r="I1882" t="str">
        <f>"8647"</f>
        <v>8647</v>
      </c>
      <c r="J1882" t="str">
        <f>"0056"</f>
        <v>0056</v>
      </c>
      <c r="K1882" t="str">
        <f>"32000.00"</f>
        <v>32000.00</v>
      </c>
      <c r="L1882" t="str">
        <f>"625000 ОБЛ ТЮМЕНСКАЯ   Г ТЮМЕНЬ   УЛ МАКСИМА ГОРЬКОГО д. 74"</f>
        <v>625000 ОБЛ ТЮМЕНСКАЯ   Г ТЮМЕНЬ   УЛ МАКСИМА ГОРЬКОГО д. 74</v>
      </c>
      <c r="M1882" t="str">
        <f t="shared" si="326"/>
        <v>2019-08-24</v>
      </c>
      <c r="N1882" t="str">
        <f>"ООО УК ДЕМИДОВ СТАН"</f>
        <v>ООО УК ДЕМИДОВ СТАН</v>
      </c>
      <c r="O1882" t="str">
        <f>"625000"</f>
        <v>625000</v>
      </c>
      <c r="P1882" t="str">
        <f>"ОБЛ ТЮМЕНСКАЯ"</f>
        <v>ОБЛ ТЮМЕНСКАЯ</v>
      </c>
      <c r="Q1882" t="str">
        <f>""</f>
        <v/>
      </c>
      <c r="R1882" t="str">
        <f>"Г ТЮМЕНЬ"</f>
        <v>Г ТЮМЕНЬ</v>
      </c>
      <c r="S1882" t="str">
        <f>""</f>
        <v/>
      </c>
      <c r="T1882" t="str">
        <f>"УЛ ГАЗОВИКОВ"</f>
        <v>УЛ ГАЗОВИКОВ</v>
      </c>
      <c r="U1882" s="1" t="str">
        <f>"3"</f>
        <v>3</v>
      </c>
      <c r="V1882" s="1" t="str">
        <f>""</f>
        <v/>
      </c>
      <c r="W1882" s="1" t="str">
        <f>""</f>
        <v/>
      </c>
      <c r="X1882" s="1" t="str">
        <f>""</f>
        <v/>
      </c>
      <c r="Y1882" s="1" t="str">
        <f>"79"</f>
        <v>79</v>
      </c>
      <c r="Z1882" t="str">
        <f>"3452215330"</f>
        <v>3452215330</v>
      </c>
      <c r="AA1882" t="str">
        <f>"9091851292"</f>
        <v>9091851292</v>
      </c>
      <c r="AB1882" t="str">
        <f>"9058221079"</f>
        <v>9058221079</v>
      </c>
      <c r="AC1882" t="str">
        <f>"9091851292"</f>
        <v>9091851292</v>
      </c>
      <c r="AD1882" t="str">
        <f>"9058221079"</f>
        <v>9058221079</v>
      </c>
      <c r="AE1882" t="str">
        <f>""</f>
        <v/>
      </c>
    </row>
    <row r="1883" spans="1:31" x14ac:dyDescent="0.45">
      <c r="A1883" t="str">
        <f>"МИРХАЙДАРОВА ОЛЬГА ПЕТРОВНА"</f>
        <v>МИРХАЙДАРОВА ОЛЬГА ПЕТРОВНА</v>
      </c>
      <c r="B1883" t="str">
        <f>"1976-06-09"</f>
        <v>1976-06-09</v>
      </c>
      <c r="C1883" t="str">
        <f>"80 04 309790"</f>
        <v>80 04 309790</v>
      </c>
      <c r="D1883" t="str">
        <f>"5313100031620981"</f>
        <v>5313100031620981</v>
      </c>
      <c r="E1883" t="str">
        <f>"2020-10-31"</f>
        <v>2020-10-31</v>
      </c>
      <c r="F1883" t="str">
        <f t="shared" si="330"/>
        <v>+</v>
      </c>
      <c r="G1883" t="str">
        <f t="shared" si="330"/>
        <v>+</v>
      </c>
      <c r="H1883" t="str">
        <f>"40817810616991470397"</f>
        <v>40817810616991470397</v>
      </c>
      <c r="I1883" t="str">
        <f>"8598"</f>
        <v>8598</v>
      </c>
      <c r="J1883" t="str">
        <f>"0267"</f>
        <v>0267</v>
      </c>
      <c r="K1883" t="str">
        <f>"170000.00"</f>
        <v>170000.00</v>
      </c>
      <c r="L1883" t="str">
        <f>"450000 РЕСП БАШКОРТОСТАН Р-Н МЕЧЕТЛИНСКИЙ   С БОЛЬШЕУСТЬИКИНСКОЕ УЛ ЦЕНТРАЛЬНАЯ д. 6"</f>
        <v>450000 РЕСП БАШКОРТОСТАН Р-Н МЕЧЕТЛИНСКИЙ   С БОЛЬШЕУСТЬИКИНСКОЕ УЛ ЦЕНТРАЛЬНАЯ д. 6</v>
      </c>
      <c r="M1883" t="str">
        <f t="shared" si="326"/>
        <v>2019-08-24</v>
      </c>
      <c r="N1883" t="str">
        <f>"ИП МИРХАЙДАРОВА"</f>
        <v>ИП МИРХАЙДАРОВА</v>
      </c>
      <c r="O1883" t="str">
        <f>"452550"</f>
        <v>452550</v>
      </c>
      <c r="P1883" t="str">
        <f>"РЕСП БАШКОРТОСТАН"</f>
        <v>РЕСП БАШКОРТОСТАН</v>
      </c>
      <c r="Q1883" t="str">
        <f>"Р-Н МЕЧЕТЛИНСКИЙ"</f>
        <v>Р-Н МЕЧЕТЛИНСКИЙ</v>
      </c>
      <c r="R1883" t="str">
        <f>""</f>
        <v/>
      </c>
      <c r="S1883" t="str">
        <f>"С БОЛЬШЕУСТЬИКИНСКОЕ"</f>
        <v>С БОЛЬШЕУСТЬИКИНСКОЕ</v>
      </c>
      <c r="T1883" t="str">
        <f>"УЛ КУРОРТНАЯ"</f>
        <v>УЛ КУРОРТНАЯ</v>
      </c>
      <c r="U1883" s="1" t="str">
        <f>"64"</f>
        <v>64</v>
      </c>
      <c r="V1883" s="1" t="str">
        <f>""</f>
        <v/>
      </c>
      <c r="W1883" s="1" t="str">
        <f>""</f>
        <v/>
      </c>
      <c r="X1883" s="1" t="str">
        <f>""</f>
        <v/>
      </c>
      <c r="Y1883" s="1" t="str">
        <f>""</f>
        <v/>
      </c>
      <c r="Z1883" t="str">
        <f>""</f>
        <v/>
      </c>
      <c r="AA1883" t="str">
        <f>"9603928765"</f>
        <v>9603928765</v>
      </c>
      <c r="AB1883" t="str">
        <f>"9603928765"</f>
        <v>9603928765</v>
      </c>
      <c r="AC1883" t="str">
        <f>"9603928765"</f>
        <v>9603928765</v>
      </c>
      <c r="AD1883" t="str">
        <f>"9603928765"</f>
        <v>9603928765</v>
      </c>
      <c r="AE1883" t="str">
        <f>""</f>
        <v/>
      </c>
    </row>
    <row r="1884" spans="1:31" x14ac:dyDescent="0.45">
      <c r="A1884" t="str">
        <f>"МАГОМЕДОВ АРСЕН ХОЖАБДУЛЛАЕВИЧ"</f>
        <v>МАГОМЕДОВ АРСЕН ХОЖАБДУЛЛАЕВИЧ</v>
      </c>
      <c r="B1884" t="str">
        <f>"1966-07-18"</f>
        <v>1966-07-18</v>
      </c>
      <c r="C1884" t="str">
        <f>"67 10 105776"</f>
        <v>67 10 105776</v>
      </c>
      <c r="D1884" t="str">
        <f>"4276016700767382"</f>
        <v>4276016700767382</v>
      </c>
      <c r="E1884" t="str">
        <f>"2021-11-30"</f>
        <v>2021-11-30</v>
      </c>
      <c r="F1884" t="str">
        <f t="shared" si="330"/>
        <v>+</v>
      </c>
      <c r="G1884" t="str">
        <f t="shared" si="330"/>
        <v>+</v>
      </c>
      <c r="H1884" t="str">
        <f>"40817810416992192557"</f>
        <v>40817810416992192557</v>
      </c>
      <c r="I1884" t="str">
        <f>"5940"</f>
        <v>5940</v>
      </c>
      <c r="J1884" t="str">
        <f>"0102"</f>
        <v>0102</v>
      </c>
      <c r="K1884" t="str">
        <f>"10000.00"</f>
        <v>10000.00</v>
      </c>
      <c r="L1884" t="str">
        <f>"628300 ОБЛ ТЮМЕНСКАЯ АО ХАНТЫ-МАНСИЙСКИЙ Г НЕФТЕЮГАНСК   УЛ ПРОМЗОНА д. 1"</f>
        <v>628300 ОБЛ ТЮМЕНСКАЯ АО ХАНТЫ-МАНСИЙСКИЙ Г НЕФТЕЮГАНСК   УЛ ПРОМЗОНА д. 1</v>
      </c>
      <c r="M1884" t="str">
        <f t="shared" si="326"/>
        <v>2019-08-24</v>
      </c>
      <c r="N1884" t="str">
        <f>"МЕТАЛ СНАБ КОМПЛЕКТ"</f>
        <v>МЕТАЛ СНАБ КОМПЛЕКТ</v>
      </c>
      <c r="O1884" t="str">
        <f>"628300"</f>
        <v>628300</v>
      </c>
      <c r="P1884" t="str">
        <f>"ОБЛ ТЮМЕНСКАЯ"</f>
        <v>ОБЛ ТЮМЕНСКАЯ</v>
      </c>
      <c r="Q1884" t="str">
        <f>"АО ХАНТЫ-МАНСИЙСКИЙ"</f>
        <v>АО ХАНТЫ-МАНСИЙСКИЙ</v>
      </c>
      <c r="R1884" t="str">
        <f>"Г НЕФТЕЮГАНСК"</f>
        <v>Г НЕФТЕЮГАНСК</v>
      </c>
      <c r="S1884" t="str">
        <f>""</f>
        <v/>
      </c>
      <c r="T1884" t="str">
        <f>"УЛ ЧЕХОВА"</f>
        <v>УЛ ЧЕХОВА</v>
      </c>
      <c r="U1884" s="1" t="str">
        <f>"1"</f>
        <v>1</v>
      </c>
      <c r="V1884" s="1" t="str">
        <f>""</f>
        <v/>
      </c>
      <c r="W1884" s="1" t="str">
        <f>""</f>
        <v/>
      </c>
      <c r="X1884" s="1" t="str">
        <f>""</f>
        <v/>
      </c>
      <c r="Y1884" s="1" t="str">
        <f>""</f>
        <v/>
      </c>
      <c r="Z1884" t="str">
        <f>""</f>
        <v/>
      </c>
      <c r="AA1884" t="str">
        <f>"9324034338"</f>
        <v>9324034338</v>
      </c>
      <c r="AB1884" t="str">
        <f>"9292954401"</f>
        <v>9292954401</v>
      </c>
      <c r="AC1884" t="str">
        <f>"9224312919"</f>
        <v>9224312919</v>
      </c>
      <c r="AD1884" t="str">
        <f>"9292954401"</f>
        <v>9292954401</v>
      </c>
      <c r="AE1884" t="str">
        <f>""</f>
        <v/>
      </c>
    </row>
    <row r="1885" spans="1:31" x14ac:dyDescent="0.45">
      <c r="A1885" t="str">
        <f>"МЕРЗЛЯКОВ ВЛАДИМИР АЛЬБЕРТОВИЧ"</f>
        <v>МЕРЗЛЯКОВ ВЛАДИМИР АЛЬБЕРТОВИЧ</v>
      </c>
      <c r="B1885" t="str">
        <f>"1956-05-14"</f>
        <v>1956-05-14</v>
      </c>
      <c r="C1885" t="str">
        <f>"71 01 355018"</f>
        <v>71 01 355018</v>
      </c>
      <c r="D1885" t="str">
        <f>"4854630412307673"</f>
        <v>4854630412307673</v>
      </c>
      <c r="E1885" t="str">
        <f>"2021-04-30"</f>
        <v>2021-04-30</v>
      </c>
      <c r="F1885" t="str">
        <f t="shared" si="330"/>
        <v>+</v>
      </c>
      <c r="G1885" t="str">
        <f t="shared" si="330"/>
        <v>+</v>
      </c>
      <c r="H1885" t="str">
        <f>"40817810216992192605"</f>
        <v>40817810216992192605</v>
      </c>
      <c r="I1885" t="str">
        <f>"8647"</f>
        <v>8647</v>
      </c>
      <c r="J1885" t="str">
        <f>"0087"</f>
        <v>0087</v>
      </c>
      <c r="K1885" t="str">
        <f>"85000.00"</f>
        <v>85000.00</v>
      </c>
      <c r="L1885" t="str">
        <f>"625000 ОБЛ ТЮМЕНСКАЯ   Г ТЮМЕНЬ   УЛ 5 КМ СТРАТОБОЛЬСКОГО ТРАКТА д. 20"</f>
        <v>625000 ОБЛ ТЮМЕНСКАЯ   Г ТЮМЕНЬ   УЛ 5 КМ СТРАТОБОЛЬСКОГО ТРАКТА д. 20</v>
      </c>
      <c r="M1885" t="str">
        <f t="shared" si="326"/>
        <v>2019-08-24</v>
      </c>
      <c r="N1885" t="str">
        <f>"ООО ЧОО ГАРДА"</f>
        <v>ООО ЧОО ГАРДА</v>
      </c>
      <c r="O1885" t="str">
        <f>"625000"</f>
        <v>625000</v>
      </c>
      <c r="P1885" t="str">
        <f>"ОБЛ ТЮМЕНСКАЯ"</f>
        <v>ОБЛ ТЮМЕНСКАЯ</v>
      </c>
      <c r="Q1885" t="str">
        <f>""</f>
        <v/>
      </c>
      <c r="R1885" t="str">
        <f>"Г ТЮМЕНЬ"</f>
        <v>Г ТЮМЕНЬ</v>
      </c>
      <c r="S1885" t="str">
        <f>""</f>
        <v/>
      </c>
      <c r="T1885" t="str">
        <f>"УЛ 50 ЛЕТ ОКТЯБРЯ"</f>
        <v>УЛ 50 ЛЕТ ОКТЯБРЯ</v>
      </c>
      <c r="U1885" s="1" t="str">
        <f>"76"</f>
        <v>76</v>
      </c>
      <c r="V1885" s="1" t="str">
        <f>""</f>
        <v/>
      </c>
      <c r="W1885" s="1" t="str">
        <f>""</f>
        <v/>
      </c>
      <c r="X1885" s="1" t="str">
        <f>""</f>
        <v/>
      </c>
      <c r="Y1885" s="1" t="str">
        <f>"12"</f>
        <v>12</v>
      </c>
      <c r="Z1885" t="str">
        <f>""</f>
        <v/>
      </c>
      <c r="AA1885" t="str">
        <f>"3452414262"</f>
        <v>3452414262</v>
      </c>
      <c r="AB1885" t="str">
        <f>"9097378711"</f>
        <v>9097378711</v>
      </c>
      <c r="AC1885" t="str">
        <f>"3452414262"</f>
        <v>3452414262</v>
      </c>
      <c r="AD1885" t="str">
        <f>"9097378711"</f>
        <v>9097378711</v>
      </c>
      <c r="AE1885" t="str">
        <f>""</f>
        <v/>
      </c>
    </row>
    <row r="1886" spans="1:31" x14ac:dyDescent="0.45">
      <c r="A1886" t="str">
        <f>"МАЛЬЦЕВА ВЕРА ДМИТРИЕВНА"</f>
        <v>МАЛЬЦЕВА ВЕРА ДМИТРИЕВНА</v>
      </c>
      <c r="B1886" t="str">
        <f>"1953-11-20"</f>
        <v>1953-11-20</v>
      </c>
      <c r="C1886" t="str">
        <f>"71 02 629879"</f>
        <v>71 02 629879</v>
      </c>
      <c r="D1886" t="str">
        <f>"4854630413945224"</f>
        <v>4854630413945224</v>
      </c>
      <c r="E1886" t="str">
        <f>"2021-04-30"</f>
        <v>2021-04-30</v>
      </c>
      <c r="F1886" t="str">
        <f t="shared" si="330"/>
        <v>+</v>
      </c>
      <c r="G1886" t="str">
        <f t="shared" si="330"/>
        <v>+</v>
      </c>
      <c r="H1886" t="str">
        <f>"40817810616992555091"</f>
        <v>40817810616992555091</v>
      </c>
      <c r="I1886" t="str">
        <f>"8647"</f>
        <v>8647</v>
      </c>
      <c r="J1886" t="str">
        <f>"0207"</f>
        <v>0207</v>
      </c>
      <c r="K1886" t="str">
        <f>"30000.00"</f>
        <v>30000.00</v>
      </c>
      <c r="L1886" t="str">
        <f>"627610 ОБЛ ТЮМЕНСКАЯ Р-Н СЛАДКОВСКИЙ   С СЛАДКОВО УЛ ЛЕНИНА д. 59"</f>
        <v>627610 ОБЛ ТЮМЕНСКАЯ Р-Н СЛАДКОВСКИЙ   С СЛАДКОВО УЛ ЛЕНИНА д. 59</v>
      </c>
      <c r="M1886" t="str">
        <f t="shared" si="326"/>
        <v>2019-08-24</v>
      </c>
      <c r="N1886" t="str">
        <f>"УПФР В Г.ИШИМЕ ТЮМЕНСКОЙ ОБЛАСТИ (МЕЖРАЙОННОЕ)"</f>
        <v>УПФР В Г.ИШИМЕ ТЮМЕНСКОЙ ОБЛАСТИ (МЕЖРАЙОННОЕ)</v>
      </c>
      <c r="O1886" t="str">
        <f>"627600"</f>
        <v>627600</v>
      </c>
      <c r="P1886" t="str">
        <f>"ОБЛ ТЮМЕНСКАЯ"</f>
        <v>ОБЛ ТЮМЕНСКАЯ</v>
      </c>
      <c r="Q1886" t="str">
        <f>"Р-Н СЛАДКОВСКИЙ"</f>
        <v>Р-Н СЛАДКОВСКИЙ</v>
      </c>
      <c r="R1886" t="str">
        <f>""</f>
        <v/>
      </c>
      <c r="S1886" t="str">
        <f>"П МАСЛЯНСКИЙ"</f>
        <v>П МАСЛЯНСКИЙ</v>
      </c>
      <c r="T1886" t="str">
        <f>"УЛ БОЛЬНИЧНАЯ"</f>
        <v>УЛ БОЛЬНИЧНАЯ</v>
      </c>
      <c r="U1886" s="1" t="str">
        <f>"1"</f>
        <v>1</v>
      </c>
      <c r="V1886" s="1" t="str">
        <f>""</f>
        <v/>
      </c>
      <c r="W1886" s="1" t="str">
        <f>""</f>
        <v/>
      </c>
      <c r="X1886" s="1" t="str">
        <f>""</f>
        <v/>
      </c>
      <c r="Y1886" s="1" t="str">
        <f>""</f>
        <v/>
      </c>
      <c r="Z1886" t="str">
        <f>""</f>
        <v/>
      </c>
      <c r="AA1886" t="str">
        <f>"9224870946"</f>
        <v>9224870946</v>
      </c>
      <c r="AB1886" t="str">
        <f>"9026231267"</f>
        <v>9026231267</v>
      </c>
      <c r="AC1886" t="str">
        <f>"9224870946"</f>
        <v>9224870946</v>
      </c>
      <c r="AD1886" t="str">
        <f>"9026231267"</f>
        <v>9026231267</v>
      </c>
      <c r="AE1886" t="str">
        <f>""</f>
        <v/>
      </c>
    </row>
    <row r="1887" spans="1:31" x14ac:dyDescent="0.45">
      <c r="A1887" t="str">
        <f>"СЫРТЛАНОВ САЛАВАТ САХИЕВИЧ"</f>
        <v>СЫРТЛАНОВ САЛАВАТ САХИЕВИЧ</v>
      </c>
      <c r="B1887" t="str">
        <f>"1954-01-01"</f>
        <v>1954-01-01</v>
      </c>
      <c r="C1887" t="str">
        <f>"67 02 652934"</f>
        <v>67 02 652934</v>
      </c>
      <c r="D1887" t="str">
        <f>"4854630356461817"</f>
        <v>4854630356461817</v>
      </c>
      <c r="E1887" t="str">
        <f>"2021-04-30"</f>
        <v>2021-04-30</v>
      </c>
      <c r="F1887" t="str">
        <f>"J"</f>
        <v>J</v>
      </c>
      <c r="G1887" t="str">
        <f>"+"</f>
        <v>+</v>
      </c>
      <c r="H1887" t="str">
        <f>"40817810016991470450"</f>
        <v>40817810016991470450</v>
      </c>
      <c r="I1887" t="str">
        <f>"8598"</f>
        <v>8598</v>
      </c>
      <c r="J1887" t="str">
        <f>"0720"</f>
        <v>0720</v>
      </c>
      <c r="K1887" t="str">
        <f>"25000.00"</f>
        <v>25000.00</v>
      </c>
      <c r="L1887" t="str">
        <f>"628300 ОБЛ ТЮМЕНСКАЯ   Г НЕФТЕЮГАНСК   МКР 3 д. 15 кв. 62"</f>
        <v>628300 ОБЛ ТЮМЕНСКАЯ   Г НЕФТЕЮГАНСК   МКР 3 д. 15 кв. 62</v>
      </c>
      <c r="M1887" t="str">
        <f t="shared" si="326"/>
        <v>2019-08-24</v>
      </c>
      <c r="N1887" t="str">
        <f>"ГУ УПФР"</f>
        <v>ГУ УПФР</v>
      </c>
      <c r="O1887" t="str">
        <f>"628300"</f>
        <v>628300</v>
      </c>
      <c r="P1887" t="str">
        <f>"ОБЛ ТЮМЕНСКАЯ"</f>
        <v>ОБЛ ТЮМЕНСКАЯ</v>
      </c>
      <c r="Q1887" t="str">
        <f>""</f>
        <v/>
      </c>
      <c r="R1887" t="str">
        <f>"Г НЕФТЕЮГАНСК"</f>
        <v>Г НЕФТЕЮГАНСК</v>
      </c>
      <c r="S1887" t="str">
        <f>""</f>
        <v/>
      </c>
      <c r="T1887" t="str">
        <f>"МКР 3"</f>
        <v>МКР 3</v>
      </c>
      <c r="U1887" s="1" t="str">
        <f>"15"</f>
        <v>15</v>
      </c>
      <c r="V1887" s="1" t="str">
        <f>""</f>
        <v/>
      </c>
      <c r="W1887" s="1" t="str">
        <f>""</f>
        <v/>
      </c>
      <c r="X1887" s="1" t="str">
        <f>""</f>
        <v/>
      </c>
      <c r="Y1887" s="1" t="str">
        <f>"62"</f>
        <v>62</v>
      </c>
      <c r="Z1887" t="str">
        <f>""</f>
        <v/>
      </c>
      <c r="AA1887" t="str">
        <f>"+7 (917) 3782541"</f>
        <v>+7 (917) 3782541</v>
      </c>
      <c r="AB1887" t="str">
        <f>"+7 (917) 3782541"</f>
        <v>+7 (917) 3782541</v>
      </c>
      <c r="AC1887" t="str">
        <f>"9173782541"</f>
        <v>9173782541</v>
      </c>
      <c r="AD1887" t="str">
        <f>"9173782541"</f>
        <v>9173782541</v>
      </c>
      <c r="AE1887" t="str">
        <f>""</f>
        <v/>
      </c>
    </row>
    <row r="1888" spans="1:31" x14ac:dyDescent="0.45">
      <c r="A1888" t="str">
        <f>"ДЕРЕВЯГИНА ЕЛЕНА ИГОРЕВНА"</f>
        <v>ДЕРЕВЯГИНА ЕЛЕНА ИГОРЕВНА</v>
      </c>
      <c r="B1888" t="str">
        <f>"1987-08-03"</f>
        <v>1987-08-03</v>
      </c>
      <c r="C1888" t="str">
        <f>"75 13 289798"</f>
        <v>75 13 289798</v>
      </c>
      <c r="D1888" t="str">
        <f>"5313100403396269"</f>
        <v>5313100403396269</v>
      </c>
      <c r="E1888" t="str">
        <f>"2021-03-31"</f>
        <v>2021-03-31</v>
      </c>
      <c r="F1888" t="str">
        <f>"+"</f>
        <v>+</v>
      </c>
      <c r="G1888" t="str">
        <f>"+"</f>
        <v>+</v>
      </c>
      <c r="H1888" t="str">
        <f>"40817810916991470479"</f>
        <v>40817810916991470479</v>
      </c>
      <c r="I1888" t="str">
        <f>"8597"</f>
        <v>8597</v>
      </c>
      <c r="J1888" t="str">
        <f>"0280"</f>
        <v>0280</v>
      </c>
      <c r="K1888" t="str">
        <f>"210000.00"</f>
        <v>210000.00</v>
      </c>
      <c r="L1888" t="str">
        <f>"454000 ОБЛ ЧЕЛЯБИНСКАЯ   Г ЧЕЛЯБИНСК   УЛ ЧЕЛЯБИНСКИЙ РАБОЧИЙ д. 5"</f>
        <v>454000 ОБЛ ЧЕЛЯБИНСКАЯ   Г ЧЕЛЯБИНСК   УЛ ЧЕЛЯБИНСКИЙ РАБОЧИЙ д. 5</v>
      </c>
      <c r="M1888" t="str">
        <f t="shared" si="326"/>
        <v>2019-08-24</v>
      </c>
      <c r="N1888" t="str">
        <f>"ЦЕНТР СОЦИАЛЬНОЙ ПОМОЩИ"</f>
        <v>ЦЕНТР СОЦИАЛЬНОЙ ПОМОЩИ</v>
      </c>
      <c r="O1888" t="str">
        <f>"454000"</f>
        <v>454000</v>
      </c>
      <c r="P1888" t="str">
        <f>"ОБЛ ЧЕЛЯБИНСКАЯ"</f>
        <v>ОБЛ ЧЕЛЯБИНСКАЯ</v>
      </c>
      <c r="Q1888" t="str">
        <f>""</f>
        <v/>
      </c>
      <c r="R1888" t="str">
        <f>"Г ЧЕЛЯБИНСК"</f>
        <v>Г ЧЕЛЯБИНСК</v>
      </c>
      <c r="S1888" t="str">
        <f>""</f>
        <v/>
      </c>
      <c r="T1888" t="str">
        <f>"УЛ АГАЛАКОВА"</f>
        <v>УЛ АГАЛАКОВА</v>
      </c>
      <c r="U1888" s="1" t="str">
        <f>"50"</f>
        <v>50</v>
      </c>
      <c r="V1888" s="1" t="str">
        <f>""</f>
        <v/>
      </c>
      <c r="W1888" s="1" t="str">
        <f>""</f>
        <v/>
      </c>
      <c r="X1888" s="1" t="str">
        <f>""</f>
        <v/>
      </c>
      <c r="Y1888" s="1" t="str">
        <f>"320"</f>
        <v>320</v>
      </c>
      <c r="Z1888" t="str">
        <f>""</f>
        <v/>
      </c>
      <c r="AA1888" t="str">
        <f>"3512521795"</f>
        <v>3512521795</v>
      </c>
      <c r="AB1888" t="str">
        <f>"9226368740"</f>
        <v>9226368740</v>
      </c>
      <c r="AC1888" t="str">
        <f>"9085813023"</f>
        <v>9085813023</v>
      </c>
      <c r="AD1888" t="str">
        <f>"9507442004"</f>
        <v>9507442004</v>
      </c>
      <c r="AE1888" t="str">
        <f>""</f>
        <v/>
      </c>
    </row>
    <row r="1889" spans="1:31" x14ac:dyDescent="0.45">
      <c r="A1889" t="str">
        <f>"ЧЕРМЯНИНОВА ОЛЬГА СЕРГЕЕВНА"</f>
        <v>ЧЕРМЯНИНОВА ОЛЬГА СЕРГЕЕВНА</v>
      </c>
      <c r="B1889" t="str">
        <f>"1976-01-25"</f>
        <v>1976-01-25</v>
      </c>
      <c r="C1889" t="str">
        <f>"65 01 917524"</f>
        <v>65 01 917524</v>
      </c>
      <c r="D1889" t="str">
        <f>"4854630357051062"</f>
        <v>4854630357051062</v>
      </c>
      <c r="E1889" t="str">
        <f>"2021-05-31"</f>
        <v>2021-05-31</v>
      </c>
      <c r="F1889" t="str">
        <f>"+"</f>
        <v>+</v>
      </c>
      <c r="G1889" t="str">
        <f>"+"</f>
        <v>+</v>
      </c>
      <c r="H1889" t="str">
        <f>"40817810316991470480"</f>
        <v>40817810316991470480</v>
      </c>
      <c r="I1889" t="str">
        <f>"7003"</f>
        <v>7003</v>
      </c>
      <c r="J1889" t="str">
        <f>"0445"</f>
        <v>0445</v>
      </c>
      <c r="K1889" t="str">
        <f>"205000.00"</f>
        <v>205000.00</v>
      </c>
      <c r="L1889" t="str">
        <f>"620034 ОБЛ СВЕРДЛОВСКАЯ   Г ЕКАТЕРИНБУРГ   УЛ ОПАЛИХИНСКАЯ д. 27"</f>
        <v>620034 ОБЛ СВЕРДЛОВСКАЯ   Г ЕКАТЕРИНБУРГ   УЛ ОПАЛИХИНСКАЯ д. 27</v>
      </c>
      <c r="M1889" t="str">
        <f t="shared" si="326"/>
        <v>2019-08-24</v>
      </c>
      <c r="N1889" t="str">
        <f>"ИП БЫЧКОВА АЛЛА ВЛАДИМИРОВНА"</f>
        <v>ИП БЫЧКОВА АЛЛА ВЛАДИМИРОВНА</v>
      </c>
      <c r="O1889" t="str">
        <f>"620016"</f>
        <v>620016</v>
      </c>
      <c r="P1889" t="str">
        <f>"ОБЛ СВЕРДЛОВСКАЯ"</f>
        <v>ОБЛ СВЕРДЛОВСКАЯ</v>
      </c>
      <c r="Q1889" t="str">
        <f>""</f>
        <v/>
      </c>
      <c r="R1889" t="str">
        <f>"Г ЕКАТЕРИНБУРГ"</f>
        <v>Г ЕКАТЕРИНБУРГ</v>
      </c>
      <c r="S1889" t="str">
        <f>""</f>
        <v/>
      </c>
      <c r="T1889" t="str">
        <f>"УЛ МОСТОВАЯ"</f>
        <v>УЛ МОСТОВАЯ</v>
      </c>
      <c r="U1889" s="1" t="str">
        <f>"53"</f>
        <v>53</v>
      </c>
      <c r="V1889" s="1" t="str">
        <f>""</f>
        <v/>
      </c>
      <c r="W1889" s="1" t="str">
        <f>""</f>
        <v/>
      </c>
      <c r="X1889" s="1" t="str">
        <f>""</f>
        <v/>
      </c>
      <c r="Y1889" s="1" t="str">
        <f>"70"</f>
        <v>70</v>
      </c>
      <c r="Z1889" t="str">
        <f>""</f>
        <v/>
      </c>
      <c r="AA1889" t="str">
        <f>"9126786705"</f>
        <v>9126786705</v>
      </c>
      <c r="AB1889" t="str">
        <f>"9126786705"</f>
        <v>9126786705</v>
      </c>
      <c r="AC1889" t="str">
        <f>"9126786705"</f>
        <v>9126786705</v>
      </c>
      <c r="AD1889" t="str">
        <f>"9126786705"</f>
        <v>9126786705</v>
      </c>
      <c r="AE1889" t="str">
        <f>""</f>
        <v/>
      </c>
    </row>
    <row r="1890" spans="1:31" x14ac:dyDescent="0.45">
      <c r="A1890" t="str">
        <f>"АНТОШЕЧКИНА ФАРИДА ФАУЗИЕВНА"</f>
        <v>АНТОШЕЧКИНА ФАРИДА ФАУЗИЕВНА</v>
      </c>
      <c r="B1890" t="str">
        <f>"1957-11-08"</f>
        <v>1957-11-08</v>
      </c>
      <c r="C1890" t="str">
        <f>"65 18 723828"</f>
        <v>65 18 723828</v>
      </c>
      <c r="D1890" t="str">
        <f>"5313100305537986"</f>
        <v>5313100305537986</v>
      </c>
      <c r="E1890" t="str">
        <f>"2020-11-30"</f>
        <v>2020-11-30</v>
      </c>
      <c r="F1890" t="str">
        <f>"Q"</f>
        <v>Q</v>
      </c>
      <c r="G1890" t="str">
        <f>"Q"</f>
        <v>Q</v>
      </c>
      <c r="H1890" t="str">
        <f>"40817810616991470481"</f>
        <v>40817810616991470481</v>
      </c>
      <c r="I1890" t="str">
        <f>"7003"</f>
        <v>7003</v>
      </c>
      <c r="J1890" t="str">
        <f>"0558"</f>
        <v>0558</v>
      </c>
      <c r="K1890" t="str">
        <f>"0.00"</f>
        <v>0.00</v>
      </c>
      <c r="L1890" t="str">
        <f>"620000 ОБЛ СВЕРДЛОВСКАЯ   Г СЕРОВ   УЛ АГЛОМЕРАТЧИКОВ д. 4"</f>
        <v>620000 ОБЛ СВЕРДЛОВСКАЯ   Г СЕРОВ   УЛ АГЛОМЕРАТЧИКОВ д. 4</v>
      </c>
      <c r="M1890" t="str">
        <f t="shared" si="326"/>
        <v>2019-08-24</v>
      </c>
      <c r="N1890" t="str">
        <f>"МЕХАНИЧЕСКИЙ ЗАВОД"</f>
        <v>МЕХАНИЧЕСКИЙ ЗАВОД</v>
      </c>
      <c r="O1890" t="str">
        <f>"624992"</f>
        <v>624992</v>
      </c>
      <c r="P1890" t="str">
        <f>"ОБЛ СВЕРДЛОВСКАЯ"</f>
        <v>ОБЛ СВЕРДЛОВСКАЯ</v>
      </c>
      <c r="Q1890" t="str">
        <f>""</f>
        <v/>
      </c>
      <c r="R1890" t="str">
        <f>"Г СЕРОВ"</f>
        <v>Г СЕРОВ</v>
      </c>
      <c r="S1890" t="str">
        <f>""</f>
        <v/>
      </c>
      <c r="T1890" t="str">
        <f>"УЛ ВЯТЧИНО"</f>
        <v>УЛ ВЯТЧИНО</v>
      </c>
      <c r="U1890" s="1" t="str">
        <f>"16"</f>
        <v>16</v>
      </c>
      <c r="V1890" s="1" t="str">
        <f>""</f>
        <v/>
      </c>
      <c r="W1890" s="1" t="str">
        <f>""</f>
        <v/>
      </c>
      <c r="X1890" s="1" t="str">
        <f>""</f>
        <v/>
      </c>
      <c r="Y1890" s="1" t="str">
        <f>"60"</f>
        <v>60</v>
      </c>
      <c r="Z1890" t="str">
        <f>""</f>
        <v/>
      </c>
      <c r="AA1890" t="str">
        <f>"9533896880"</f>
        <v>9533896880</v>
      </c>
      <c r="AB1890" t="str">
        <f>"9000448926"</f>
        <v>9000448926</v>
      </c>
      <c r="AC1890" t="str">
        <f>"9533896880"</f>
        <v>9533896880</v>
      </c>
      <c r="AD1890" t="str">
        <f>"9533896880"</f>
        <v>9533896880</v>
      </c>
      <c r="AE1890" t="str">
        <f>""</f>
        <v/>
      </c>
    </row>
    <row r="1891" spans="1:31" x14ac:dyDescent="0.45">
      <c r="A1891" t="str">
        <f>"ХОНИНА АНАСТАСИЯ ВИТАЛЬЕВНА"</f>
        <v>ХОНИНА АНАСТАСИЯ ВИТАЛЬЕВНА</v>
      </c>
      <c r="B1891" t="str">
        <f>"1989-04-30"</f>
        <v>1989-04-30</v>
      </c>
      <c r="C1891" t="str">
        <f>"71 09 706151"</f>
        <v>71 09 706151</v>
      </c>
      <c r="D1891" t="str">
        <f>"4854630079600519"</f>
        <v>4854630079600519</v>
      </c>
      <c r="E1891" t="str">
        <f>"2021-05-31"</f>
        <v>2021-05-31</v>
      </c>
      <c r="F1891" t="str">
        <f t="shared" ref="F1891:G1904" si="331">"+"</f>
        <v>+</v>
      </c>
      <c r="G1891" t="str">
        <f t="shared" si="331"/>
        <v>+</v>
      </c>
      <c r="H1891" t="str">
        <f>"40817810916992195410"</f>
        <v>40817810916992195410</v>
      </c>
      <c r="I1891" t="str">
        <f>"8647"</f>
        <v>8647</v>
      </c>
      <c r="J1891" t="str">
        <f>"0216"</f>
        <v>0216</v>
      </c>
      <c r="K1891" t="str">
        <f>"80000.00"</f>
        <v>80000.00</v>
      </c>
      <c r="L1891" t="str">
        <f>"627140 ОБЛ ТЮМЕНСКАЯ Р-Н ЗАВОДОУКОВСКИЙ   С ПЕРШИНО УЛ ЦЕНТРАЛЬНАЯ д. 1"</f>
        <v>627140 ОБЛ ТЮМЕНСКАЯ Р-Н ЗАВОДОУКОВСКИЙ   С ПЕРШИНО УЛ ЦЕНТРАЛЬНАЯ д. 1</v>
      </c>
      <c r="M1891" t="str">
        <f t="shared" si="326"/>
        <v>2019-08-24</v>
      </c>
      <c r="N1891" t="str">
        <f>"ООО ПЕРШИНО"</f>
        <v>ООО ПЕРШИНО</v>
      </c>
      <c r="O1891" t="str">
        <f>"627140"</f>
        <v>627140</v>
      </c>
      <c r="P1891" t="str">
        <f>"ОБЛ ТЮМЕНСКАЯ"</f>
        <v>ОБЛ ТЮМЕНСКАЯ</v>
      </c>
      <c r="Q1891" t="str">
        <f>"Р-Н ЗАВОДОУКОВСКИЙ"</f>
        <v>Р-Н ЗАВОДОУКОВСКИЙ</v>
      </c>
      <c r="R1891" t="str">
        <f>""</f>
        <v/>
      </c>
      <c r="S1891" t="str">
        <f>"С ПАДУН"</f>
        <v>С ПАДУН</v>
      </c>
      <c r="T1891" t="str">
        <f>"УЛ БРАТЬЕВ НЕУСТРОЕВЫХ"</f>
        <v>УЛ БРАТЬЕВ НЕУСТРОЕВЫХ</v>
      </c>
      <c r="U1891" s="1" t="str">
        <f>"13"</f>
        <v>13</v>
      </c>
      <c r="V1891" s="1" t="str">
        <f>""</f>
        <v/>
      </c>
      <c r="W1891" s="1" t="str">
        <f>""</f>
        <v/>
      </c>
      <c r="X1891" s="1" t="str">
        <f>""</f>
        <v/>
      </c>
      <c r="Y1891" s="1" t="str">
        <f>"2"</f>
        <v>2</v>
      </c>
      <c r="Z1891" t="str">
        <f>""</f>
        <v/>
      </c>
      <c r="AA1891" t="str">
        <f>"9120789913"</f>
        <v>9120789913</v>
      </c>
      <c r="AB1891" t="str">
        <f>"9829379533"</f>
        <v>9829379533</v>
      </c>
      <c r="AC1891" t="str">
        <f>"9120789913"</f>
        <v>9120789913</v>
      </c>
      <c r="AD1891" t="str">
        <f>"9829379533"</f>
        <v>9829379533</v>
      </c>
      <c r="AE1891" t="str">
        <f>""</f>
        <v/>
      </c>
    </row>
    <row r="1892" spans="1:31" x14ac:dyDescent="0.45">
      <c r="A1892" t="str">
        <f>"КОЗЫРИНА ТАТЬЯНА ГРИГОРЬЕВНА"</f>
        <v>КОЗЫРИНА ТАТЬЯНА ГРИГОРЬЕВНА</v>
      </c>
      <c r="B1892" t="str">
        <f>"1953-12-04"</f>
        <v>1953-12-04</v>
      </c>
      <c r="C1892" t="str">
        <f>"65 03 201356"</f>
        <v>65 03 201356</v>
      </c>
      <c r="D1892" t="str">
        <f>"4854630380165871"</f>
        <v>4854630380165871</v>
      </c>
      <c r="E1892" t="str">
        <f>"2021-04-30"</f>
        <v>2021-04-30</v>
      </c>
      <c r="F1892" t="str">
        <f t="shared" si="331"/>
        <v>+</v>
      </c>
      <c r="G1892" t="str">
        <f t="shared" si="331"/>
        <v>+</v>
      </c>
      <c r="H1892" t="str">
        <f>"40817810316991470516"</f>
        <v>40817810316991470516</v>
      </c>
      <c r="I1892" t="str">
        <f>"7003"</f>
        <v>7003</v>
      </c>
      <c r="J1892" t="str">
        <f>"0799"</f>
        <v>0799</v>
      </c>
      <c r="K1892" t="str">
        <f>"30000.00"</f>
        <v>30000.00</v>
      </c>
      <c r="L1892" t="str">
        <f>"620036 ОБЛ СВЕРДЛОВСКАЯ   Г БЕРЕЗОВСКИЙ   УЛ ШИЛОВСКАЯ д. 28"</f>
        <v>620036 ОБЛ СВЕРДЛОВСКАЯ   Г БЕРЕЗОВСКИЙ   УЛ ШИЛОВСКАЯ д. 28</v>
      </c>
      <c r="M1892" t="str">
        <f t="shared" si="326"/>
        <v>2019-08-24</v>
      </c>
      <c r="N1892" t="str">
        <f>"ГБУЗ СО ЦГБ"</f>
        <v>ГБУЗ СО ЦГБ</v>
      </c>
      <c r="O1892" t="str">
        <f>"620036"</f>
        <v>620036</v>
      </c>
      <c r="P1892" t="str">
        <f>"ОБЛ СВЕРДЛОВСКАЯ"</f>
        <v>ОБЛ СВЕРДЛОВСКАЯ</v>
      </c>
      <c r="Q1892" t="str">
        <f>""</f>
        <v/>
      </c>
      <c r="R1892" t="str">
        <f>"Г ЕКАТЕРИНБУРГ"</f>
        <v>Г ЕКАТЕРИНБУРГ</v>
      </c>
      <c r="S1892" t="str">
        <f>""</f>
        <v/>
      </c>
      <c r="T1892" t="str">
        <f>"УЛ СОБОЛЕВА"</f>
        <v>УЛ СОБОЛЕВА</v>
      </c>
      <c r="U1892" s="1" t="str">
        <f>"21"</f>
        <v>21</v>
      </c>
      <c r="V1892" s="1" t="str">
        <f>""</f>
        <v/>
      </c>
      <c r="W1892" s="1" t="str">
        <f>"4"</f>
        <v>4</v>
      </c>
      <c r="X1892" s="1" t="str">
        <f>""</f>
        <v/>
      </c>
      <c r="Y1892" s="1" t="str">
        <f>"71"</f>
        <v>71</v>
      </c>
      <c r="Z1892" t="str">
        <f>"9028795163"</f>
        <v>9028795163</v>
      </c>
      <c r="AA1892" t="str">
        <f>"9028795163"</f>
        <v>9028795163</v>
      </c>
      <c r="AB1892" t="str">
        <f>"9028795163"</f>
        <v>9028795163</v>
      </c>
      <c r="AC1892" t="str">
        <f>"9028795163"</f>
        <v>9028795163</v>
      </c>
      <c r="AD1892" t="str">
        <f>"9028795163"</f>
        <v>9028795163</v>
      </c>
      <c r="AE1892" t="str">
        <f>"9028795163"</f>
        <v>9028795163</v>
      </c>
    </row>
    <row r="1893" spans="1:31" x14ac:dyDescent="0.45">
      <c r="A1893" t="str">
        <f>"КУВАТОВА САНДУГАЧ МАРАТОВНА"</f>
        <v>КУВАТОВА САНДУГАЧ МАРАТОВНА</v>
      </c>
      <c r="B1893" t="str">
        <f>"1981-12-02"</f>
        <v>1981-12-02</v>
      </c>
      <c r="C1893" t="str">
        <f>"80 01 515628"</f>
        <v>80 01 515628</v>
      </c>
      <c r="D1893" t="str">
        <f>"4854630357357246"</f>
        <v>4854630357357246</v>
      </c>
      <c r="E1893" t="str">
        <f>"2021-04-30"</f>
        <v>2021-04-30</v>
      </c>
      <c r="F1893" t="str">
        <f t="shared" si="331"/>
        <v>+</v>
      </c>
      <c r="G1893" t="str">
        <f t="shared" si="331"/>
        <v>+</v>
      </c>
      <c r="H1893" t="str">
        <f>"40817810616991470517"</f>
        <v>40817810616991470517</v>
      </c>
      <c r="I1893" t="str">
        <f>"8598"</f>
        <v>8598</v>
      </c>
      <c r="J1893" t="str">
        <f>"0736"</f>
        <v>0736</v>
      </c>
      <c r="K1893" t="str">
        <f>"12000.00"</f>
        <v>12000.00</v>
      </c>
      <c r="L1893" t="str">
        <f>"450000 РЕСП БАШКОРТОСТАН   Г БАЙМАК   УЛ МИРА д. 9"</f>
        <v>450000 РЕСП БАШКОРТОСТАН   Г БАЙМАК   УЛ МИРА д. 9</v>
      </c>
      <c r="M1893" t="str">
        <f t="shared" si="326"/>
        <v>2019-08-24</v>
      </c>
      <c r="N1893" t="str">
        <f>"ГБУЗ РБ БАЙМАКСКАЯ ЦГБ"</f>
        <v>ГБУЗ РБ БАЙМАКСКАЯ ЦГБ</v>
      </c>
      <c r="O1893" t="str">
        <f>"450000"</f>
        <v>450000</v>
      </c>
      <c r="P1893" t="str">
        <f>"РЕСП БАШКОРТОСТАН"</f>
        <v>РЕСП БАШКОРТОСТАН</v>
      </c>
      <c r="Q1893" t="str">
        <f>""</f>
        <v/>
      </c>
      <c r="R1893" t="str">
        <f>"Г БАЙМАК"</f>
        <v>Г БАЙМАК</v>
      </c>
      <c r="S1893" t="str">
        <f>""</f>
        <v/>
      </c>
      <c r="T1893" t="str">
        <f>"УЛ ШАЙМУРАТОВА"</f>
        <v>УЛ ШАЙМУРАТОВА</v>
      </c>
      <c r="U1893" s="1" t="str">
        <f>"78Б"</f>
        <v>78Б</v>
      </c>
      <c r="V1893" s="1" t="str">
        <f>""</f>
        <v/>
      </c>
      <c r="W1893" s="1" t="str">
        <f>""</f>
        <v/>
      </c>
      <c r="X1893" s="1" t="str">
        <f>""</f>
        <v/>
      </c>
      <c r="Y1893" s="1" t="str">
        <f>""</f>
        <v/>
      </c>
      <c r="Z1893" t="str">
        <f>"3475122671"</f>
        <v>3475122671</v>
      </c>
      <c r="AA1893" t="str">
        <f>"9603828410"</f>
        <v>9603828410</v>
      </c>
      <c r="AB1893" t="str">
        <f>"9656576007"</f>
        <v>9656576007</v>
      </c>
      <c r="AC1893" t="str">
        <f>"9603828410"</f>
        <v>9603828410</v>
      </c>
      <c r="AD1893" t="str">
        <f>"9656576007"</f>
        <v>9656576007</v>
      </c>
      <c r="AE1893" t="str">
        <f>""</f>
        <v/>
      </c>
    </row>
    <row r="1894" spans="1:31" x14ac:dyDescent="0.45">
      <c r="A1894" t="str">
        <f>"МЕДВЕДКОВА ЕЛЕНА ВАЛЕРЬЕВНА"</f>
        <v>МЕДВЕДКОВА ЕЛЕНА ВАЛЕРЬЕВНА</v>
      </c>
      <c r="B1894" t="str">
        <f>"1966-05-23"</f>
        <v>1966-05-23</v>
      </c>
      <c r="C1894" t="str">
        <f>"75 10 877075"</f>
        <v>75 10 877075</v>
      </c>
      <c r="D1894" t="str">
        <f>"4854630375910505"</f>
        <v>4854630375910505</v>
      </c>
      <c r="E1894" t="str">
        <f>"2021-04-30"</f>
        <v>2021-04-30</v>
      </c>
      <c r="F1894" t="str">
        <f t="shared" si="331"/>
        <v>+</v>
      </c>
      <c r="G1894" t="str">
        <f t="shared" si="331"/>
        <v>+</v>
      </c>
      <c r="H1894" t="str">
        <f>"40817810916992194916"</f>
        <v>40817810916992194916</v>
      </c>
      <c r="I1894" t="str">
        <f>"8369"</f>
        <v>8369</v>
      </c>
      <c r="J1894" t="str">
        <f>"0003"</f>
        <v>0003</v>
      </c>
      <c r="K1894" t="str">
        <f>"110000.00"</f>
        <v>110000.00</v>
      </c>
      <c r="L1894" t="str">
        <f>"629300 ОБЛ ТЮМЕНСКАЯ   Г НОВЫЙ УРЕНГОЙ   ПР-КТ ЛЕНИНГРАДСКИЙ д. 11"</f>
        <v>629300 ОБЛ ТЮМЕНСКАЯ   Г НОВЫЙ УРЕНГОЙ   ПР-КТ ЛЕНИНГРАДСКИЙ д. 11</v>
      </c>
      <c r="M1894" t="str">
        <f t="shared" si="326"/>
        <v>2019-08-24</v>
      </c>
      <c r="N1894" t="str">
        <f>"ЗАО ТАНДЕР"</f>
        <v>ЗАО ТАНДЕР</v>
      </c>
      <c r="O1894" t="str">
        <f>"454000"</f>
        <v>454000</v>
      </c>
      <c r="P1894" t="str">
        <f>"ОБЛ ЧЕЛЯБИНСКАЯ"</f>
        <v>ОБЛ ЧЕЛЯБИНСКАЯ</v>
      </c>
      <c r="Q1894" t="str">
        <f>""</f>
        <v/>
      </c>
      <c r="R1894" t="str">
        <f>"Г МАГНИТОГОРСК"</f>
        <v>Г МАГНИТОГОРСК</v>
      </c>
      <c r="S1894" t="str">
        <f>""</f>
        <v/>
      </c>
      <c r="T1894" t="str">
        <f>"УЛ КОРСИКОВА"</f>
        <v>УЛ КОРСИКОВА</v>
      </c>
      <c r="U1894" s="1" t="str">
        <f>"5"</f>
        <v>5</v>
      </c>
      <c r="V1894" s="1" t="str">
        <f>""</f>
        <v/>
      </c>
      <c r="W1894" s="1" t="str">
        <f>""</f>
        <v/>
      </c>
      <c r="X1894" s="1" t="str">
        <f>""</f>
        <v/>
      </c>
      <c r="Y1894" s="1" t="str">
        <f>"17"</f>
        <v>17</v>
      </c>
      <c r="Z1894" t="str">
        <f>"9124372947"</f>
        <v>9124372947</v>
      </c>
      <c r="AA1894" t="str">
        <f>"9026263152"</f>
        <v>9026263152</v>
      </c>
      <c r="AB1894" t="str">
        <f>"9026263152"</f>
        <v>9026263152</v>
      </c>
      <c r="AC1894" t="str">
        <f>"9026263152"</f>
        <v>9026263152</v>
      </c>
      <c r="AD1894" t="str">
        <f>"9026263152"</f>
        <v>9026263152</v>
      </c>
      <c r="AE1894" t="str">
        <f>"9124372947"</f>
        <v>9124372947</v>
      </c>
    </row>
    <row r="1895" spans="1:31" x14ac:dyDescent="0.45">
      <c r="A1895" t="str">
        <f>"РОМАЕВА МАРИЯ ГЕРМАНОВНА"</f>
        <v>РОМАЕВА МАРИЯ ГЕРМАНОВНА</v>
      </c>
      <c r="B1895" t="str">
        <f>"1987-08-01"</f>
        <v>1987-08-01</v>
      </c>
      <c r="C1895" t="str">
        <f>"67 06 717073"</f>
        <v>67 06 717073</v>
      </c>
      <c r="D1895" t="str">
        <f>"4854630429559837"</f>
        <v>4854630429559837</v>
      </c>
      <c r="E1895" t="str">
        <f>"2021-04-30"</f>
        <v>2021-04-30</v>
      </c>
      <c r="F1895" t="str">
        <f t="shared" si="331"/>
        <v>+</v>
      </c>
      <c r="G1895" t="str">
        <f t="shared" si="331"/>
        <v>+</v>
      </c>
      <c r="H1895" t="str">
        <f>"40817810216992302246"</f>
        <v>40817810216992302246</v>
      </c>
      <c r="I1895" t="str">
        <f>"5940"</f>
        <v>5940</v>
      </c>
      <c r="J1895" t="str">
        <f>"0115"</f>
        <v>0115</v>
      </c>
      <c r="K1895" t="str">
        <f>"105000.00"</f>
        <v>105000.00</v>
      </c>
      <c r="L1895" t="str">
        <f>"628600 ОБЛ ТЮМЕНСКАЯ   Г НИЖНЕВАРТОВСК   УЛ МИРА д. 1"</f>
        <v>628600 ОБЛ ТЮМЕНСКАЯ   Г НИЖНЕВАРТОВСК   УЛ МИРА д. 1</v>
      </c>
      <c r="M1895" t="str">
        <f t="shared" si="326"/>
        <v>2019-08-24</v>
      </c>
      <c r="N1895" t="s">
        <v>106</v>
      </c>
      <c r="O1895" t="str">
        <f>"628600"</f>
        <v>628600</v>
      </c>
      <c r="P1895" t="str">
        <f>"ОБЛ ТЮМЕНСКАЯ"</f>
        <v>ОБЛ ТЮМЕНСКАЯ</v>
      </c>
      <c r="Q1895" t="str">
        <f>""</f>
        <v/>
      </c>
      <c r="R1895" t="str">
        <f>"Г НИЖНЕВАРТОВСК"</f>
        <v>Г НИЖНЕВАРТОВСК</v>
      </c>
      <c r="S1895" t="str">
        <f>""</f>
        <v/>
      </c>
      <c r="T1895" t="str">
        <f>"УЛ СЕВЕРНАЯ"</f>
        <v>УЛ СЕВЕРНАЯ</v>
      </c>
      <c r="U1895" s="1" t="str">
        <f>"72"</f>
        <v>72</v>
      </c>
      <c r="V1895" s="1" t="str">
        <f>""</f>
        <v/>
      </c>
      <c r="W1895" s="1" t="str">
        <f>""</f>
        <v/>
      </c>
      <c r="X1895" s="1" t="str">
        <f>""</f>
        <v/>
      </c>
      <c r="Y1895" s="1" t="str">
        <f>"35"</f>
        <v>35</v>
      </c>
      <c r="Z1895" t="str">
        <f>"3466634314"</f>
        <v>3466634314</v>
      </c>
      <c r="AA1895" t="str">
        <f>"9226559685"</f>
        <v>9226559685</v>
      </c>
      <c r="AB1895" t="str">
        <f>"9226559685"</f>
        <v>9226559685</v>
      </c>
      <c r="AC1895" t="str">
        <f>"9226559685"</f>
        <v>9226559685</v>
      </c>
      <c r="AD1895" t="str">
        <f>"9226559685"</f>
        <v>9226559685</v>
      </c>
      <c r="AE1895" t="str">
        <f>"9226559685"</f>
        <v>9226559685</v>
      </c>
    </row>
    <row r="1896" spans="1:31" x14ac:dyDescent="0.45">
      <c r="A1896" t="str">
        <f>"ЗАКИРОВ АЛЕКСАНДР ИЛЬЯСОВИЧ"</f>
        <v>ЗАКИРОВ АЛЕКСАНДР ИЛЬЯСОВИЧ</v>
      </c>
      <c r="B1896" t="str">
        <f>"1977-02-07"</f>
        <v>1977-02-07</v>
      </c>
      <c r="C1896" t="str">
        <f>"71 97 089571"</f>
        <v>71 97 089571</v>
      </c>
      <c r="D1896" t="str">
        <f>"4279016709318002"</f>
        <v>4279016709318002</v>
      </c>
      <c r="E1896" t="str">
        <f>"2021-06-30"</f>
        <v>2021-06-30</v>
      </c>
      <c r="F1896" t="str">
        <f t="shared" si="331"/>
        <v>+</v>
      </c>
      <c r="G1896" t="str">
        <f>"W"</f>
        <v>W</v>
      </c>
      <c r="H1896" t="str">
        <f>"40817810016992060322"</f>
        <v>40817810016992060322</v>
      </c>
      <c r="I1896" t="str">
        <f>"8647"</f>
        <v>8647</v>
      </c>
      <c r="J1896" t="str">
        <f>"0113"</f>
        <v>0113</v>
      </c>
      <c r="K1896" t="str">
        <f>"27000.00"</f>
        <v>27000.00</v>
      </c>
      <c r="L1896" t="str">
        <f>"625000 ОБЛ ТЮМЕНСКАЯ   Г ТЮМЕНЬ   УЛ 30 ЛЕТ ПОБЕДЫ д. 134 кв. 27"</f>
        <v>625000 ОБЛ ТЮМЕНСКАЯ   Г ТЮМЕНЬ   УЛ 30 ЛЕТ ПОБЕДЫ д. 134 кв. 27</v>
      </c>
      <c r="M1896" t="str">
        <f t="shared" si="326"/>
        <v>2019-08-24</v>
      </c>
      <c r="N1896" t="str">
        <f>"НЕ РАБОТАЕТ"</f>
        <v>НЕ РАБОТАЕТ</v>
      </c>
      <c r="O1896" t="str">
        <f>"625000"</f>
        <v>625000</v>
      </c>
      <c r="P1896" t="str">
        <f>"ОБЛ ТЮМЕНСКАЯ"</f>
        <v>ОБЛ ТЮМЕНСКАЯ</v>
      </c>
      <c r="Q1896" t="str">
        <f>""</f>
        <v/>
      </c>
      <c r="R1896" t="str">
        <f>"Г ТЮМЕНЬ"</f>
        <v>Г ТЮМЕНЬ</v>
      </c>
      <c r="S1896" t="str">
        <f>""</f>
        <v/>
      </c>
      <c r="T1896" t="str">
        <f>"УЛ МАЛИНОВАЯ"</f>
        <v>УЛ МАЛИНОВАЯ</v>
      </c>
      <c r="U1896" s="1" t="str">
        <f>"346"</f>
        <v>346</v>
      </c>
      <c r="V1896" s="1" t="str">
        <f>""</f>
        <v/>
      </c>
      <c r="W1896" s="1" t="str">
        <f>""</f>
        <v/>
      </c>
      <c r="X1896" s="1" t="str">
        <f>""</f>
        <v/>
      </c>
      <c r="Y1896" s="1" t="str">
        <f>""</f>
        <v/>
      </c>
      <c r="Z1896" t="str">
        <f>""</f>
        <v/>
      </c>
      <c r="AA1896" t="str">
        <f>"9829101815"</f>
        <v>9829101815</v>
      </c>
      <c r="AB1896" t="str">
        <f>"9829106453"</f>
        <v>9829106453</v>
      </c>
      <c r="AC1896" t="str">
        <f>"9829101815"</f>
        <v>9829101815</v>
      </c>
      <c r="AD1896" t="str">
        <f>"9829106453"</f>
        <v>9829106453</v>
      </c>
      <c r="AE1896" t="str">
        <f>""</f>
        <v/>
      </c>
    </row>
    <row r="1897" spans="1:31" x14ac:dyDescent="0.45">
      <c r="A1897" t="str">
        <f>"НОВОПАШИНА СВЕТЛАНА НИКОЛАЕВНА"</f>
        <v>НОВОПАШИНА СВЕТЛАНА НИКОЛАЕВНА</v>
      </c>
      <c r="B1897" t="str">
        <f>"1973-05-31"</f>
        <v>1973-05-31</v>
      </c>
      <c r="C1897" t="str">
        <f>"71 18 367177"</f>
        <v>71 18 367177</v>
      </c>
      <c r="D1897" t="str">
        <f>"4279016718346002"</f>
        <v>4279016718346002</v>
      </c>
      <c r="E1897" t="str">
        <f>"2021-06-30"</f>
        <v>2021-06-30</v>
      </c>
      <c r="F1897" t="str">
        <f t="shared" si="331"/>
        <v>+</v>
      </c>
      <c r="G1897" t="str">
        <f>"+"</f>
        <v>+</v>
      </c>
      <c r="H1897" t="str">
        <f>"40817810516992060440"</f>
        <v>40817810516992060440</v>
      </c>
      <c r="I1897" t="str">
        <f>"8647"</f>
        <v>8647</v>
      </c>
      <c r="J1897" t="str">
        <f>"0181"</f>
        <v>0181</v>
      </c>
      <c r="K1897" t="str">
        <f>"20000.00"</f>
        <v>20000.00</v>
      </c>
      <c r="L1897" t="str">
        <f>"625000 ОБЛ ТЮМЕНСКАЯ   Г ТЮМЕНЬ   УЛ АККУМУЛЯТОРНАЯ д. 3"</f>
        <v>625000 ОБЛ ТЮМЕНСКАЯ   Г ТЮМЕНЬ   УЛ АККУМУЛЯТОРНАЯ д. 3</v>
      </c>
      <c r="M1897" t="str">
        <f t="shared" si="326"/>
        <v>2019-08-24</v>
      </c>
      <c r="N1897" t="str">
        <f>"ООО АКМО"</f>
        <v>ООО АКМО</v>
      </c>
      <c r="O1897" t="str">
        <f>"625000"</f>
        <v>625000</v>
      </c>
      <c r="P1897" t="str">
        <f>"ОБЛ ТЮМЕНСКАЯ"</f>
        <v>ОБЛ ТЮМЕНСКАЯ</v>
      </c>
      <c r="Q1897" t="str">
        <f>""</f>
        <v/>
      </c>
      <c r="R1897" t="str">
        <f>"Г ТЮМЕНЬ"</f>
        <v>Г ТЮМЕНЬ</v>
      </c>
      <c r="S1897" t="str">
        <f>""</f>
        <v/>
      </c>
      <c r="T1897" t="str">
        <f>"УЛ ЯМСКАЯ"</f>
        <v>УЛ ЯМСКАЯ</v>
      </c>
      <c r="U1897" s="1" t="str">
        <f>"98В"</f>
        <v>98В</v>
      </c>
      <c r="V1897" s="1" t="str">
        <f>""</f>
        <v/>
      </c>
      <c r="W1897" s="1" t="str">
        <f>""</f>
        <v/>
      </c>
      <c r="X1897" s="1" t="str">
        <f>""</f>
        <v/>
      </c>
      <c r="Y1897" s="1" t="str">
        <f>"416"</f>
        <v>416</v>
      </c>
      <c r="Z1897" t="str">
        <f>""</f>
        <v/>
      </c>
      <c r="AA1897" t="str">
        <f>"3452676135"</f>
        <v>3452676135</v>
      </c>
      <c r="AB1897" t="str">
        <f>"9222652942"</f>
        <v>9222652942</v>
      </c>
      <c r="AC1897" t="str">
        <f>"3452676135"</f>
        <v>3452676135</v>
      </c>
      <c r="AD1897" t="str">
        <f>"9222652942"</f>
        <v>9222652942</v>
      </c>
      <c r="AE1897" t="str">
        <f>""</f>
        <v/>
      </c>
    </row>
    <row r="1898" spans="1:31" x14ac:dyDescent="0.45">
      <c r="A1898" t="str">
        <f>"АКСЕНОВ АЛЕКСЕЙ ВЛАДИМИРОВИЧ"</f>
        <v>АКСЕНОВ АЛЕКСЕЙ ВЛАДИМИРОВИЧ</v>
      </c>
      <c r="B1898" t="str">
        <f>"1984-12-03"</f>
        <v>1984-12-03</v>
      </c>
      <c r="C1898" t="str">
        <f>"67 05 514565"</f>
        <v>67 05 514565</v>
      </c>
      <c r="D1898" t="str">
        <f>"4276016708964619"</f>
        <v>4276016708964619</v>
      </c>
      <c r="E1898" t="str">
        <f>"2021-06-30"</f>
        <v>2021-06-30</v>
      </c>
      <c r="F1898" t="str">
        <f t="shared" si="331"/>
        <v>+</v>
      </c>
      <c r="G1898" t="str">
        <f>"+"</f>
        <v>+</v>
      </c>
      <c r="H1898" t="str">
        <f>"40817810116992060374"</f>
        <v>40817810116992060374</v>
      </c>
      <c r="I1898" t="str">
        <f>"5940"</f>
        <v>5940</v>
      </c>
      <c r="J1898" t="str">
        <f>"0052"</f>
        <v>0052</v>
      </c>
      <c r="K1898" t="str">
        <f>"50000.00"</f>
        <v>50000.00</v>
      </c>
      <c r="L1898" t="str">
        <f>"628400 АО ХАНТЫ-МАНСИЙСКИЙ   Г СУРГУТ   УЛ ТЕХНОЛОГИЧЕСКАЯ д. 5"</f>
        <v>628400 АО ХАНТЫ-МАНСИЙСКИЙ   Г СУРГУТ   УЛ ТЕХНОЛОГИЧЕСКАЯ д. 5</v>
      </c>
      <c r="M1898" t="str">
        <f t="shared" si="326"/>
        <v>2019-08-24</v>
      </c>
      <c r="N1898" t="str">
        <f>"СУРГУТНЕФТЕГАЗ"</f>
        <v>СУРГУТНЕФТЕГАЗ</v>
      </c>
      <c r="O1898" t="str">
        <f>"628400"</f>
        <v>628400</v>
      </c>
      <c r="P1898" t="str">
        <f>"ОБЛ ТЮМЕНСКАЯ"</f>
        <v>ОБЛ ТЮМЕНСКАЯ</v>
      </c>
      <c r="Q1898" t="str">
        <f>""</f>
        <v/>
      </c>
      <c r="R1898" t="str">
        <f>"Г СУРГУТ"</f>
        <v>Г СУРГУТ</v>
      </c>
      <c r="S1898" t="str">
        <f>""</f>
        <v/>
      </c>
      <c r="T1898" t="str">
        <f>"УЛ КРЫЛОВА"</f>
        <v>УЛ КРЫЛОВА</v>
      </c>
      <c r="U1898" s="1" t="str">
        <f>"32"</f>
        <v>32</v>
      </c>
      <c r="V1898" s="1" t="str">
        <f>""</f>
        <v/>
      </c>
      <c r="W1898" s="1" t="str">
        <f>""</f>
        <v/>
      </c>
      <c r="X1898" s="1" t="str">
        <f>""</f>
        <v/>
      </c>
      <c r="Y1898" s="1" t="str">
        <f>"688"</f>
        <v>688</v>
      </c>
      <c r="Z1898" t="str">
        <f>"3462432294"</f>
        <v>3462432294</v>
      </c>
      <c r="AA1898" t="str">
        <f>""</f>
        <v/>
      </c>
      <c r="AB1898" t="str">
        <f>"9003889630"</f>
        <v>9003889630</v>
      </c>
      <c r="AC1898" t="str">
        <f>""</f>
        <v/>
      </c>
      <c r="AD1898" t="str">
        <f>"9003889630"</f>
        <v>9003889630</v>
      </c>
      <c r="AE1898" t="str">
        <f>"3462432294"</f>
        <v>3462432294</v>
      </c>
    </row>
    <row r="1899" spans="1:31" x14ac:dyDescent="0.45">
      <c r="A1899" t="str">
        <f>"МУРСАТОВА СВЕТЛАНА ВАСИЛЬЕВНА"</f>
        <v>МУРСАТОВА СВЕТЛАНА ВАСИЛЬЕВНА</v>
      </c>
      <c r="B1899" t="str">
        <f>"1974-05-02"</f>
        <v>1974-05-02</v>
      </c>
      <c r="C1899" t="str">
        <f>"65 05 589810"</f>
        <v>65 05 589810</v>
      </c>
      <c r="D1899" t="str">
        <f>"4279016744258783"</f>
        <v>4279016744258783</v>
      </c>
      <c r="E1899" t="str">
        <f>"2021-06-30"</f>
        <v>2021-06-30</v>
      </c>
      <c r="F1899" t="str">
        <f t="shared" si="331"/>
        <v>+</v>
      </c>
      <c r="G1899" t="str">
        <f>"+"</f>
        <v>+</v>
      </c>
      <c r="H1899" t="str">
        <f>"40817810416992061918"</f>
        <v>40817810416992061918</v>
      </c>
      <c r="I1899" t="str">
        <f>"5940"</f>
        <v>5940</v>
      </c>
      <c r="J1899" t="str">
        <f>"0081"</f>
        <v>0081</v>
      </c>
      <c r="K1899" t="str">
        <f>"98000.00"</f>
        <v>98000.00</v>
      </c>
      <c r="L1899" t="str">
        <f>"628400 ОБЛ ТЮМЕНСКАЯ   Г СУРГУТ   УЛ 30 ЛЕТ ПОБЕДЫ д. 46"</f>
        <v>628400 ОБЛ ТЮМЕНСКАЯ   Г СУРГУТ   УЛ 30 ЛЕТ ПОБЕДЫ д. 46</v>
      </c>
      <c r="M1899" t="str">
        <f t="shared" si="326"/>
        <v>2019-08-24</v>
      </c>
      <c r="N1899" t="str">
        <f>"ТД ПЕРЕКРЕСТОК"</f>
        <v>ТД ПЕРЕКРЕСТОК</v>
      </c>
      <c r="O1899" t="str">
        <f>"620000"</f>
        <v>620000</v>
      </c>
      <c r="P1899" t="str">
        <f>"ОБЛ СВЕРДЛОВСКАЯ"</f>
        <v>ОБЛ СВЕРДЛОВСКАЯ</v>
      </c>
      <c r="Q1899" t="str">
        <f>""</f>
        <v/>
      </c>
      <c r="R1899" t="str">
        <f>"Г КРАСНОУФИМСК"</f>
        <v>Г КРАСНОУФИМСК</v>
      </c>
      <c r="S1899" t="str">
        <f>""</f>
        <v/>
      </c>
      <c r="T1899" t="str">
        <f>"УЛ ГОРЬКОГО"</f>
        <v>УЛ ГОРЬКОГО</v>
      </c>
      <c r="U1899" s="1" t="str">
        <f>"25"</f>
        <v>25</v>
      </c>
      <c r="V1899" s="1" t="str">
        <f>""</f>
        <v/>
      </c>
      <c r="W1899" s="1" t="str">
        <f>""</f>
        <v/>
      </c>
      <c r="X1899" s="1" t="str">
        <f>""</f>
        <v/>
      </c>
      <c r="Y1899" s="1" t="str">
        <f>""</f>
        <v/>
      </c>
      <c r="Z1899" t="str">
        <f>""</f>
        <v/>
      </c>
      <c r="AA1899" t="str">
        <f>"9630710100"</f>
        <v>9630710100</v>
      </c>
      <c r="AB1899" t="str">
        <f>"9641702675"</f>
        <v>9641702675</v>
      </c>
      <c r="AC1899" t="str">
        <f>"9630710100"</f>
        <v>9630710100</v>
      </c>
      <c r="AD1899" t="str">
        <f>"9641702675"</f>
        <v>9641702675</v>
      </c>
      <c r="AE1899" t="str">
        <f>""</f>
        <v/>
      </c>
    </row>
    <row r="1900" spans="1:31" x14ac:dyDescent="0.45">
      <c r="A1900" t="str">
        <f>"ЛУНЕВ МИХАИЛ ВИКТОРОВИЧ"</f>
        <v>ЛУНЕВ МИХАИЛ ВИКТОРОВИЧ</v>
      </c>
      <c r="B1900" t="str">
        <f>"1970-03-18"</f>
        <v>1970-03-18</v>
      </c>
      <c r="C1900" t="str">
        <f>"71 14 124111"</f>
        <v>71 14 124111</v>
      </c>
      <c r="D1900" t="str">
        <f>"4279016723772770"</f>
        <v>4279016723772770</v>
      </c>
      <c r="E1900" t="str">
        <f>"2021-06-30"</f>
        <v>2021-06-30</v>
      </c>
      <c r="F1900" t="str">
        <f t="shared" si="331"/>
        <v>+</v>
      </c>
      <c r="G1900" t="str">
        <f>"+"</f>
        <v>+</v>
      </c>
      <c r="H1900" t="str">
        <f>"40817810716992350497"</f>
        <v>40817810716992350497</v>
      </c>
      <c r="I1900" t="str">
        <f>"8647"</f>
        <v>8647</v>
      </c>
      <c r="J1900" t="str">
        <f>"0118"</f>
        <v>0118</v>
      </c>
      <c r="K1900" t="str">
        <f>"39000.00"</f>
        <v>39000.00</v>
      </c>
      <c r="L1900" t="str">
        <f>"628500 ОБЛ ТЮМЕНСКАЯ   Г ТЮМЕНЬ   УЛ МЕЛЬНИКАЙТЕ д. 48 кв. 68"</f>
        <v>628500 ОБЛ ТЮМЕНСКАЯ   Г ТЮМЕНЬ   УЛ МЕЛЬНИКАЙТЕ д. 48 кв. 68</v>
      </c>
      <c r="M1900" t="str">
        <f t="shared" si="326"/>
        <v>2019-08-24</v>
      </c>
      <c r="N1900" t="str">
        <f>"НЕ РАБОТАЕТ"</f>
        <v>НЕ РАБОТАЕТ</v>
      </c>
      <c r="O1900" t="str">
        <f>"628500"</f>
        <v>628500</v>
      </c>
      <c r="P1900" t="str">
        <f>"ОБЛ ТЮМЕНСКАЯ"</f>
        <v>ОБЛ ТЮМЕНСКАЯ</v>
      </c>
      <c r="Q1900" t="str">
        <f>""</f>
        <v/>
      </c>
      <c r="R1900" t="str">
        <f>"Г ТЮМЕНЬ"</f>
        <v>Г ТЮМЕНЬ</v>
      </c>
      <c r="S1900" t="str">
        <f>""</f>
        <v/>
      </c>
      <c r="T1900" t="str">
        <f>"УЛ МЕЛЬНИКАЙТЕ"</f>
        <v>УЛ МЕЛЬНИКАЙТЕ</v>
      </c>
      <c r="U1900" s="1" t="str">
        <f>"48"</f>
        <v>48</v>
      </c>
      <c r="V1900" s="1" t="str">
        <f>""</f>
        <v/>
      </c>
      <c r="W1900" s="1" t="str">
        <f>""</f>
        <v/>
      </c>
      <c r="X1900" s="1" t="str">
        <f>""</f>
        <v/>
      </c>
      <c r="Y1900" s="1" t="str">
        <f>"68"</f>
        <v>68</v>
      </c>
      <c r="Z1900" t="str">
        <f>""</f>
        <v/>
      </c>
      <c r="AA1900" t="str">
        <f>"9111231304"</f>
        <v>9111231304</v>
      </c>
      <c r="AB1900" t="str">
        <f>"9222661214"</f>
        <v>9222661214</v>
      </c>
      <c r="AC1900" t="str">
        <f>"9111231304"</f>
        <v>9111231304</v>
      </c>
      <c r="AD1900" t="str">
        <f>"9222661214"</f>
        <v>9222661214</v>
      </c>
      <c r="AE1900" t="str">
        <f>""</f>
        <v/>
      </c>
    </row>
    <row r="1901" spans="1:31" x14ac:dyDescent="0.45">
      <c r="A1901" t="str">
        <f>"АХМАДУЛЛИН САГИТ ТАЛГАТОВИЧ"</f>
        <v>АХМАДУЛЛИН САГИТ ТАЛГАТОВИЧ</v>
      </c>
      <c r="B1901" t="str">
        <f>"1959-04-09"</f>
        <v>1959-04-09</v>
      </c>
      <c r="C1901" t="str">
        <f>"80 17 547738"</f>
        <v>80 17 547738</v>
      </c>
      <c r="D1901" t="str">
        <f>"4854630357434540"</f>
        <v>4854630357434540</v>
      </c>
      <c r="E1901" t="str">
        <f>"2021-04-30"</f>
        <v>2021-04-30</v>
      </c>
      <c r="F1901" t="str">
        <f t="shared" si="331"/>
        <v>+</v>
      </c>
      <c r="G1901" t="str">
        <f>"7"</f>
        <v>7</v>
      </c>
      <c r="H1901" t="str">
        <f>"40817810816991442604"</f>
        <v>40817810816991442604</v>
      </c>
      <c r="I1901" t="str">
        <f>"8598"</f>
        <v>8598</v>
      </c>
      <c r="J1901" t="str">
        <f>"0197"</f>
        <v>0197</v>
      </c>
      <c r="K1901" t="str">
        <f>"19977.09"</f>
        <v>19977.09</v>
      </c>
      <c r="L1901" t="str">
        <f>"450000 РЕСП БАШКОРТОСТАН   Г УФА   УЛ ЧЕРНЫШЕВСКОГО д. 84"</f>
        <v>450000 РЕСП БАШКОРТОСТАН   Г УФА   УЛ ЧЕРНЫШЕВСКОГО д. 84</v>
      </c>
      <c r="M1901" t="str">
        <f t="shared" si="326"/>
        <v>2019-08-24</v>
      </c>
      <c r="N1901" t="s">
        <v>107</v>
      </c>
      <c r="O1901" t="str">
        <f>"450000"</f>
        <v>450000</v>
      </c>
      <c r="P1901" t="str">
        <f>"РЕСП БАШКОРТОСТАН"</f>
        <v>РЕСП БАШКОРТОСТАН</v>
      </c>
      <c r="Q1901" t="str">
        <f>""</f>
        <v/>
      </c>
      <c r="R1901" t="str">
        <f>"Г УФА"</f>
        <v>Г УФА</v>
      </c>
      <c r="S1901" t="str">
        <f>""</f>
        <v/>
      </c>
      <c r="T1901" t="str">
        <f>"УЛ МАЛАЯ ТРАКТОВАЯ"</f>
        <v>УЛ МАЛАЯ ТРАКТОВАЯ</v>
      </c>
      <c r="U1901" s="1" t="str">
        <f>"31"</f>
        <v>31</v>
      </c>
      <c r="V1901" s="1" t="str">
        <f>""</f>
        <v/>
      </c>
      <c r="W1901" s="1" t="str">
        <f>"А"</f>
        <v>А</v>
      </c>
      <c r="X1901" s="1" t="str">
        <f>""</f>
        <v/>
      </c>
      <c r="Y1901" s="1" t="str">
        <f>""</f>
        <v/>
      </c>
      <c r="Z1901" t="str">
        <f>""</f>
        <v/>
      </c>
      <c r="AA1901" t="str">
        <f>"9631337336"</f>
        <v>9631337336</v>
      </c>
      <c r="AB1901" t="str">
        <f>"9196180410"</f>
        <v>9196180410</v>
      </c>
      <c r="AC1901" t="str">
        <f>"9631337336"</f>
        <v>9631337336</v>
      </c>
      <c r="AD1901" t="str">
        <f>"9196180410"</f>
        <v>9196180410</v>
      </c>
      <c r="AE1901" t="str">
        <f>""</f>
        <v/>
      </c>
    </row>
    <row r="1902" spans="1:31" x14ac:dyDescent="0.45">
      <c r="A1902" t="str">
        <f>"ТИМОФЕЕВА ГАЛИНА ИЛЬИНИЧНА"</f>
        <v>ТИМОФЕЕВА ГАЛИНА ИЛЬИНИЧНА</v>
      </c>
      <c r="B1902" t="str">
        <f>"1961-02-04"</f>
        <v>1961-02-04</v>
      </c>
      <c r="C1902" t="str">
        <f>"80 06 147306"</f>
        <v>80 06 147306</v>
      </c>
      <c r="D1902" t="str">
        <f>"4854630093713108"</f>
        <v>4854630093713108</v>
      </c>
      <c r="E1902" t="str">
        <f>"2020-11-30"</f>
        <v>2020-11-30</v>
      </c>
      <c r="F1902" t="str">
        <f t="shared" si="331"/>
        <v>+</v>
      </c>
      <c r="G1902" t="str">
        <f>"+"</f>
        <v>+</v>
      </c>
      <c r="H1902" t="str">
        <f>"40817810116991442605"</f>
        <v>40817810116991442605</v>
      </c>
      <c r="I1902" t="str">
        <f>"8598"</f>
        <v>8598</v>
      </c>
      <c r="J1902" t="str">
        <f>"0782"</f>
        <v>0782</v>
      </c>
      <c r="K1902" t="str">
        <f>"20000.00"</f>
        <v>20000.00</v>
      </c>
      <c r="L1902" t="str">
        <f>"452000 РЕСП БАШКОРТОСТАН   Г БЕЛЕБЕЙ   УЛ АМИРОВА д. 7 стр. А"</f>
        <v>452000 РЕСП БАШКОРТОСТАН   Г БЕЛЕБЕЙ   УЛ АМИРОВА д. 7 стр. А</v>
      </c>
      <c r="M1902" t="str">
        <f t="shared" si="326"/>
        <v>2019-08-24</v>
      </c>
      <c r="N1902" t="str">
        <f>"ПФР"</f>
        <v>ПФР</v>
      </c>
      <c r="O1902" t="str">
        <f>"452000"</f>
        <v>452000</v>
      </c>
      <c r="P1902" t="str">
        <f>"РЕСП БАШКОРТОСТАН"</f>
        <v>РЕСП БАШКОРТОСТАН</v>
      </c>
      <c r="Q1902" t="str">
        <f>""</f>
        <v/>
      </c>
      <c r="R1902" t="str">
        <f>"Г БЕЛЕБЕЙ"</f>
        <v>Г БЕЛЕБЕЙ</v>
      </c>
      <c r="S1902" t="str">
        <f>""</f>
        <v/>
      </c>
      <c r="T1902" t="str">
        <f>"УЛ СОВЕТСКАЯ"</f>
        <v>УЛ СОВЕТСКАЯ</v>
      </c>
      <c r="U1902" s="1" t="str">
        <f>"123"</f>
        <v>123</v>
      </c>
      <c r="V1902" s="1" t="str">
        <f>"А"</f>
        <v>А</v>
      </c>
      <c r="W1902" s="1" t="str">
        <f>""</f>
        <v/>
      </c>
      <c r="X1902" s="1" t="str">
        <f>""</f>
        <v/>
      </c>
      <c r="Y1902" s="1" t="str">
        <f>"1"</f>
        <v>1</v>
      </c>
      <c r="Z1902" t="str">
        <f>""</f>
        <v/>
      </c>
      <c r="AA1902" t="str">
        <f>"3478658807"</f>
        <v>3478658807</v>
      </c>
      <c r="AB1902" t="str">
        <f>"9279455534"</f>
        <v>9279455534</v>
      </c>
      <c r="AC1902" t="str">
        <f>"3478658807"</f>
        <v>3478658807</v>
      </c>
      <c r="AD1902" t="str">
        <f>"9279470705"</f>
        <v>9279470705</v>
      </c>
      <c r="AE1902" t="str">
        <f>""</f>
        <v/>
      </c>
    </row>
    <row r="1903" spans="1:31" x14ac:dyDescent="0.45">
      <c r="A1903" t="str">
        <f>"ГУДИМОВА ВЕРА ГЕННАДЬЕВНА"</f>
        <v>ГУДИМОВА ВЕРА ГЕННАДЬЕВНА</v>
      </c>
      <c r="B1903" t="str">
        <f>"1952-10-11"</f>
        <v>1952-10-11</v>
      </c>
      <c r="C1903" t="str">
        <f>"65 02 933265"</f>
        <v>65 02 933265</v>
      </c>
      <c r="D1903" t="str">
        <f>"4854630400416569"</f>
        <v>4854630400416569</v>
      </c>
      <c r="E1903" t="str">
        <f>"2021-04-30"</f>
        <v>2021-04-30</v>
      </c>
      <c r="F1903" t="str">
        <f t="shared" si="331"/>
        <v>+</v>
      </c>
      <c r="G1903" t="str">
        <f>"+"</f>
        <v>+</v>
      </c>
      <c r="H1903" t="str">
        <f>"40817810416991442606"</f>
        <v>40817810416991442606</v>
      </c>
      <c r="I1903" t="str">
        <f>"7003"</f>
        <v>7003</v>
      </c>
      <c r="J1903" t="str">
        <f>"0406"</f>
        <v>0406</v>
      </c>
      <c r="K1903" t="str">
        <f>"91000.00"</f>
        <v>91000.00</v>
      </c>
      <c r="L1903" t="str">
        <f>"620000 ОБЛ СВЕРДЛОВСКАЯ   Г ЕКАТЕРИНБУРГ   УЛ ИНДУСТРИИ д. 24"</f>
        <v>620000 ОБЛ СВЕРДЛОВСКАЯ   Г ЕКАТЕРИНБУРГ   УЛ ИНДУСТРИИ д. 24</v>
      </c>
      <c r="M1903" t="str">
        <f t="shared" si="326"/>
        <v>2019-08-24</v>
      </c>
      <c r="N1903" t="str">
        <f>"ПФР"</f>
        <v>ПФР</v>
      </c>
      <c r="O1903" t="str">
        <f>"620000"</f>
        <v>620000</v>
      </c>
      <c r="P1903" t="str">
        <f>"ОБЛ СВЕРДЛОВСКАЯ"</f>
        <v>ОБЛ СВЕРДЛОВСКАЯ</v>
      </c>
      <c r="Q1903" t="str">
        <f>""</f>
        <v/>
      </c>
      <c r="R1903" t="str">
        <f>"Г ЕКАТЕРИНБУРГ"</f>
        <v>Г ЕКАТЕРИНБУРГ</v>
      </c>
      <c r="S1903" t="str">
        <f>""</f>
        <v/>
      </c>
      <c r="T1903" t="str">
        <f>"УЛ ИНДУСТРИИ"</f>
        <v>УЛ ИНДУСТРИИ</v>
      </c>
      <c r="U1903" s="1" t="str">
        <f>"24"</f>
        <v>24</v>
      </c>
      <c r="V1903" s="1" t="str">
        <f>""</f>
        <v/>
      </c>
      <c r="W1903" s="1" t="str">
        <f>""</f>
        <v/>
      </c>
      <c r="X1903" s="1" t="str">
        <f>""</f>
        <v/>
      </c>
      <c r="Y1903" s="1" t="str">
        <f>"122"</f>
        <v>122</v>
      </c>
      <c r="Z1903" t="str">
        <f>""</f>
        <v/>
      </c>
      <c r="AA1903" t="str">
        <f>"9090242722"</f>
        <v>9090242722</v>
      </c>
      <c r="AB1903" t="str">
        <f>"9090242722"</f>
        <v>9090242722</v>
      </c>
      <c r="AC1903" t="str">
        <f>"9090242722"</f>
        <v>9090242722</v>
      </c>
      <c r="AD1903" t="str">
        <f>"9090242722"</f>
        <v>9090242722</v>
      </c>
      <c r="AE1903" t="str">
        <f>""</f>
        <v/>
      </c>
    </row>
    <row r="1904" spans="1:31" x14ac:dyDescent="0.45">
      <c r="A1904" t="str">
        <f>"ПОРОХИН АЛЕКСАНДР НИКОЛАЕВИЧ"</f>
        <v>ПОРОХИН АЛЕКСАНДР НИКОЛАЕВИЧ</v>
      </c>
      <c r="B1904" t="str">
        <f>"1995-10-21"</f>
        <v>1995-10-21</v>
      </c>
      <c r="C1904" t="str">
        <f>"71 15 184516"</f>
        <v>71 15 184516</v>
      </c>
      <c r="D1904" t="str">
        <f>"4276016716525303"</f>
        <v>4276016716525303</v>
      </c>
      <c r="E1904" t="str">
        <f>"2021-06-30"</f>
        <v>2021-06-30</v>
      </c>
      <c r="F1904" t="str">
        <f t="shared" si="331"/>
        <v>+</v>
      </c>
      <c r="G1904" t="str">
        <f>"+"</f>
        <v>+</v>
      </c>
      <c r="H1904" t="str">
        <f>"40817810116992350220"</f>
        <v>40817810116992350220</v>
      </c>
      <c r="I1904" t="str">
        <f>"8647"</f>
        <v>8647</v>
      </c>
      <c r="J1904" t="str">
        <f>"0102"</f>
        <v>0102</v>
      </c>
      <c r="K1904" t="str">
        <f>"60000.00"</f>
        <v>60000.00</v>
      </c>
      <c r="L1904" t="str">
        <f>"625000 ОБЛ ТЮМЕНСКАЯ   Г ТЮМЕНЬ   УЛ ТОВАРНОЕ ШОССЕ д. 12"</f>
        <v>625000 ОБЛ ТЮМЕНСКАЯ   Г ТЮМЕНЬ   УЛ ТОВАРНОЕ ШОССЕ д. 12</v>
      </c>
      <c r="M1904" t="str">
        <f t="shared" si="326"/>
        <v>2019-08-24</v>
      </c>
      <c r="N1904" t="str">
        <f>"ВАРИАНТ"</f>
        <v>ВАРИАНТ</v>
      </c>
      <c r="O1904" t="str">
        <f>"625000"</f>
        <v>625000</v>
      </c>
      <c r="P1904" t="str">
        <f>"ОБЛ ТЮМЕНСКАЯ"</f>
        <v>ОБЛ ТЮМЕНСКАЯ</v>
      </c>
      <c r="Q1904" t="str">
        <f>""</f>
        <v/>
      </c>
      <c r="R1904" t="str">
        <f>"Г ТЮМЕНЬ"</f>
        <v>Г ТЮМЕНЬ</v>
      </c>
      <c r="S1904" t="str">
        <f>""</f>
        <v/>
      </c>
      <c r="T1904" t="str">
        <f>"УЛ КАРЛА МАРКСА"</f>
        <v>УЛ КАРЛА МАРКСА</v>
      </c>
      <c r="U1904" s="1" t="str">
        <f>"108"</f>
        <v>108</v>
      </c>
      <c r="V1904" s="1" t="str">
        <f>""</f>
        <v/>
      </c>
      <c r="W1904" s="1" t="str">
        <f>""</f>
        <v/>
      </c>
      <c r="X1904" s="1" t="str">
        <f>""</f>
        <v/>
      </c>
      <c r="Y1904" s="1" t="str">
        <f>"515"</f>
        <v>515</v>
      </c>
      <c r="Z1904" t="str">
        <f>""</f>
        <v/>
      </c>
      <c r="AA1904" t="str">
        <f>"9129960731"</f>
        <v>9129960731</v>
      </c>
      <c r="AB1904" t="str">
        <f>"9199438733"</f>
        <v>9199438733</v>
      </c>
      <c r="AC1904" t="str">
        <f>"9129960731"</f>
        <v>9129960731</v>
      </c>
      <c r="AD1904" t="str">
        <f>"9199438733"</f>
        <v>9199438733</v>
      </c>
      <c r="AE1904" t="str">
        <f>""</f>
        <v/>
      </c>
    </row>
    <row r="1905" spans="1:31" x14ac:dyDescent="0.45">
      <c r="A1905" t="str">
        <f>"ЧЕЛЯДИНОВ СЕРГЕЙ ВАСИЛЬЕВИЧ"</f>
        <v>ЧЕЛЯДИНОВ СЕРГЕЙ ВАСИЛЬЕВИЧ</v>
      </c>
      <c r="B1905" t="str">
        <f>"1964-03-27"</f>
        <v>1964-03-27</v>
      </c>
      <c r="C1905" t="str">
        <f>"37 19 782683"</f>
        <v>37 19 782683</v>
      </c>
      <c r="D1905" t="str">
        <f>"4854630410291838"</f>
        <v>4854630410291838</v>
      </c>
      <c r="E1905" t="str">
        <f>"2021-04-30"</f>
        <v>2021-04-30</v>
      </c>
      <c r="F1905" t="str">
        <f>"K"</f>
        <v>K</v>
      </c>
      <c r="G1905" t="str">
        <f>"+"</f>
        <v>+</v>
      </c>
      <c r="H1905" t="str">
        <f>"40817810916991470398"</f>
        <v>40817810916991470398</v>
      </c>
      <c r="I1905" t="str">
        <f>"8599"</f>
        <v>8599</v>
      </c>
      <c r="J1905" t="str">
        <f>"0227"</f>
        <v>0227</v>
      </c>
      <c r="K1905" t="str">
        <f>"15000.00"</f>
        <v>15000.00</v>
      </c>
      <c r="L1905" t="str">
        <f>"641000 ОБЛ КУРГАНСКАЯ   Г ШАДРИНСК   УЛ ДЕМЬЯНА БЕДНОГО д. 3"</f>
        <v>641000 ОБЛ КУРГАНСКАЯ   Г ШАДРИНСК   УЛ ДЕМЬЯНА БЕДНОГО д. 3</v>
      </c>
      <c r="M1905" t="str">
        <f t="shared" si="326"/>
        <v>2019-08-24</v>
      </c>
      <c r="N1905" t="s">
        <v>108</v>
      </c>
      <c r="O1905" t="str">
        <f>"641884"</f>
        <v>641884</v>
      </c>
      <c r="P1905" t="str">
        <f>"ОБЛ КУРГАНСКАЯ"</f>
        <v>ОБЛ КУРГАНСКАЯ</v>
      </c>
      <c r="Q1905" t="str">
        <f>""</f>
        <v/>
      </c>
      <c r="R1905" t="str">
        <f>"Г ШАДРИНСК"</f>
        <v>Г ШАДРИНСК</v>
      </c>
      <c r="S1905" t="str">
        <f>""</f>
        <v/>
      </c>
      <c r="T1905" t="str">
        <f>"УЛ ГИЛЕВА"</f>
        <v>УЛ ГИЛЕВА</v>
      </c>
      <c r="U1905" s="1" t="str">
        <f>"2"</f>
        <v>2</v>
      </c>
      <c r="V1905" s="1" t="str">
        <f>""</f>
        <v/>
      </c>
      <c r="W1905" s="1" t="str">
        <f>""</f>
        <v/>
      </c>
      <c r="X1905" s="1" t="str">
        <f>""</f>
        <v/>
      </c>
      <c r="Y1905" s="1" t="str">
        <f>""</f>
        <v/>
      </c>
      <c r="Z1905" t="str">
        <f>""</f>
        <v/>
      </c>
      <c r="AA1905" t="str">
        <f>"9128308988"</f>
        <v>9128308988</v>
      </c>
      <c r="AB1905" t="str">
        <f>"9128308988"</f>
        <v>9128308988</v>
      </c>
      <c r="AC1905" t="str">
        <f>"9128308988"</f>
        <v>9128308988</v>
      </c>
      <c r="AD1905" t="str">
        <f>"9128308988"</f>
        <v>9128308988</v>
      </c>
      <c r="AE1905" t="str">
        <f>""</f>
        <v/>
      </c>
    </row>
    <row r="1906" spans="1:31" x14ac:dyDescent="0.45">
      <c r="A1906" t="str">
        <f>"МЕДВЕДЧУК АНДРЕЙ ИВАНОВИЧ"</f>
        <v>МЕДВЕДЧУК АНДРЕЙ ИВАНОВИЧ</v>
      </c>
      <c r="B1906" t="str">
        <f>"1965-06-12"</f>
        <v>1965-06-12</v>
      </c>
      <c r="C1906" t="str">
        <f>"65 10 972688"</f>
        <v>65 10 972688</v>
      </c>
      <c r="D1906" t="str">
        <f>"5313100024789454"</f>
        <v>5313100024789454</v>
      </c>
      <c r="E1906" t="str">
        <f>"2021-03-31"</f>
        <v>2021-03-31</v>
      </c>
      <c r="F1906" t="str">
        <f>"+"</f>
        <v>+</v>
      </c>
      <c r="G1906" t="str">
        <f>"+"</f>
        <v>+</v>
      </c>
      <c r="H1906" t="str">
        <f>"40817810216991470399"</f>
        <v>40817810216991470399</v>
      </c>
      <c r="I1906" t="str">
        <f>"7003"</f>
        <v>7003</v>
      </c>
      <c r="J1906" t="str">
        <f>"0637"</f>
        <v>0637</v>
      </c>
      <c r="K1906" t="str">
        <f>"40000.00"</f>
        <v>40000.00</v>
      </c>
      <c r="L1906" t="str">
        <f>"624260 ОБЛ СВЕРДЛОВСКАЯ   ВОЛОСТЬ АСБЕСТ   УЛ УРАЛЬСКАЯ д. 63"</f>
        <v>624260 ОБЛ СВЕРДЛОВСКАЯ   ВОЛОСТЬ АСБЕСТ   УЛ УРАЛЬСКАЯ д. 63</v>
      </c>
      <c r="M1906" t="str">
        <f t="shared" si="326"/>
        <v>2019-08-24</v>
      </c>
      <c r="N1906" t="str">
        <f>"ОАО УРАЛАСБЕСТ"</f>
        <v>ОАО УРАЛАСБЕСТ</v>
      </c>
      <c r="O1906" t="str">
        <f>"624260"</f>
        <v>624260</v>
      </c>
      <c r="P1906" t="str">
        <f>"ОБЛ СВЕРДЛОВСКАЯ"</f>
        <v>ОБЛ СВЕРДЛОВСКАЯ</v>
      </c>
      <c r="Q1906" t="str">
        <f>""</f>
        <v/>
      </c>
      <c r="R1906" t="str">
        <f>"Г АСБЕСТ"</f>
        <v>Г АСБЕСТ</v>
      </c>
      <c r="S1906" t="str">
        <f>""</f>
        <v/>
      </c>
      <c r="T1906" t="str">
        <f>"УЛ ПАРХОМЕНКО"</f>
        <v>УЛ ПАРХОМЕНКО</v>
      </c>
      <c r="U1906" s="1" t="str">
        <f>"2"</f>
        <v>2</v>
      </c>
      <c r="V1906" s="1" t="str">
        <f>""</f>
        <v/>
      </c>
      <c r="W1906" s="1" t="str">
        <f>""</f>
        <v/>
      </c>
      <c r="X1906" s="1" t="str">
        <f>""</f>
        <v/>
      </c>
      <c r="Y1906" s="1" t="str">
        <f>"58"</f>
        <v>58</v>
      </c>
      <c r="Z1906" t="str">
        <f>"9527330012"</f>
        <v>9527330012</v>
      </c>
      <c r="AA1906" t="str">
        <f>"9527330012"</f>
        <v>9527330012</v>
      </c>
      <c r="AB1906" t="str">
        <f>"9527330012"</f>
        <v>9527330012</v>
      </c>
      <c r="AC1906" t="str">
        <f>"9527330012"</f>
        <v>9527330012</v>
      </c>
      <c r="AD1906" t="str">
        <f>"9527330012"</f>
        <v>9527330012</v>
      </c>
      <c r="AE1906" t="str">
        <f>"9527330012"</f>
        <v>9527330012</v>
      </c>
    </row>
    <row r="1907" spans="1:31" x14ac:dyDescent="0.45">
      <c r="A1907" t="str">
        <f>"ВАЛИЕВ ЗИМФЕР ФАИЛОВИЧ"</f>
        <v>ВАЛИЕВ ЗИМФЕР ФАИЛОВИЧ</v>
      </c>
      <c r="B1907" t="str">
        <f>"1971-07-05"</f>
        <v>1971-07-05</v>
      </c>
      <c r="C1907" t="str">
        <f>"67 16 568026"</f>
        <v>67 16 568026</v>
      </c>
      <c r="D1907" t="str">
        <f>"4854630376092535"</f>
        <v>4854630376092535</v>
      </c>
      <c r="E1907" t="str">
        <f>"2021-04-30"</f>
        <v>2021-04-30</v>
      </c>
      <c r="F1907" t="str">
        <f>"K"</f>
        <v>K</v>
      </c>
      <c r="G1907" t="str">
        <f>"Q"</f>
        <v>Q</v>
      </c>
      <c r="H1907" t="str">
        <f>"40817810816992555163"</f>
        <v>40817810816992555163</v>
      </c>
      <c r="I1907" t="str">
        <f>"5940"</f>
        <v>5940</v>
      </c>
      <c r="J1907" t="str">
        <f>"0115"</f>
        <v>0115</v>
      </c>
      <c r="K1907" t="str">
        <f>"0.00"</f>
        <v>0.00</v>
      </c>
      <c r="L1907" t="str">
        <f>"628600 ОБЛ ТЮМЕНСКАЯ   Г НИЖНЕВАРТОВСК   УЛ ИНДУСТРИАЛЬНАЯ"</f>
        <v>628600 ОБЛ ТЮМЕНСКАЯ   Г НИЖНЕВАРТОВСК   УЛ ИНДУСТРИАЛЬНАЯ</v>
      </c>
      <c r="M1907" t="str">
        <f t="shared" si="326"/>
        <v>2019-08-24</v>
      </c>
      <c r="N1907" t="str">
        <f>"ООО РИМЕКС"</f>
        <v>ООО РИМЕКС</v>
      </c>
      <c r="O1907" t="str">
        <f>"628600"</f>
        <v>628600</v>
      </c>
      <c r="P1907" t="str">
        <f>"ОБЛ ТЮМЕНСКАЯ"</f>
        <v>ОБЛ ТЮМЕНСКАЯ</v>
      </c>
      <c r="Q1907" t="str">
        <f>""</f>
        <v/>
      </c>
      <c r="R1907" t="str">
        <f>"Г НИЖНЕВАРТОВСК"</f>
        <v>Г НИЖНЕВАРТОВСК</v>
      </c>
      <c r="S1907" t="str">
        <f>""</f>
        <v/>
      </c>
      <c r="T1907" t="str">
        <f>"УЛ МИРА"</f>
        <v>УЛ МИРА</v>
      </c>
      <c r="U1907" s="1" t="str">
        <f>"60"</f>
        <v>60</v>
      </c>
      <c r="V1907" s="1" t="str">
        <f>""</f>
        <v/>
      </c>
      <c r="W1907" s="1" t="str">
        <f>"3"</f>
        <v>3</v>
      </c>
      <c r="X1907" s="1" t="str">
        <f>""</f>
        <v/>
      </c>
      <c r="Y1907" s="1" t="str">
        <f>"134"</f>
        <v>134</v>
      </c>
      <c r="Z1907" t="str">
        <f>"9821735597"</f>
        <v>9821735597</v>
      </c>
      <c r="AA1907" t="str">
        <f>"9505031429"</f>
        <v>9505031429</v>
      </c>
      <c r="AB1907" t="str">
        <f>"9505031429"</f>
        <v>9505031429</v>
      </c>
      <c r="AC1907" t="str">
        <f>"9505031429"</f>
        <v>9505031429</v>
      </c>
      <c r="AD1907" t="str">
        <f>"9505031429"</f>
        <v>9505031429</v>
      </c>
      <c r="AE1907" t="str">
        <f>"9821735597"</f>
        <v>9821735597</v>
      </c>
    </row>
    <row r="1908" spans="1:31" x14ac:dyDescent="0.45">
      <c r="A1908" t="str">
        <f>"ИСКАНДАРОВА ЛЮДМИЛА НИКОЛАЕВНА"</f>
        <v>ИСКАНДАРОВА ЛЮДМИЛА НИКОЛАЕВНА</v>
      </c>
      <c r="B1908" t="str">
        <f>"1979-06-04"</f>
        <v>1979-06-04</v>
      </c>
      <c r="C1908" t="str">
        <f>"80 04 152952"</f>
        <v>80 04 152952</v>
      </c>
      <c r="D1908" t="str">
        <f>"4854630169252718"</f>
        <v>4854630169252718</v>
      </c>
      <c r="E1908" t="str">
        <f>"2021-05-31"</f>
        <v>2021-05-31</v>
      </c>
      <c r="F1908" t="str">
        <f>"+"</f>
        <v>+</v>
      </c>
      <c r="G1908" t="str">
        <f>"+"</f>
        <v>+</v>
      </c>
      <c r="H1908" t="str">
        <f>"40817810316991470451"</f>
        <v>40817810316991470451</v>
      </c>
      <c r="I1908" t="str">
        <f>"8598"</f>
        <v>8598</v>
      </c>
      <c r="J1908" t="str">
        <f>"0212"</f>
        <v>0212</v>
      </c>
      <c r="K1908" t="str">
        <f>"33000.00"</f>
        <v>33000.00</v>
      </c>
      <c r="L1908" t="str">
        <f>"450000 РЕСП БАШКОРТОСТАН   Г УФА   УЛ 0 д. 0"</f>
        <v>450000 РЕСП БАШКОРТОСТАН   Г УФА   УЛ 0 д. 0</v>
      </c>
      <c r="M1908" t="str">
        <f t="shared" si="326"/>
        <v>2019-08-24</v>
      </c>
      <c r="N1908" t="str">
        <f>"ГБУЗ РБ КАЛТАСИНСКАЯ ЦРБ"</f>
        <v>ГБУЗ РБ КАЛТАСИНСКАЯ ЦРБ</v>
      </c>
      <c r="O1908" t="str">
        <f>"450000"</f>
        <v>450000</v>
      </c>
      <c r="P1908" t="str">
        <f>"РЕСП БАШКОРТОСТАН"</f>
        <v>РЕСП БАШКОРТОСТАН</v>
      </c>
      <c r="Q1908" t="str">
        <f>"Р-Н КАЛТАСИНСКИЙ"</f>
        <v>Р-Н КАЛТАСИНСКИЙ</v>
      </c>
      <c r="R1908" t="str">
        <f>""</f>
        <v/>
      </c>
      <c r="S1908" t="str">
        <f>"С КРАСНОХОЛМСКИЙ"</f>
        <v>С КРАСНОХОЛМСКИЙ</v>
      </c>
      <c r="T1908" t="str">
        <f>"УЛ ГУБКИНА"</f>
        <v>УЛ ГУБКИНА</v>
      </c>
      <c r="U1908" s="1" t="str">
        <f>"12"</f>
        <v>12</v>
      </c>
      <c r="V1908" s="1" t="str">
        <f>""</f>
        <v/>
      </c>
      <c r="W1908" s="1" t="str">
        <f>""</f>
        <v/>
      </c>
      <c r="X1908" s="1" t="str">
        <f>""</f>
        <v/>
      </c>
      <c r="Y1908" s="1" t="str">
        <f>"6"</f>
        <v>6</v>
      </c>
      <c r="Z1908" t="str">
        <f>""</f>
        <v/>
      </c>
      <c r="AA1908" t="str">
        <f>"+7 (34779) 30612"</f>
        <v>+7 (34779) 30612</v>
      </c>
      <c r="AB1908" t="str">
        <f>"+7 (927) 9280174"</f>
        <v>+7 (927) 9280174</v>
      </c>
      <c r="AC1908" t="str">
        <f>"9279280174"</f>
        <v>9279280174</v>
      </c>
      <c r="AD1908" t="str">
        <f>"9279280174"</f>
        <v>9279280174</v>
      </c>
      <c r="AE1908" t="str">
        <f>""</f>
        <v/>
      </c>
    </row>
    <row r="1909" spans="1:31" x14ac:dyDescent="0.45">
      <c r="A1909" t="str">
        <f>"ТАНКОВА ЮЛИЯ СЕРГЕЕВНА"</f>
        <v>ТАНКОВА ЮЛИЯ СЕРГЕЕВНА</v>
      </c>
      <c r="B1909" t="str">
        <f>"1977-09-09"</f>
        <v>1977-09-09</v>
      </c>
      <c r="C1909" t="str">
        <f>"65 07 282119"</f>
        <v>65 07 282119</v>
      </c>
      <c r="D1909" t="str">
        <f>"4854630368655752"</f>
        <v>4854630368655752</v>
      </c>
      <c r="E1909" t="str">
        <f>"2021-05-31"</f>
        <v>2021-05-31</v>
      </c>
      <c r="F1909" t="str">
        <f>"+"</f>
        <v>+</v>
      </c>
      <c r="G1909" t="str">
        <f>"W"</f>
        <v>W</v>
      </c>
      <c r="H1909" t="str">
        <f>"40817810616991470452"</f>
        <v>40817810616991470452</v>
      </c>
      <c r="I1909" t="str">
        <f>"7003"</f>
        <v>7003</v>
      </c>
      <c r="J1909" t="str">
        <f>"0175"</f>
        <v>0175</v>
      </c>
      <c r="K1909" t="str">
        <f>"18000.00"</f>
        <v>18000.00</v>
      </c>
      <c r="L1909" t="str">
        <f>"620000 ОБЛ СВЕРДЛОВСКАЯ   Г ЕКАТЕРИНБУРГ   УЛ ШЕЙНКМАНА д. 45"</f>
        <v>620000 ОБЛ СВЕРДЛОВСКАЯ   Г ЕКАТЕРИНБУРГ   УЛ ШЕЙНКМАНА д. 45</v>
      </c>
      <c r="M1909" t="str">
        <f t="shared" si="326"/>
        <v>2019-08-24</v>
      </c>
      <c r="N1909" t="str">
        <f>"УРАЛБИЗНЕССТУР"</f>
        <v>УРАЛБИЗНЕССТУР</v>
      </c>
      <c r="O1909" t="str">
        <f>"624390"</f>
        <v>624390</v>
      </c>
      <c r="P1909" t="str">
        <f>"ОБЛ СВЕРДЛОВСКАЯ"</f>
        <v>ОБЛ СВЕРДЛОВСКАЯ</v>
      </c>
      <c r="Q1909" t="str">
        <f>"Р-Н ВЕРХОТУРСКИЙ"</f>
        <v>Р-Н ВЕРХОТУРСКИЙ</v>
      </c>
      <c r="R1909" t="str">
        <f>""</f>
        <v/>
      </c>
      <c r="S1909" t="str">
        <f>"П ПРИВОКЗАЛЬНЫЙ"</f>
        <v>П ПРИВОКЗАЛЬНЫЙ</v>
      </c>
      <c r="T1909" t="str">
        <f>"УЛ МИРА"</f>
        <v>УЛ МИРА</v>
      </c>
      <c r="U1909" s="1" t="str">
        <f>"2"</f>
        <v>2</v>
      </c>
      <c r="V1909" s="1" t="str">
        <f>""</f>
        <v/>
      </c>
      <c r="W1909" s="1" t="str">
        <f>"А"</f>
        <v>А</v>
      </c>
      <c r="X1909" s="1" t="str">
        <f>""</f>
        <v/>
      </c>
      <c r="Y1909" s="1" t="str">
        <f>"10"</f>
        <v>10</v>
      </c>
      <c r="Z1909" t="str">
        <f>""</f>
        <v/>
      </c>
      <c r="AA1909" t="str">
        <f>"9193916909"</f>
        <v>9193916909</v>
      </c>
      <c r="AB1909" t="str">
        <f>"9193916909"</f>
        <v>9193916909</v>
      </c>
      <c r="AC1909" t="str">
        <f>"9193916909"</f>
        <v>9193916909</v>
      </c>
      <c r="AD1909" t="str">
        <f>"9193916909"</f>
        <v>9193916909</v>
      </c>
      <c r="AE1909" t="str">
        <f>""</f>
        <v/>
      </c>
    </row>
    <row r="1910" spans="1:31" x14ac:dyDescent="0.45">
      <c r="A1910" t="str">
        <f>"КУСОВ ВАЛЕРИЙ ВИКТОРОВИЧ"</f>
        <v>КУСОВ ВАЛЕРИЙ ВИКТОРОВИЧ</v>
      </c>
      <c r="B1910" t="str">
        <f>"1954-05-17"</f>
        <v>1954-05-17</v>
      </c>
      <c r="C1910" t="str">
        <f>"67 01 541139"</f>
        <v>67 01 541139</v>
      </c>
      <c r="D1910" t="str">
        <f>"4276016719458676"</f>
        <v>4276016719458676</v>
      </c>
      <c r="E1910" t="str">
        <f>"2022-03-31"</f>
        <v>2022-03-31</v>
      </c>
      <c r="F1910" t="str">
        <f>"+"</f>
        <v>+</v>
      </c>
      <c r="G1910" t="str">
        <f t="shared" ref="G1910:G1928" si="332">"+"</f>
        <v>+</v>
      </c>
      <c r="H1910" t="str">
        <f>"40817810116992193283"</f>
        <v>40817810116992193283</v>
      </c>
      <c r="I1910" t="str">
        <f>"1791"</f>
        <v>1791</v>
      </c>
      <c r="J1910" t="str">
        <f>"0081"</f>
        <v>0081</v>
      </c>
      <c r="K1910" t="str">
        <f>"20000.00"</f>
        <v>20000.00</v>
      </c>
      <c r="L1910" t="str">
        <f>"628285 ОБЛ ТЮМЕНСКАЯ АО ХАНТЫ-МАНСИЙСКИЙ АВТОНОМНЫЙ ОКРУГ Г УРАЙ   МКР 2 д. 27"</f>
        <v>628285 ОБЛ ТЮМЕНСКАЯ АО ХАНТЫ-МАНСИЙСКИЙ АВТОНОМНЫЙ ОКРУГ Г УРАЙ   МКР 2 д. 27</v>
      </c>
      <c r="M1910" t="str">
        <f t="shared" si="326"/>
        <v>2019-08-24</v>
      </c>
      <c r="N1910" t="str">
        <f>"ПФ РФ"</f>
        <v>ПФ РФ</v>
      </c>
      <c r="O1910" t="str">
        <f>"628285"</f>
        <v>628285</v>
      </c>
      <c r="P1910" t="str">
        <f>"ОБЛ ТЮМЕНСКАЯ"</f>
        <v>ОБЛ ТЮМЕНСКАЯ</v>
      </c>
      <c r="Q1910" t="str">
        <f>"АО ХМАО-ЮГРА"</f>
        <v>АО ХМАО-ЮГРА</v>
      </c>
      <c r="R1910" t="str">
        <f>"Г УРАЙ"</f>
        <v>Г УРАЙ</v>
      </c>
      <c r="S1910" t="str">
        <f>""</f>
        <v/>
      </c>
      <c r="T1910" t="str">
        <f>"МКР 3"</f>
        <v>МКР 3</v>
      </c>
      <c r="U1910" s="1" t="str">
        <f>"46"</f>
        <v>46</v>
      </c>
      <c r="V1910" s="1" t="str">
        <f>""</f>
        <v/>
      </c>
      <c r="W1910" s="1" t="str">
        <f>""</f>
        <v/>
      </c>
      <c r="X1910" s="1" t="str">
        <f>""</f>
        <v/>
      </c>
      <c r="Y1910" s="1" t="str">
        <f>"65"</f>
        <v>65</v>
      </c>
      <c r="Z1910" t="str">
        <f>"3467630179"</f>
        <v>3467630179</v>
      </c>
      <c r="AA1910" t="str">
        <f>"3467630462"</f>
        <v>3467630462</v>
      </c>
      <c r="AB1910" t="str">
        <f>"9048722216"</f>
        <v>9048722216</v>
      </c>
      <c r="AC1910" t="str">
        <f>"3467630462"</f>
        <v>3467630462</v>
      </c>
      <c r="AD1910" t="str">
        <f>"9048722216"</f>
        <v>9048722216</v>
      </c>
      <c r="AE1910" t="str">
        <f>"3467630179"</f>
        <v>3467630179</v>
      </c>
    </row>
    <row r="1911" spans="1:31" x14ac:dyDescent="0.45">
      <c r="A1911" t="str">
        <f>"КИЗЕРОВА ОКСАНА АНАТОЛЬЕВНА"</f>
        <v>КИЗЕРОВА ОКСАНА АНАТОЛЬЕВНА</v>
      </c>
      <c r="B1911" t="str">
        <f>"1973-02-17"</f>
        <v>1973-02-17</v>
      </c>
      <c r="C1911" t="str">
        <f>"65 17 622092"</f>
        <v>65 17 622092</v>
      </c>
      <c r="D1911" t="str">
        <f>"4854630399506198"</f>
        <v>4854630399506198</v>
      </c>
      <c r="E1911" t="str">
        <f>"2021-05-31"</f>
        <v>2021-05-31</v>
      </c>
      <c r="F1911" t="str">
        <f>"M"</f>
        <v>M</v>
      </c>
      <c r="G1911" t="str">
        <f t="shared" si="332"/>
        <v>+</v>
      </c>
      <c r="H1911" t="str">
        <f>"40817810916991470482"</f>
        <v>40817810916991470482</v>
      </c>
      <c r="I1911" t="str">
        <f>"7003"</f>
        <v>7003</v>
      </c>
      <c r="J1911" t="str">
        <f>"0681"</f>
        <v>0681</v>
      </c>
      <c r="K1911" t="str">
        <f>"50000.00"</f>
        <v>50000.00</v>
      </c>
      <c r="L1911" t="str">
        <f>"623100 ОБЛ СВЕРДЛОВСКАЯ   ВОЛОСТЬ ПЕРВОУРАЛЬСК   УЛ ИЛЬИЧА д. 1"</f>
        <v>623100 ОБЛ СВЕРДЛОВСКАЯ   ВОЛОСТЬ ПЕРВОУРАЛЬСК   УЛ ИЛЬИЧА д. 1</v>
      </c>
      <c r="M1911" t="str">
        <f t="shared" si="326"/>
        <v>2019-08-24</v>
      </c>
      <c r="N1911" t="str">
        <f>"ОАО ДИНУР"</f>
        <v>ОАО ДИНУР</v>
      </c>
      <c r="O1911" t="str">
        <f>"623100"</f>
        <v>623100</v>
      </c>
      <c r="P1911" t="str">
        <f>"ОБЛ СВЕРДЛОВСКАЯ"</f>
        <v>ОБЛ СВЕРДЛОВСКАЯ</v>
      </c>
      <c r="Q1911" t="str">
        <f>""</f>
        <v/>
      </c>
      <c r="R1911" t="str">
        <f>"Г ПЕРВОУРАЛЬСК"</f>
        <v>Г ПЕРВОУРАЛЬСК</v>
      </c>
      <c r="S1911" t="str">
        <f>""</f>
        <v/>
      </c>
      <c r="T1911" t="str">
        <f>"УЛ 50 ЛЕТ СССР"</f>
        <v>УЛ 50 ЛЕТ СССР</v>
      </c>
      <c r="U1911" s="1" t="str">
        <f>"24"</f>
        <v>24</v>
      </c>
      <c r="V1911" s="1" t="str">
        <f>""</f>
        <v/>
      </c>
      <c r="W1911" s="1" t="str">
        <f>""</f>
        <v/>
      </c>
      <c r="X1911" s="1" t="str">
        <f>""</f>
        <v/>
      </c>
      <c r="Y1911" s="1" t="str">
        <f>"133"</f>
        <v>133</v>
      </c>
      <c r="Z1911" t="str">
        <f>"9638530878"</f>
        <v>9638530878</v>
      </c>
      <c r="AA1911" t="str">
        <f>"9638530878"</f>
        <v>9638530878</v>
      </c>
      <c r="AB1911" t="str">
        <f>"9638530878"</f>
        <v>9638530878</v>
      </c>
      <c r="AC1911" t="str">
        <f>"9638530878"</f>
        <v>9638530878</v>
      </c>
      <c r="AD1911" t="str">
        <f>"9638530878"</f>
        <v>9638530878</v>
      </c>
      <c r="AE1911" t="str">
        <f>"9638530878"</f>
        <v>9638530878</v>
      </c>
    </row>
    <row r="1912" spans="1:31" x14ac:dyDescent="0.45">
      <c r="A1912" t="str">
        <f>"КЕЗИС ГУЛЬНАРА ФАРВАСОВНА"</f>
        <v>КЕЗИС ГУЛЬНАРА ФАРВАСОВНА</v>
      </c>
      <c r="B1912" t="str">
        <f>"1966-03-31"</f>
        <v>1966-03-31</v>
      </c>
      <c r="C1912" t="str">
        <f>"67 11 124529"</f>
        <v>67 11 124529</v>
      </c>
      <c r="D1912" t="str">
        <f>"4854630211160117"</f>
        <v>4854630211160117</v>
      </c>
      <c r="E1912" t="str">
        <f>"2021-04-30"</f>
        <v>2021-04-30</v>
      </c>
      <c r="F1912" t="str">
        <f>"+"</f>
        <v>+</v>
      </c>
      <c r="G1912" t="str">
        <f t="shared" si="332"/>
        <v>+</v>
      </c>
      <c r="H1912" t="str">
        <f>"40817810216992193963"</f>
        <v>40817810216992193963</v>
      </c>
      <c r="I1912" t="str">
        <f>"5940"</f>
        <v>5940</v>
      </c>
      <c r="J1912" t="str">
        <f>"0083"</f>
        <v>0083</v>
      </c>
      <c r="K1912" t="str">
        <f>"235000.00"</f>
        <v>235000.00</v>
      </c>
      <c r="L1912" t="str">
        <f>"628400 ОБЛ ТЮМЕНСКАЯ     Г СУРГУТ УЛ ЛЕНИНА д. 74 кв. 177"</f>
        <v>628400 ОБЛ ТЮМЕНСКАЯ     Г СУРГУТ УЛ ЛЕНИНА д. 74 кв. 177</v>
      </c>
      <c r="M1912" t="str">
        <f t="shared" si="326"/>
        <v>2019-08-24</v>
      </c>
      <c r="N1912" t="str">
        <f>"ПЕНСИОНЕР"</f>
        <v>ПЕНСИОНЕР</v>
      </c>
      <c r="O1912" t="str">
        <f>"628400"</f>
        <v>628400</v>
      </c>
      <c r="P1912" t="str">
        <f>"ОБЛ ТЮМЕНСКАЯ"</f>
        <v>ОБЛ ТЮМЕНСКАЯ</v>
      </c>
      <c r="Q1912" t="str">
        <f>""</f>
        <v/>
      </c>
      <c r="R1912" t="str">
        <f>"Г СУРГУТ"</f>
        <v>Г СУРГУТ</v>
      </c>
      <c r="S1912" t="str">
        <f>""</f>
        <v/>
      </c>
      <c r="T1912" t="str">
        <f>"ПР-КТ ЛЕНИНА"</f>
        <v>ПР-КТ ЛЕНИНА</v>
      </c>
      <c r="U1912" s="1" t="str">
        <f>"74"</f>
        <v>74</v>
      </c>
      <c r="V1912" s="1" t="str">
        <f>""</f>
        <v/>
      </c>
      <c r="W1912" s="1" t="str">
        <f>""</f>
        <v/>
      </c>
      <c r="X1912" s="1" t="str">
        <f>""</f>
        <v/>
      </c>
      <c r="Y1912" s="1" t="str">
        <f>"177"</f>
        <v>177</v>
      </c>
      <c r="Z1912" t="str">
        <f>"9224294990"</f>
        <v>9224294990</v>
      </c>
      <c r="AA1912" t="str">
        <f>"9224163999"</f>
        <v>9224163999</v>
      </c>
      <c r="AB1912" t="str">
        <f>"9224294990"</f>
        <v>9224294990</v>
      </c>
      <c r="AC1912" t="str">
        <f>"9224163999"</f>
        <v>9224163999</v>
      </c>
      <c r="AD1912" t="str">
        <f>"9224294990"</f>
        <v>9224294990</v>
      </c>
      <c r="AE1912" t="str">
        <f>""</f>
        <v/>
      </c>
    </row>
    <row r="1913" spans="1:31" x14ac:dyDescent="0.45">
      <c r="A1913" t="str">
        <f>"НАБИЕВ РАМИЛЬ РАВИЛЕВИЧ"</f>
        <v>НАБИЕВ РАМИЛЬ РАВИЛЕВИЧ</v>
      </c>
      <c r="B1913" t="str">
        <f>"1977-10-19"</f>
        <v>1977-10-19</v>
      </c>
      <c r="C1913" t="str">
        <f>"80 97 088288"</f>
        <v>80 97 088288</v>
      </c>
      <c r="D1913" t="str">
        <f>"5313100518002265"</f>
        <v>5313100518002265</v>
      </c>
      <c r="E1913" t="str">
        <f>"2020-10-31"</f>
        <v>2020-10-31</v>
      </c>
      <c r="F1913" t="str">
        <f>"+"</f>
        <v>+</v>
      </c>
      <c r="G1913" t="str">
        <f t="shared" si="332"/>
        <v>+</v>
      </c>
      <c r="H1913" t="str">
        <f>"40817810216991470483"</f>
        <v>40817810216991470483</v>
      </c>
      <c r="I1913" t="str">
        <f>"8598"</f>
        <v>8598</v>
      </c>
      <c r="J1913" t="str">
        <f>"0171"</f>
        <v>0171</v>
      </c>
      <c r="K1913" t="str">
        <f>"110000.00"</f>
        <v>110000.00</v>
      </c>
      <c r="L1913" t="str">
        <f>"450000 РЕСП БАШКОРТОСТАН   Г СУРГУТ   ПР-КТ ЛЕНИНА д. 75"</f>
        <v>450000 РЕСП БАШКОРТОСТАН   Г СУРГУТ   ПР-КТ ЛЕНИНА д. 75</v>
      </c>
      <c r="M1913" t="str">
        <f t="shared" si="326"/>
        <v>2019-08-24</v>
      </c>
      <c r="N1913" t="str">
        <f>"АНГДУ БЫСТИРИНСК НЕФТЬ"</f>
        <v>АНГДУ БЫСТИРИНСК НЕФТЬ</v>
      </c>
      <c r="O1913" t="str">
        <f>"450000"</f>
        <v>450000</v>
      </c>
      <c r="P1913" t="str">
        <f>"РЕСП БАШКОРТОСТАН"</f>
        <v>РЕСП БАШКОРТОСТАН</v>
      </c>
      <c r="Q1913" t="str">
        <f>""</f>
        <v/>
      </c>
      <c r="R1913" t="str">
        <f>"Г УФА"</f>
        <v>Г УФА</v>
      </c>
      <c r="S1913" t="str">
        <f>""</f>
        <v/>
      </c>
      <c r="T1913" t="str">
        <f>"УЛ МИНИГАЛИ ГУБАЙДУЛЛИНА"</f>
        <v>УЛ МИНИГАЛИ ГУБАЙДУЛЛИНА</v>
      </c>
      <c r="U1913" s="1" t="str">
        <f>"17"</f>
        <v>17</v>
      </c>
      <c r="V1913" s="1" t="str">
        <f>""</f>
        <v/>
      </c>
      <c r="W1913" s="1" t="str">
        <f>""</f>
        <v/>
      </c>
      <c r="X1913" s="1" t="str">
        <f>""</f>
        <v/>
      </c>
      <c r="Y1913" s="1" t="str">
        <f>"1"</f>
        <v>1</v>
      </c>
      <c r="Z1913" t="str">
        <f>"3462401954"</f>
        <v>3462401954</v>
      </c>
      <c r="AA1913" t="str">
        <f>"3462401958"</f>
        <v>3462401958</v>
      </c>
      <c r="AB1913" t="str">
        <f>"9273232656"</f>
        <v>9273232656</v>
      </c>
      <c r="AC1913" t="str">
        <f>"9273232656"</f>
        <v>9273232656</v>
      </c>
      <c r="AD1913" t="str">
        <f>"9273232656"</f>
        <v>9273232656</v>
      </c>
      <c r="AE1913" t="str">
        <f>"9273232656"</f>
        <v>9273232656</v>
      </c>
    </row>
    <row r="1914" spans="1:31" x14ac:dyDescent="0.45">
      <c r="A1914" t="str">
        <f>"СУВОРОВА НАДЕЖДА ВЯЧЕСЛАВОВНА"</f>
        <v>СУВОРОВА НАДЕЖДА ВЯЧЕСЛАВОВНА</v>
      </c>
      <c r="B1914" t="str">
        <f>"1984-05-14"</f>
        <v>1984-05-14</v>
      </c>
      <c r="C1914" t="str">
        <f>"75 04 129275"</f>
        <v>75 04 129275</v>
      </c>
      <c r="D1914" t="str">
        <f>"4854630224553969"</f>
        <v>4854630224553969</v>
      </c>
      <c r="E1914" t="str">
        <f>"2021-04-30"</f>
        <v>2021-04-30</v>
      </c>
      <c r="F1914" t="str">
        <f>"K"</f>
        <v>K</v>
      </c>
      <c r="G1914" t="str">
        <f t="shared" si="332"/>
        <v>+</v>
      </c>
      <c r="H1914" t="str">
        <f>"40817810916991470518"</f>
        <v>40817810916991470518</v>
      </c>
      <c r="I1914" t="str">
        <f>"8597"</f>
        <v>8597</v>
      </c>
      <c r="J1914" t="str">
        <f>"0499"</f>
        <v>0499</v>
      </c>
      <c r="K1914" t="str">
        <f>"40000.00"</f>
        <v>40000.00</v>
      </c>
      <c r="L1914" t="str">
        <f>"454000 ОБЛ ЧЕЛЯБИНСКАЯ   Г ЗЛАТОУСТ   ПР-КТ ГАГАРИНА 3 МКР д. 35"</f>
        <v>454000 ОБЛ ЧЕЛЯБИНСКАЯ   Г ЗЛАТОУСТ   ПР-КТ ГАГАРИНА 3 МКР д. 35</v>
      </c>
      <c r="M1914" t="str">
        <f t="shared" si="326"/>
        <v>2019-08-24</v>
      </c>
      <c r="N1914" t="s">
        <v>109</v>
      </c>
      <c r="O1914" t="str">
        <f>"454000"</f>
        <v>454000</v>
      </c>
      <c r="P1914" t="str">
        <f>"ОБЛ ЧЕЛЯБИНСКАЯ"</f>
        <v>ОБЛ ЧЕЛЯБИНСКАЯ</v>
      </c>
      <c r="Q1914" t="str">
        <f>""</f>
        <v/>
      </c>
      <c r="R1914" t="str">
        <f>"Г ЗЛАТОУСТ"</f>
        <v>Г ЗЛАТОУСТ</v>
      </c>
      <c r="S1914" t="str">
        <f>""</f>
        <v/>
      </c>
      <c r="T1914" t="str">
        <f>"ПР-КТ ГАГАРИНА 3М/Р"</f>
        <v>ПР-КТ ГАГАРИНА 3М/Р</v>
      </c>
      <c r="U1914" s="1" t="str">
        <f>"30А"</f>
        <v>30А</v>
      </c>
      <c r="V1914" s="1" t="str">
        <f>""</f>
        <v/>
      </c>
      <c r="W1914" s="1" t="str">
        <f>""</f>
        <v/>
      </c>
      <c r="X1914" s="1" t="str">
        <f>""</f>
        <v/>
      </c>
      <c r="Y1914" s="1" t="str">
        <f>"109"</f>
        <v>109</v>
      </c>
      <c r="Z1914" t="str">
        <f>"351 2379044"</f>
        <v>351 2379044</v>
      </c>
      <c r="AA1914" t="str">
        <f>"3513640692"</f>
        <v>3513640692</v>
      </c>
      <c r="AB1914" t="str">
        <f>"9085815300"</f>
        <v>9085815300</v>
      </c>
      <c r="AC1914" t="str">
        <f>"3513640692"</f>
        <v>3513640692</v>
      </c>
      <c r="AD1914" t="str">
        <f>"9085815300"</f>
        <v>9085815300</v>
      </c>
      <c r="AE1914" t="str">
        <f>""</f>
        <v/>
      </c>
    </row>
    <row r="1915" spans="1:31" x14ac:dyDescent="0.45">
      <c r="A1915" t="str">
        <f>"БИККУЛОВ РАИЛЬ РИНАТОВИЧ"</f>
        <v>БИККУЛОВ РАИЛЬ РИНАТОВИЧ</v>
      </c>
      <c r="B1915" t="str">
        <f>"1968-03-15"</f>
        <v>1968-03-15</v>
      </c>
      <c r="C1915" t="str">
        <f>"80 12 615745"</f>
        <v>80 12 615745</v>
      </c>
      <c r="D1915" t="str">
        <f>"4854630318111252"</f>
        <v>4854630318111252</v>
      </c>
      <c r="E1915" t="str">
        <f>"2020-11-30"</f>
        <v>2020-11-30</v>
      </c>
      <c r="F1915" t="str">
        <f t="shared" ref="F1915:F1928" si="333">"+"</f>
        <v>+</v>
      </c>
      <c r="G1915" t="str">
        <f t="shared" si="332"/>
        <v>+</v>
      </c>
      <c r="H1915" t="str">
        <f>"40817810816991470537"</f>
        <v>40817810816991470537</v>
      </c>
      <c r="I1915" t="str">
        <f>"8598"</f>
        <v>8598</v>
      </c>
      <c r="J1915" t="str">
        <f>"0677"</f>
        <v>0677</v>
      </c>
      <c r="K1915" t="str">
        <f>"10000.00"</f>
        <v>10000.00</v>
      </c>
      <c r="L1915" t="str">
        <f>"450000 РЕСП БАШКОРТОСТАН Р-Н БЛАГОВАРСКИЙ   С УДРЯКБАШ УЛ ЦЕНТРАЛЬНАЯ д. 1"</f>
        <v>450000 РЕСП БАШКОРТОСТАН Р-Н БЛАГОВАРСКИЙ   С УДРЯКБАШ УЛ ЦЕНТРАЛЬНАЯ д. 1</v>
      </c>
      <c r="M1915" t="str">
        <f t="shared" si="326"/>
        <v>2019-08-24</v>
      </c>
      <c r="N1915" t="str">
        <f>"ООО АГРОФИРМА ИМ Х АГЛИУЛЛИНА"</f>
        <v>ООО АГРОФИРМА ИМ Х АГЛИУЛЛИНА</v>
      </c>
      <c r="O1915" t="str">
        <f>"450000"</f>
        <v>450000</v>
      </c>
      <c r="P1915" t="str">
        <f>"РЕСП БАШКОРТОСТАН"</f>
        <v>РЕСП БАШКОРТОСТАН</v>
      </c>
      <c r="Q1915" t="str">
        <f>"Р-Н БЛАГОВАРСКИЙ"</f>
        <v>Р-Н БЛАГОВАРСКИЙ</v>
      </c>
      <c r="R1915" t="str">
        <f>""</f>
        <v/>
      </c>
      <c r="S1915" t="str">
        <f>"С УДРЯКБАШ"</f>
        <v>С УДРЯКБАШ</v>
      </c>
      <c r="T1915" t="str">
        <f>"УЛ Х.АГЛИУЛЛИНА"</f>
        <v>УЛ Х.АГЛИУЛЛИНА</v>
      </c>
      <c r="U1915" s="1" t="str">
        <f>"56"</f>
        <v>56</v>
      </c>
      <c r="V1915" s="1" t="str">
        <f>""</f>
        <v/>
      </c>
      <c r="W1915" s="1" t="str">
        <f>""</f>
        <v/>
      </c>
      <c r="X1915" s="1" t="str">
        <f>""</f>
        <v/>
      </c>
      <c r="Y1915" s="1" t="str">
        <f>""</f>
        <v/>
      </c>
      <c r="Z1915" t="str">
        <f>"9279340268"</f>
        <v>9279340268</v>
      </c>
      <c r="AA1915" t="str">
        <f>"9279340268"</f>
        <v>9279340268</v>
      </c>
      <c r="AB1915" t="str">
        <f>"9279340268"</f>
        <v>9279340268</v>
      </c>
      <c r="AC1915" t="str">
        <f>"9279340268"</f>
        <v>9279340268</v>
      </c>
      <c r="AD1915" t="str">
        <f>"9279340268"</f>
        <v>9279340268</v>
      </c>
      <c r="AE1915" t="str">
        <f>"9279340268"</f>
        <v>9279340268</v>
      </c>
    </row>
    <row r="1916" spans="1:31" x14ac:dyDescent="0.45">
      <c r="A1916" t="str">
        <f>"ФАЯНОВА СВЕТЛАНА АНАТОЛЬЕВНА"</f>
        <v>ФАЯНОВА СВЕТЛАНА АНАТОЛЬЕВНА</v>
      </c>
      <c r="B1916" t="str">
        <f>"1965-09-30"</f>
        <v>1965-09-30</v>
      </c>
      <c r="C1916" t="str">
        <f>"80 13 920249"</f>
        <v>80 13 920249</v>
      </c>
      <c r="D1916" t="str">
        <f>"4854630171299004"</f>
        <v>4854630171299004</v>
      </c>
      <c r="E1916" t="str">
        <f>"2021-05-31"</f>
        <v>2021-05-31</v>
      </c>
      <c r="F1916" t="str">
        <f t="shared" si="333"/>
        <v>+</v>
      </c>
      <c r="G1916" t="str">
        <f t="shared" si="332"/>
        <v>+</v>
      </c>
      <c r="H1916" t="str">
        <f>"40817810116991470538"</f>
        <v>40817810116991470538</v>
      </c>
      <c r="I1916" t="str">
        <f>"8598"</f>
        <v>8598</v>
      </c>
      <c r="J1916" t="str">
        <f>"0217"</f>
        <v>0217</v>
      </c>
      <c r="K1916" t="str">
        <f>"11000.00"</f>
        <v>11000.00</v>
      </c>
      <c r="L1916" t="str">
        <f>"450000 РЕСП БАШКОРТОСТАН   Г УФА   УЛ ФЕРИНА д. 13"</f>
        <v>450000 РЕСП БАШКОРТОСТАН   Г УФА   УЛ ФЕРИНА д. 13</v>
      </c>
      <c r="M1916" t="str">
        <f t="shared" si="326"/>
        <v>2019-08-24</v>
      </c>
      <c r="N1916" t="str">
        <f>"ООО КЕМАРТ"</f>
        <v>ООО КЕМАРТ</v>
      </c>
      <c r="O1916" t="str">
        <f>"450000"</f>
        <v>450000</v>
      </c>
      <c r="P1916" t="str">
        <f>"РЕСП БАШКОРТОСТАН"</f>
        <v>РЕСП БАШКОРТОСТАН</v>
      </c>
      <c r="Q1916" t="str">
        <f>""</f>
        <v/>
      </c>
      <c r="R1916" t="str">
        <f>"Г УФА"</f>
        <v>Г УФА</v>
      </c>
      <c r="S1916" t="str">
        <f>""</f>
        <v/>
      </c>
      <c r="T1916" t="str">
        <f>"УЛ ТУХВАТА ЯНАБИ"</f>
        <v>УЛ ТУХВАТА ЯНАБИ</v>
      </c>
      <c r="U1916" s="1" t="str">
        <f>"67"</f>
        <v>67</v>
      </c>
      <c r="V1916" s="1" t="str">
        <f>""</f>
        <v/>
      </c>
      <c r="W1916" s="1" t="str">
        <f>""</f>
        <v/>
      </c>
      <c r="X1916" s="1" t="str">
        <f>""</f>
        <v/>
      </c>
      <c r="Y1916" s="1" t="str">
        <f>"26"</f>
        <v>26</v>
      </c>
      <c r="Z1916" t="str">
        <f>"9174335124"</f>
        <v>9174335124</v>
      </c>
      <c r="AA1916" t="str">
        <f>"9174335124"</f>
        <v>9174335124</v>
      </c>
      <c r="AB1916" t="str">
        <f>"9174335124"</f>
        <v>9174335124</v>
      </c>
      <c r="AC1916" t="str">
        <f>"9174335124"</f>
        <v>9174335124</v>
      </c>
      <c r="AD1916" t="str">
        <f>"9174335124"</f>
        <v>9174335124</v>
      </c>
      <c r="AE1916" t="str">
        <f>"9174335124"</f>
        <v>9174335124</v>
      </c>
    </row>
    <row r="1917" spans="1:31" x14ac:dyDescent="0.45">
      <c r="A1917" t="str">
        <f>"МИРОНОВ АНДРЕЙ АЛЕКСАНДРОВИЧ"</f>
        <v>МИРОНОВ АНДРЕЙ АЛЕКСАНДРОВИЧ</v>
      </c>
      <c r="B1917" t="str">
        <f>"1975-12-12"</f>
        <v>1975-12-12</v>
      </c>
      <c r="C1917" t="str">
        <f>"65 00 547704"</f>
        <v>65 00 547704</v>
      </c>
      <c r="D1917" t="str">
        <f>"4854630423356396"</f>
        <v>4854630423356396</v>
      </c>
      <c r="E1917" t="str">
        <f>"2021-05-31"</f>
        <v>2021-05-31</v>
      </c>
      <c r="F1917" t="str">
        <f t="shared" si="333"/>
        <v>+</v>
      </c>
      <c r="G1917" t="str">
        <f t="shared" si="332"/>
        <v>+</v>
      </c>
      <c r="H1917" t="str">
        <f>"40817810416991470539"</f>
        <v>40817810416991470539</v>
      </c>
      <c r="I1917" t="str">
        <f>"7003"</f>
        <v>7003</v>
      </c>
      <c r="J1917" t="str">
        <f>"0897"</f>
        <v>0897</v>
      </c>
      <c r="K1917" t="str">
        <f>"10000.00"</f>
        <v>10000.00</v>
      </c>
      <c r="L1917" t="str">
        <f>"620000 ОБЛ СВЕРДЛОВСКАЯ   Г ЕКАТЕРИНБУРГ   УЛ СТУДЕНЧЕСКАЯ д. 16"</f>
        <v>620000 ОБЛ СВЕРДЛОВСКАЯ   Г ЕКАТЕРИНБУРГ   УЛ СТУДЕНЧЕСКАЯ д. 16</v>
      </c>
      <c r="M1917" t="str">
        <f t="shared" si="326"/>
        <v>2019-08-24</v>
      </c>
      <c r="N1917" t="str">
        <f>"ООО ИНТЕГРАЦИЯ"</f>
        <v>ООО ИНТЕГРАЦИЯ</v>
      </c>
      <c r="O1917" t="str">
        <f>"620000"</f>
        <v>620000</v>
      </c>
      <c r="P1917" t="str">
        <f>"ОБЛ СВЕРДЛОВСКАЯ"</f>
        <v>ОБЛ СВЕРДЛОВСКАЯ</v>
      </c>
      <c r="Q1917" t="str">
        <f>""</f>
        <v/>
      </c>
      <c r="R1917" t="str">
        <f>"Г СУХОЙ ЛОГ"</f>
        <v>Г СУХОЙ ЛОГ</v>
      </c>
      <c r="S1917" t="str">
        <f>""</f>
        <v/>
      </c>
      <c r="T1917" t="str">
        <f>"УЛ СОВЕТСКАЯ"</f>
        <v>УЛ СОВЕТСКАЯ</v>
      </c>
      <c r="U1917" s="1" t="str">
        <f>"115"</f>
        <v>115</v>
      </c>
      <c r="V1917" s="1" t="str">
        <f>""</f>
        <v/>
      </c>
      <c r="W1917" s="1" t="str">
        <f>""</f>
        <v/>
      </c>
      <c r="X1917" s="1" t="str">
        <f>""</f>
        <v/>
      </c>
      <c r="Y1917" s="1" t="str">
        <f>""</f>
        <v/>
      </c>
      <c r="Z1917" t="str">
        <f>""</f>
        <v/>
      </c>
      <c r="AA1917" t="str">
        <f>"9126768754"</f>
        <v>9126768754</v>
      </c>
      <c r="AB1917" t="str">
        <f>"9126768754"</f>
        <v>9126768754</v>
      </c>
      <c r="AC1917" t="str">
        <f>"9126768754"</f>
        <v>9126768754</v>
      </c>
      <c r="AD1917" t="str">
        <f>"9126768754"</f>
        <v>9126768754</v>
      </c>
      <c r="AE1917" t="str">
        <f>""</f>
        <v/>
      </c>
    </row>
    <row r="1918" spans="1:31" x14ac:dyDescent="0.45">
      <c r="A1918" t="str">
        <f>"ТАПИЛОВ УСМАНОЛИ АБДУХАЛИЛОВИЧ"</f>
        <v>ТАПИЛОВ УСМАНОЛИ АБДУХАЛИЛОВИЧ</v>
      </c>
      <c r="B1918" t="str">
        <f>"1982-09-23"</f>
        <v>1982-09-23</v>
      </c>
      <c r="C1918" t="str">
        <f>"67 18 777561"</f>
        <v>67 18 777561</v>
      </c>
      <c r="D1918" t="str">
        <f>"4279016712305756"</f>
        <v>4279016712305756</v>
      </c>
      <c r="E1918" t="str">
        <f>"2021-05-31"</f>
        <v>2021-05-31</v>
      </c>
      <c r="F1918" t="str">
        <f t="shared" si="333"/>
        <v>+</v>
      </c>
      <c r="G1918" t="str">
        <f t="shared" si="332"/>
        <v>+</v>
      </c>
      <c r="H1918" t="str">
        <f>"40817810116992280251"</f>
        <v>40817810116992280251</v>
      </c>
      <c r="I1918" t="str">
        <f>"1791"</f>
        <v>1791</v>
      </c>
      <c r="J1918" t="str">
        <f>"0055"</f>
        <v>0055</v>
      </c>
      <c r="K1918" t="str">
        <f>"36000.00"</f>
        <v>36000.00</v>
      </c>
      <c r="L1918" t="str">
        <f>"628000 ОБЛ ТЮМЕНСКАЯ   Г ХАНТЫ-МАНСИЙСК   УЛ ЭНГЕЛЬСА д. 45"</f>
        <v>628000 ОБЛ ТЮМЕНСКАЯ   Г ХАНТЫ-МАНСИЙСК   УЛ ЭНГЕЛЬСА д. 45</v>
      </c>
      <c r="M1918" t="str">
        <f t="shared" si="326"/>
        <v>2019-08-24</v>
      </c>
      <c r="N1918" t="str">
        <f>"АО ЮГРАМЕГА СПОРТ"</f>
        <v>АО ЮГРАМЕГА СПОРТ</v>
      </c>
      <c r="O1918" t="str">
        <f>"628000"</f>
        <v>628000</v>
      </c>
      <c r="P1918" t="str">
        <f>"ОБЛ ТЮМЕНСКАЯ"</f>
        <v>ОБЛ ТЮМЕНСКАЯ</v>
      </c>
      <c r="Q1918" t="str">
        <f>""</f>
        <v/>
      </c>
      <c r="R1918" t="str">
        <f>"Г НЕФТЕЮГАНСК"</f>
        <v>Г НЕФТЕЮГАНСК</v>
      </c>
      <c r="S1918" t="str">
        <f>""</f>
        <v/>
      </c>
      <c r="T1918" t="str">
        <f>"УЛ ДОРОЖНАЯ"</f>
        <v>УЛ ДОРОЖНАЯ</v>
      </c>
      <c r="U1918" s="1" t="str">
        <f>"57"</f>
        <v>57</v>
      </c>
      <c r="V1918" s="1" t="str">
        <f>""</f>
        <v/>
      </c>
      <c r="W1918" s="1" t="str">
        <f>""</f>
        <v/>
      </c>
      <c r="X1918" s="1" t="str">
        <f>""</f>
        <v/>
      </c>
      <c r="Y1918" s="1" t="str">
        <f>""</f>
        <v/>
      </c>
      <c r="Z1918" t="str">
        <f>"3467358700"</f>
        <v>3467358700</v>
      </c>
      <c r="AA1918" t="str">
        <f>"9526986614"</f>
        <v>9526986614</v>
      </c>
      <c r="AB1918" t="str">
        <f>"9526986614"</f>
        <v>9526986614</v>
      </c>
      <c r="AC1918" t="str">
        <f>"9505159575"</f>
        <v>9505159575</v>
      </c>
      <c r="AD1918" t="str">
        <f>"9526986614"</f>
        <v>9526986614</v>
      </c>
      <c r="AE1918" t="str">
        <f>""</f>
        <v/>
      </c>
    </row>
    <row r="1919" spans="1:31" x14ac:dyDescent="0.45">
      <c r="A1919" t="str">
        <f>"РАЯНОВА ИЛЬВИНА ХУРМАТУЛЛОВНА"</f>
        <v>РАЯНОВА ИЛЬВИНА ХУРМАТУЛЛОВНА</v>
      </c>
      <c r="B1919" t="str">
        <f>"1989-10-20"</f>
        <v>1989-10-20</v>
      </c>
      <c r="C1919" t="str">
        <f>"80 09 939329"</f>
        <v>80 09 939329</v>
      </c>
      <c r="D1919" t="str">
        <f>"4854630294155489"</f>
        <v>4854630294155489</v>
      </c>
      <c r="E1919" t="str">
        <f>"2020-04-30"</f>
        <v>2020-04-30</v>
      </c>
      <c r="F1919" t="str">
        <f t="shared" si="333"/>
        <v>+</v>
      </c>
      <c r="G1919" t="str">
        <f t="shared" si="332"/>
        <v>+</v>
      </c>
      <c r="H1919" t="str">
        <f>"40817810916991430626"</f>
        <v>40817810916991430626</v>
      </c>
      <c r="I1919" t="str">
        <f>"8598"</f>
        <v>8598</v>
      </c>
      <c r="J1919" t="str">
        <f>"0180"</f>
        <v>0180</v>
      </c>
      <c r="K1919" t="str">
        <f>"60000.00"</f>
        <v>60000.00</v>
      </c>
      <c r="L1919" t="str">
        <f>"450000 РЕСП БАШКОРТОСТАН   Г УФА   УЛ РЕВОЛЮЦИОННАЯ д. 41"</f>
        <v>450000 РЕСП БАШКОРТОСТАН   Г УФА   УЛ РЕВОЛЮЦИОННАЯ д. 41</v>
      </c>
      <c r="M1919" t="str">
        <f t="shared" si="326"/>
        <v>2019-08-24</v>
      </c>
      <c r="N1919" t="str">
        <f>"ПАО БАНК УРАЛСИБ"</f>
        <v>ПАО БАНК УРАЛСИБ</v>
      </c>
      <c r="O1919" t="str">
        <f>"450000"</f>
        <v>450000</v>
      </c>
      <c r="P1919" t="str">
        <f>"РЕСП БАШКОРТОСТАН"</f>
        <v>РЕСП БАШКОРТОСТАН</v>
      </c>
      <c r="Q1919" t="str">
        <f>""</f>
        <v/>
      </c>
      <c r="R1919" t="str">
        <f>"Г УФА"</f>
        <v>Г УФА</v>
      </c>
      <c r="S1919" t="str">
        <f>""</f>
        <v/>
      </c>
      <c r="T1919" t="str">
        <f>"УЛ ПРОСПЕКТ ОКТЯБРЯ"</f>
        <v>УЛ ПРОСПЕКТ ОКТЯБРЯ</v>
      </c>
      <c r="U1919" s="1" t="str">
        <f>"111"</f>
        <v>111</v>
      </c>
      <c r="V1919" s="1" t="str">
        <f>""</f>
        <v/>
      </c>
      <c r="W1919" s="1" t="str">
        <f>""</f>
        <v/>
      </c>
      <c r="X1919" s="1" t="str">
        <f>""</f>
        <v/>
      </c>
      <c r="Y1919" s="1" t="str">
        <f>"30"</f>
        <v>30</v>
      </c>
      <c r="Z1919" t="str">
        <f>"3472000000"</f>
        <v>3472000000</v>
      </c>
      <c r="AA1919" t="str">
        <f>"9876014777"</f>
        <v>9876014777</v>
      </c>
      <c r="AB1919" t="str">
        <f>"9876014777"</f>
        <v>9876014777</v>
      </c>
      <c r="AC1919" t="str">
        <f>"3472840014"</f>
        <v>3472840014</v>
      </c>
      <c r="AD1919" t="str">
        <f>"9876014777"</f>
        <v>9876014777</v>
      </c>
      <c r="AE1919" t="str">
        <f>""</f>
        <v/>
      </c>
    </row>
    <row r="1920" spans="1:31" x14ac:dyDescent="0.45">
      <c r="A1920" t="str">
        <f>"КОНОГРАЙ СЕРГЕЙ АЛЕКСАНДРОВИЧ"</f>
        <v>КОНОГРАЙ СЕРГЕЙ АЛЕКСАНДРОВИЧ</v>
      </c>
      <c r="B1920" t="str">
        <f>"1970-04-08"</f>
        <v>1970-04-08</v>
      </c>
      <c r="C1920" t="str">
        <f>"67 14 423214"</f>
        <v>67 14 423214</v>
      </c>
      <c r="D1920" t="str">
        <f>"4854630398243025"</f>
        <v>4854630398243025</v>
      </c>
      <c r="E1920" t="str">
        <f>"2021-04-30"</f>
        <v>2021-04-30</v>
      </c>
      <c r="F1920" t="str">
        <f t="shared" si="333"/>
        <v>+</v>
      </c>
      <c r="G1920" t="str">
        <f t="shared" si="332"/>
        <v>+</v>
      </c>
      <c r="H1920" t="str">
        <f>"40817810716991430635"</f>
        <v>40817810716991430635</v>
      </c>
      <c r="I1920" t="str">
        <f>"7003"</f>
        <v>7003</v>
      </c>
      <c r="J1920" t="str">
        <f>"0383"</f>
        <v>0383</v>
      </c>
      <c r="K1920" t="str">
        <f>"150000.00"</f>
        <v>150000.00</v>
      </c>
      <c r="L1920" t="str">
        <f>"628146 ОБЛ ТЮМЕНСКАЯ АО ХАНТЫ-МАНСИЙСКИЙ АВТОНОМНЫЙ ОКРУГ-ЮГРА Р-Н БЕРЕЗОВСКИЙ ПГТ ИГРИМ УЛ СТРОИТЕЛЕЙ"</f>
        <v>628146 ОБЛ ТЮМЕНСКАЯ АО ХАНТЫ-МАНСИЙСКИЙ АВТОНОМНЫЙ ОКРУГ-ЮГРА Р-Н БЕРЕЗОВСКИЙ ПГТ ИГРИМ УЛ СТРОИТЕЛЕЙ</v>
      </c>
      <c r="M1920" t="str">
        <f t="shared" si="326"/>
        <v>2019-08-24</v>
      </c>
      <c r="N1920" t="str">
        <f>"ИП КОНОГРАЙ"</f>
        <v>ИП КОНОГРАЙ</v>
      </c>
      <c r="O1920" t="str">
        <f>"628146"</f>
        <v>628146</v>
      </c>
      <c r="P1920" t="str">
        <f>"ОБЛ ТЮМЕНСКАЯ"</f>
        <v>ОБЛ ТЮМЕНСКАЯ</v>
      </c>
      <c r="Q1920" t="str">
        <f>"АО ХАНТЫ-МАНСИЙСКИЙ АВТОНОМНЫЙ ОКРУГ-ЮГРА"</f>
        <v>АО ХАНТЫ-МАНСИЙСКИЙ АВТОНОМНЫЙ ОКРУГ-ЮГРА</v>
      </c>
      <c r="R1920" t="str">
        <f>"Р-Н БЕРЕЗОВСКИЙ"</f>
        <v>Р-Н БЕРЕЗОВСКИЙ</v>
      </c>
      <c r="S1920" t="str">
        <f>"ПГТ ИГРИМ"</f>
        <v>ПГТ ИГРИМ</v>
      </c>
      <c r="T1920" t="str">
        <f>"УЛ СПОРТИВНАЯ"</f>
        <v>УЛ СПОРТИВНАЯ</v>
      </c>
      <c r="U1920" s="1" t="str">
        <f>"21"</f>
        <v>21</v>
      </c>
      <c r="V1920" s="1" t="str">
        <f>""</f>
        <v/>
      </c>
      <c r="W1920" s="1" t="str">
        <f>""</f>
        <v/>
      </c>
      <c r="X1920" s="1" t="str">
        <f>""</f>
        <v/>
      </c>
      <c r="Y1920" s="1" t="str">
        <f>"2"</f>
        <v>2</v>
      </c>
      <c r="Z1920" t="str">
        <f>"9226584201"</f>
        <v>9226584201</v>
      </c>
      <c r="AA1920" t="str">
        <f>"3467432364"</f>
        <v>3467432364</v>
      </c>
      <c r="AB1920" t="str">
        <f>"9226584201"</f>
        <v>9226584201</v>
      </c>
      <c r="AC1920" t="str">
        <f>"9226584201"</f>
        <v>9226584201</v>
      </c>
      <c r="AD1920" t="str">
        <f>"9226584201"</f>
        <v>9226584201</v>
      </c>
      <c r="AE1920" t="str">
        <f>""</f>
        <v/>
      </c>
    </row>
    <row r="1921" spans="1:31" x14ac:dyDescent="0.45">
      <c r="A1921" t="str">
        <f>"СИТДИКОВА ГУЗАЛИЯ ИДРИСОВНА"</f>
        <v>СИТДИКОВА ГУЗАЛИЯ ИДРИСОВНА</v>
      </c>
      <c r="B1921" t="str">
        <f>"1985-07-24"</f>
        <v>1985-07-24</v>
      </c>
      <c r="C1921" t="str">
        <f>"80 10 141159"</f>
        <v>80 10 141159</v>
      </c>
      <c r="D1921" t="str">
        <f>"5313100471322098"</f>
        <v>5313100471322098</v>
      </c>
      <c r="E1921" t="str">
        <f>"2021-03-31"</f>
        <v>2021-03-31</v>
      </c>
      <c r="F1921" t="str">
        <f t="shared" si="333"/>
        <v>+</v>
      </c>
      <c r="G1921" t="str">
        <f t="shared" si="332"/>
        <v>+</v>
      </c>
      <c r="H1921" t="str">
        <f>"40817810016991430636"</f>
        <v>40817810016991430636</v>
      </c>
      <c r="I1921" t="str">
        <f>"8598"</f>
        <v>8598</v>
      </c>
      <c r="J1921" t="str">
        <f>"0349"</f>
        <v>0349</v>
      </c>
      <c r="K1921" t="str">
        <f>"68000.00"</f>
        <v>68000.00</v>
      </c>
      <c r="L1921" t="str">
        <f>"450000 РЕСП БАШКОРТОСТАН     Г НЕ УКАЗАНО УЛ НЕ УКАЗАНО д. 1"</f>
        <v>450000 РЕСП БАШКОРТОСТАН     Г НЕ УКАЗАНО УЛ НЕ УКАЗАНО д. 1</v>
      </c>
      <c r="M1921" t="str">
        <f t="shared" si="326"/>
        <v>2019-08-24</v>
      </c>
      <c r="N1921" t="str">
        <f>"НЕ УКАЗАНО"</f>
        <v>НЕ УКАЗАНО</v>
      </c>
      <c r="O1921" t="str">
        <f>"468320"</f>
        <v>468320</v>
      </c>
      <c r="P1921" t="str">
        <f>"Г БАЙКОНУР"</f>
        <v>Г БАЙКОНУР</v>
      </c>
      <c r="Q1921" t="str">
        <f>""</f>
        <v/>
      </c>
      <c r="R1921" t="str">
        <f>""</f>
        <v/>
      </c>
      <c r="S1921" t="str">
        <f>"Г СТЕРЛИТАМАК"</f>
        <v>Г СТЕРЛИТАМАК</v>
      </c>
      <c r="T1921" t="str">
        <f>"УЛ ДРУЖБЫ"</f>
        <v>УЛ ДРУЖБЫ</v>
      </c>
      <c r="U1921" s="1" t="str">
        <f>"66"</f>
        <v>66</v>
      </c>
      <c r="V1921" s="1" t="str">
        <f>""</f>
        <v/>
      </c>
      <c r="W1921" s="1" t="str">
        <f>""</f>
        <v/>
      </c>
      <c r="X1921" s="1" t="str">
        <f>""</f>
        <v/>
      </c>
      <c r="Y1921" s="1" t="str">
        <f>"16"</f>
        <v>16</v>
      </c>
      <c r="Z1921" t="str">
        <f>""</f>
        <v/>
      </c>
      <c r="AA1921" t="str">
        <f>"9173681824"</f>
        <v>9173681824</v>
      </c>
      <c r="AB1921" t="str">
        <f>"9279417301"</f>
        <v>9279417301</v>
      </c>
      <c r="AC1921" t="str">
        <f>"9173681824"</f>
        <v>9173681824</v>
      </c>
      <c r="AD1921" t="str">
        <f>"9279417301"</f>
        <v>9279417301</v>
      </c>
      <c r="AE1921" t="str">
        <f>""</f>
        <v/>
      </c>
    </row>
    <row r="1922" spans="1:31" x14ac:dyDescent="0.45">
      <c r="A1922" t="str">
        <f>"ВОЙВОТ ПЕТР ВЛАДИМИРОВИЧ"</f>
        <v>ВОЙВОТ ПЕТР ВЛАДИМИРОВИЧ</v>
      </c>
      <c r="B1922" t="str">
        <f>"1978-08-24"</f>
        <v>1978-08-24</v>
      </c>
      <c r="C1922" t="str">
        <f>"71 12 947458"</f>
        <v>71 12 947458</v>
      </c>
      <c r="D1922" t="str">
        <f>"4279016744542053"</f>
        <v>4279016744542053</v>
      </c>
      <c r="E1922" t="str">
        <f>"2021-06-30"</f>
        <v>2021-06-30</v>
      </c>
      <c r="F1922" t="str">
        <f t="shared" si="333"/>
        <v>+</v>
      </c>
      <c r="G1922" t="str">
        <f t="shared" si="332"/>
        <v>+</v>
      </c>
      <c r="H1922" t="str">
        <f>"40817810416992304280"</f>
        <v>40817810416992304280</v>
      </c>
      <c r="I1922" t="str">
        <f>"8647"</f>
        <v>8647</v>
      </c>
      <c r="J1922" t="str">
        <f>"0178"</f>
        <v>0178</v>
      </c>
      <c r="K1922" t="str">
        <f>"19000.00"</f>
        <v>19000.00</v>
      </c>
      <c r="L1922" t="str">
        <f>"625013 ОБЛ ТЮМЕНСКАЯ   Г ТЮМЕНЬ   УЛ ЭНЕРГЕТИКОВ д. 51 кв. 63"</f>
        <v>625013 ОБЛ ТЮМЕНСКАЯ   Г ТЮМЕНЬ   УЛ ЭНЕРГЕТИКОВ д. 51 кв. 63</v>
      </c>
      <c r="M1922" t="str">
        <f t="shared" ref="M1922:M1985" si="334">"2019-08-24"</f>
        <v>2019-08-24</v>
      </c>
      <c r="N1922" t="str">
        <f>"ИП ВОЙВОТ"</f>
        <v>ИП ВОЙВОТ</v>
      </c>
      <c r="O1922" t="str">
        <f>"625013"</f>
        <v>625013</v>
      </c>
      <c r="P1922" t="str">
        <f>"ОБЛ ТЮМЕНСКАЯ"</f>
        <v>ОБЛ ТЮМЕНСКАЯ</v>
      </c>
      <c r="Q1922" t="str">
        <f>""</f>
        <v/>
      </c>
      <c r="R1922" t="str">
        <f>"Г ТЮМЕНЬ"</f>
        <v>Г ТЮМЕНЬ</v>
      </c>
      <c r="S1922" t="str">
        <f>""</f>
        <v/>
      </c>
      <c r="T1922" t="str">
        <f>"УЛ ЭНЕРГЕТИКОВ"</f>
        <v>УЛ ЭНЕРГЕТИКОВ</v>
      </c>
      <c r="U1922" s="1" t="str">
        <f>"51"</f>
        <v>51</v>
      </c>
      <c r="V1922" s="1" t="str">
        <f>""</f>
        <v/>
      </c>
      <c r="W1922" s="1" t="str">
        <f>""</f>
        <v/>
      </c>
      <c r="X1922" s="1" t="str">
        <f>""</f>
        <v/>
      </c>
      <c r="Y1922" s="1" t="str">
        <f>"63"</f>
        <v>63</v>
      </c>
      <c r="Z1922" t="str">
        <f>""</f>
        <v/>
      </c>
      <c r="AA1922" t="str">
        <f>"3452925616"</f>
        <v>3452925616</v>
      </c>
      <c r="AB1922" t="str">
        <f>"9129228141"</f>
        <v>9129228141</v>
      </c>
      <c r="AC1922" t="str">
        <f>"3452925616"</f>
        <v>3452925616</v>
      </c>
      <c r="AD1922" t="str">
        <f>"9129228141"</f>
        <v>9129228141</v>
      </c>
      <c r="AE1922" t="str">
        <f>""</f>
        <v/>
      </c>
    </row>
    <row r="1923" spans="1:31" x14ac:dyDescent="0.45">
      <c r="A1923" t="str">
        <f>"ПЧЁЛОВ СЕРГЕЙ ВИКТОРОВИЧ"</f>
        <v>ПЧЁЛОВ СЕРГЕЙ ВИКТОРОВИЧ</v>
      </c>
      <c r="B1923" t="str">
        <f>"1973-09-27"</f>
        <v>1973-09-27</v>
      </c>
      <c r="C1923" t="str">
        <f>"71 18 394105"</f>
        <v>71 18 394105</v>
      </c>
      <c r="D1923" t="str">
        <f>"4279016740792454"</f>
        <v>4279016740792454</v>
      </c>
      <c r="E1923" t="str">
        <f>"2021-06-30"</f>
        <v>2021-06-30</v>
      </c>
      <c r="F1923" t="str">
        <f t="shared" si="333"/>
        <v>+</v>
      </c>
      <c r="G1923" t="str">
        <f t="shared" si="332"/>
        <v>+</v>
      </c>
      <c r="H1923" t="str">
        <f>"40817810516992060631"</f>
        <v>40817810516992060631</v>
      </c>
      <c r="I1923" t="str">
        <f>"8647"</f>
        <v>8647</v>
      </c>
      <c r="J1923" t="str">
        <f>"0158"</f>
        <v>0158</v>
      </c>
      <c r="K1923" t="str">
        <f>"130000.00"</f>
        <v>130000.00</v>
      </c>
      <c r="L1923" t="str">
        <f>"625530 ОБЛ ТЮМЕНСКАЯ Р-Н ТЮМЕНСКИЙ   П ВИНЗИЛИ УЛ ВОКЗАЛЬНАЯ д. 1 стр. А"</f>
        <v>625530 ОБЛ ТЮМЕНСКАЯ Р-Н ТЮМЕНСКИЙ   П ВИНЗИЛИ УЛ ВОКЗАЛЬНАЯ д. 1 стр. А</v>
      </c>
      <c r="M1923" t="str">
        <f t="shared" si="334"/>
        <v>2019-08-24</v>
      </c>
      <c r="N1923" t="str">
        <f>"ООО ТЮМЕНЬСТАЛЬМОСТ"</f>
        <v>ООО ТЮМЕНЬСТАЛЬМОСТ</v>
      </c>
      <c r="O1923" t="str">
        <f>"625530"</f>
        <v>625530</v>
      </c>
      <c r="P1923" t="str">
        <f>"ОБЛ ТЮМЕНСКАЯ"</f>
        <v>ОБЛ ТЮМЕНСКАЯ</v>
      </c>
      <c r="Q1923" t="str">
        <f>"Р-Н ТЮМЕНСКИЙ"</f>
        <v>Р-Н ТЮМЕНСКИЙ</v>
      </c>
      <c r="R1923" t="str">
        <f>""</f>
        <v/>
      </c>
      <c r="S1923" t="str">
        <f>"П ВИНЗИЛИ"</f>
        <v>П ВИНЗИЛИ</v>
      </c>
      <c r="T1923" t="str">
        <f>"МКР ЮЖНЫЙ"</f>
        <v>МКР ЮЖНЫЙ</v>
      </c>
      <c r="U1923" s="1" t="str">
        <f>"283"</f>
        <v>283</v>
      </c>
      <c r="V1923" s="1" t="str">
        <f>""</f>
        <v/>
      </c>
      <c r="W1923" s="1" t="str">
        <f>""</f>
        <v/>
      </c>
      <c r="X1923" s="1" t="str">
        <f>""</f>
        <v/>
      </c>
      <c r="Y1923" s="1" t="str">
        <f>""</f>
        <v/>
      </c>
      <c r="Z1923" t="str">
        <f>"3452777527"</f>
        <v>3452777527</v>
      </c>
      <c r="AA1923" t="str">
        <f>"9199476883"</f>
        <v>9199476883</v>
      </c>
      <c r="AB1923" t="str">
        <f>"9199476883"</f>
        <v>9199476883</v>
      </c>
      <c r="AC1923" t="str">
        <f>"9829101491"</f>
        <v>9829101491</v>
      </c>
      <c r="AD1923" t="str">
        <f>"9199476883"</f>
        <v>9199476883</v>
      </c>
      <c r="AE1923" t="str">
        <f>"9048767417"</f>
        <v>9048767417</v>
      </c>
    </row>
    <row r="1924" spans="1:31" x14ac:dyDescent="0.45">
      <c r="A1924" t="str">
        <f>"УЛАНОВ АЛЕКСЕЙ ВАЛЕРЬЕВИЧ"</f>
        <v>УЛАНОВ АЛЕКСЕЙ ВАЛЕРЬЕВИЧ</v>
      </c>
      <c r="B1924" t="str">
        <f>"1982-06-17"</f>
        <v>1982-06-17</v>
      </c>
      <c r="C1924" t="str">
        <f>"65 03 069846"</f>
        <v>65 03 069846</v>
      </c>
      <c r="D1924" t="str">
        <f>"5313100176994100"</f>
        <v>5313100176994100</v>
      </c>
      <c r="E1924" t="str">
        <f>"2021-03-31"</f>
        <v>2021-03-31</v>
      </c>
      <c r="F1924" t="str">
        <f t="shared" si="333"/>
        <v>+</v>
      </c>
      <c r="G1924" t="str">
        <f t="shared" si="332"/>
        <v>+</v>
      </c>
      <c r="H1924" t="str">
        <f>"40817810716991442607"</f>
        <v>40817810716991442607</v>
      </c>
      <c r="I1924" t="str">
        <f>"7003"</f>
        <v>7003</v>
      </c>
      <c r="J1924" t="str">
        <f>"0899"</f>
        <v>0899</v>
      </c>
      <c r="K1924" t="str">
        <f>"60000.00"</f>
        <v>60000.00</v>
      </c>
      <c r="L1924" t="str">
        <f>"620000 ОБЛ СВЕРДЛОВСКАЯ   Г ЕКАТЕРИНБУРГ   УЛ ТАГАНСКАЯ д. 97 кв. 37"</f>
        <v>620000 ОБЛ СВЕРДЛОВСКАЯ   Г ЕКАТЕРИНБУРГ   УЛ ТАГАНСКАЯ д. 97 кв. 37</v>
      </c>
      <c r="M1924" t="str">
        <f t="shared" si="334"/>
        <v>2019-08-24</v>
      </c>
      <c r="N1924" t="str">
        <f>"ЛИЧНАЯ"</f>
        <v>ЛИЧНАЯ</v>
      </c>
      <c r="O1924" t="str">
        <f>"620000"</f>
        <v>620000</v>
      </c>
      <c r="P1924" t="str">
        <f>"ОБЛ СВЕРДЛОВСКАЯ"</f>
        <v>ОБЛ СВЕРДЛОВСКАЯ</v>
      </c>
      <c r="Q1924" t="str">
        <f>""</f>
        <v/>
      </c>
      <c r="R1924" t="str">
        <f>"Г ЕКАТЕРИНБУРГ"</f>
        <v>Г ЕКАТЕРИНБУРГ</v>
      </c>
      <c r="S1924" t="str">
        <f>""</f>
        <v/>
      </c>
      <c r="T1924" t="str">
        <f>"УЛ ТАГАНСКАЯ"</f>
        <v>УЛ ТАГАНСКАЯ</v>
      </c>
      <c r="U1924" s="1" t="str">
        <f>"97"</f>
        <v>97</v>
      </c>
      <c r="V1924" s="1" t="str">
        <f>""</f>
        <v/>
      </c>
      <c r="W1924" s="1" t="str">
        <f>""</f>
        <v/>
      </c>
      <c r="X1924" s="1" t="str">
        <f>""</f>
        <v/>
      </c>
      <c r="Y1924" s="1" t="str">
        <f>"37"</f>
        <v>37</v>
      </c>
      <c r="Z1924" t="str">
        <f>""</f>
        <v/>
      </c>
      <c r="AA1924" t="str">
        <f>"9058087873"</f>
        <v>9058087873</v>
      </c>
      <c r="AB1924" t="str">
        <f>"9058087873"</f>
        <v>9058087873</v>
      </c>
      <c r="AC1924" t="str">
        <f>"9058087873"</f>
        <v>9058087873</v>
      </c>
      <c r="AD1924" t="str">
        <f>"9058087873"</f>
        <v>9058087873</v>
      </c>
      <c r="AE1924" t="str">
        <f>""</f>
        <v/>
      </c>
    </row>
    <row r="1925" spans="1:31" x14ac:dyDescent="0.45">
      <c r="A1925" t="str">
        <f>"ЯЩУК ВЕРА ВЯЧЕСЛАВОВНА"</f>
        <v>ЯЩУК ВЕРА ВЯЧЕСЛАВОВНА</v>
      </c>
      <c r="B1925" t="str">
        <f>"1954-05-10"</f>
        <v>1954-05-10</v>
      </c>
      <c r="C1925" t="str">
        <f>"65 03 045149"</f>
        <v>65 03 045149</v>
      </c>
      <c r="D1925" t="str">
        <f>"4854630311229432"</f>
        <v>4854630311229432</v>
      </c>
      <c r="E1925" t="str">
        <f>"2020-11-30"</f>
        <v>2020-11-30</v>
      </c>
      <c r="F1925" t="str">
        <f t="shared" si="333"/>
        <v>+</v>
      </c>
      <c r="G1925" t="str">
        <f t="shared" si="332"/>
        <v>+</v>
      </c>
      <c r="H1925" t="str">
        <f>"40817810016991442608"</f>
        <v>40817810016991442608</v>
      </c>
      <c r="I1925" t="str">
        <f>"7003"</f>
        <v>7003</v>
      </c>
      <c r="J1925" t="str">
        <f>"6201"</f>
        <v>6201</v>
      </c>
      <c r="K1925" t="str">
        <f>"105000.00"</f>
        <v>105000.00</v>
      </c>
      <c r="L1925" t="str">
        <f>"620000 ОБЛ СВЕРДЛОВСКАЯ   Г ЕКАТЕРИНБУРГ   УЛ ВОСТОЧНАЯ д. 84 корп. В кв. 55"</f>
        <v>620000 ОБЛ СВЕРДЛОВСКАЯ   Г ЕКАТЕРИНБУРГ   УЛ ВОСТОЧНАЯ д. 84 корп. В кв. 55</v>
      </c>
      <c r="M1925" t="str">
        <f t="shared" si="334"/>
        <v>2019-08-24</v>
      </c>
      <c r="N1925" t="str">
        <f>"ПЕНСИОНЕР"</f>
        <v>ПЕНСИОНЕР</v>
      </c>
      <c r="O1925" t="str">
        <f>"620000"</f>
        <v>620000</v>
      </c>
      <c r="P1925" t="str">
        <f>"ОБЛ СВЕРДЛОВСКАЯ"</f>
        <v>ОБЛ СВЕРДЛОВСКАЯ</v>
      </c>
      <c r="Q1925" t="str">
        <f>""</f>
        <v/>
      </c>
      <c r="R1925" t="str">
        <f>"Г ЕКАТЕРИНБУРГ"</f>
        <v>Г ЕКАТЕРИНБУРГ</v>
      </c>
      <c r="S1925" t="str">
        <f>""</f>
        <v/>
      </c>
      <c r="T1925" t="str">
        <f>"УЛ ВОСТОЧНАЯ"</f>
        <v>УЛ ВОСТОЧНАЯ</v>
      </c>
      <c r="U1925" s="1" t="str">
        <f>"84"</f>
        <v>84</v>
      </c>
      <c r="V1925" s="1" t="str">
        <f>""</f>
        <v/>
      </c>
      <c r="W1925" s="1" t="str">
        <f>"В"</f>
        <v>В</v>
      </c>
      <c r="X1925" s="1" t="str">
        <f>""</f>
        <v/>
      </c>
      <c r="Y1925" s="1" t="str">
        <f>"55"</f>
        <v>55</v>
      </c>
      <c r="Z1925" t="str">
        <f>""</f>
        <v/>
      </c>
      <c r="AA1925" t="str">
        <f>"9826086539"</f>
        <v>9826086539</v>
      </c>
      <c r="AB1925" t="str">
        <f>"9826086539"</f>
        <v>9826086539</v>
      </c>
      <c r="AC1925" t="str">
        <f>"9826086539"</f>
        <v>9826086539</v>
      </c>
      <c r="AD1925" t="str">
        <f>"9826086539"</f>
        <v>9826086539</v>
      </c>
      <c r="AE1925" t="str">
        <f>""</f>
        <v/>
      </c>
    </row>
    <row r="1926" spans="1:31" x14ac:dyDescent="0.45">
      <c r="A1926" t="str">
        <f>"МИЛЯЕВ ИГОРЬ ВИКТОРОВИЧ"</f>
        <v>МИЛЯЕВ ИГОРЬ ВИКТОРОВИЧ</v>
      </c>
      <c r="B1926" t="str">
        <f>"1963-10-28"</f>
        <v>1963-10-28</v>
      </c>
      <c r="C1926" t="str">
        <f>"74 08 662909"</f>
        <v>74 08 662909</v>
      </c>
      <c r="D1926" t="str">
        <f>"4279016724547023"</f>
        <v>4279016724547023</v>
      </c>
      <c r="E1926" t="str">
        <f>"2021-06-30"</f>
        <v>2021-06-30</v>
      </c>
      <c r="F1926" t="str">
        <f t="shared" si="333"/>
        <v>+</v>
      </c>
      <c r="G1926" t="str">
        <f t="shared" si="332"/>
        <v>+</v>
      </c>
      <c r="H1926" t="str">
        <f>"40817810616992350953"</f>
        <v>40817810616992350953</v>
      </c>
      <c r="I1926" t="str">
        <f>"8369"</f>
        <v>8369</v>
      </c>
      <c r="J1926" t="str">
        <f>"0047"</f>
        <v>0047</v>
      </c>
      <c r="K1926" t="str">
        <f>"235000.00"</f>
        <v>235000.00</v>
      </c>
      <c r="L1926" t="str">
        <f>"629850 ОБЛ ТЮМЕНСКАЯ Р-Н ПУРОВСКИЙ Г ТАРКО-САЛЕ   УЛ НОВАЯ д. 1"</f>
        <v>629850 ОБЛ ТЮМЕНСКАЯ Р-Н ПУРОВСКИЙ Г ТАРКО-САЛЕ   УЛ НОВАЯ д. 1</v>
      </c>
      <c r="M1926" t="str">
        <f t="shared" si="334"/>
        <v>2019-08-24</v>
      </c>
      <c r="N1926" t="str">
        <f>"67505883"</f>
        <v>67505883</v>
      </c>
      <c r="O1926" t="str">
        <f>"629850"</f>
        <v>629850</v>
      </c>
      <c r="P1926" t="str">
        <f>"ОБЛ ТЮМЕНСКАЯ"</f>
        <v>ОБЛ ТЮМЕНСКАЯ</v>
      </c>
      <c r="Q1926" t="str">
        <f>"Р-Н ПУРОВСКИЙ"</f>
        <v>Р-Н ПУРОВСКИЙ</v>
      </c>
      <c r="R1926" t="str">
        <f>"Г ТАРКО-САЛЕ"</f>
        <v>Г ТАРКО-САЛЕ</v>
      </c>
      <c r="S1926" t="str">
        <f>""</f>
        <v/>
      </c>
      <c r="T1926" t="str">
        <f>"УЛ ОСЕННЯЯ"</f>
        <v>УЛ ОСЕННЯЯ</v>
      </c>
      <c r="U1926" s="1" t="str">
        <f>"5"</f>
        <v>5</v>
      </c>
      <c r="V1926" s="1" t="str">
        <f>""</f>
        <v/>
      </c>
      <c r="W1926" s="1" t="str">
        <f>""</f>
        <v/>
      </c>
      <c r="X1926" s="1" t="str">
        <f>""</f>
        <v/>
      </c>
      <c r="Y1926" s="1" t="str">
        <f>"39"</f>
        <v>39</v>
      </c>
      <c r="Z1926" t="str">
        <f>"9527337685"</f>
        <v>9527337685</v>
      </c>
      <c r="AA1926" t="str">
        <f>"65782"</f>
        <v>65782</v>
      </c>
      <c r="AB1926" t="str">
        <f>"9222263577"</f>
        <v>9222263577</v>
      </c>
      <c r="AC1926" t="str">
        <f>"9527337685"</f>
        <v>9527337685</v>
      </c>
      <c r="AD1926" t="str">
        <f>"9222263577"</f>
        <v>9222263577</v>
      </c>
      <c r="AE1926" t="str">
        <f>"9527337685"</f>
        <v>9527337685</v>
      </c>
    </row>
    <row r="1927" spans="1:31" x14ac:dyDescent="0.45">
      <c r="A1927" t="str">
        <f>"ГАМИДОВ АЗЕР АГАГУЛУ ОГЛЫ"</f>
        <v>ГАМИДОВ АЗЕР АГАГУЛУ ОГЛЫ</v>
      </c>
      <c r="B1927" t="str">
        <f>"1966-01-02"</f>
        <v>1966-01-02</v>
      </c>
      <c r="C1927" t="str">
        <f>"67 10 091451"</f>
        <v>67 10 091451</v>
      </c>
      <c r="D1927" t="str">
        <f>"4854630395058756"</f>
        <v>4854630395058756</v>
      </c>
      <c r="E1927" t="str">
        <f>"2021-04-30"</f>
        <v>2021-04-30</v>
      </c>
      <c r="F1927" t="str">
        <f t="shared" si="333"/>
        <v>+</v>
      </c>
      <c r="G1927" t="str">
        <f t="shared" si="332"/>
        <v>+</v>
      </c>
      <c r="H1927" t="str">
        <f>"40817810416992063068"</f>
        <v>40817810416992063068</v>
      </c>
      <c r="I1927" t="str">
        <f>"5940"</f>
        <v>5940</v>
      </c>
      <c r="J1927" t="str">
        <f>"0123"</f>
        <v>0123</v>
      </c>
      <c r="K1927" t="str">
        <f>"10000.00"</f>
        <v>10000.00</v>
      </c>
      <c r="L1927" t="str">
        <f>"628464 ОБЛ ТЮМЕНСКАЯ   Г РАДУЖНЫЙ   УЛ ЛОМОНОСОВА стр. 3"</f>
        <v>628464 ОБЛ ТЮМЕНСКАЯ   Г РАДУЖНЫЙ   УЛ ЛОМОНОСОВА стр. 3</v>
      </c>
      <c r="M1927" t="str">
        <f t="shared" si="334"/>
        <v>2019-08-24</v>
      </c>
      <c r="N1927" t="str">
        <f>"ДОРОЖНИК"</f>
        <v>ДОРОЖНИК</v>
      </c>
      <c r="O1927" t="str">
        <f>"628464"</f>
        <v>628464</v>
      </c>
      <c r="P1927" t="str">
        <f>"ОБЛ ТЮМЕНСКАЯ"</f>
        <v>ОБЛ ТЮМЕНСКАЯ</v>
      </c>
      <c r="Q1927" t="str">
        <f>""</f>
        <v/>
      </c>
      <c r="R1927" t="str">
        <f>"Г РАДУЖНЫЙ"</f>
        <v>Г РАДУЖНЫЙ</v>
      </c>
      <c r="S1927" t="str">
        <f>""</f>
        <v/>
      </c>
      <c r="T1927" t="str">
        <f>"УЛ ЛОМОНОСОВА"</f>
        <v>УЛ ЛОМОНОСОВА</v>
      </c>
      <c r="U1927" s="1" t="str">
        <f>"1"</f>
        <v>1</v>
      </c>
      <c r="V1927" s="1" t="str">
        <f>""</f>
        <v/>
      </c>
      <c r="W1927" s="1" t="str">
        <f>""</f>
        <v/>
      </c>
      <c r="X1927" s="1" t="str">
        <f>""</f>
        <v/>
      </c>
      <c r="Y1927" s="1" t="str">
        <f>"8"</f>
        <v>8</v>
      </c>
      <c r="Z1927" t="str">
        <f>""</f>
        <v/>
      </c>
      <c r="AA1927" t="str">
        <f>"9821981265"</f>
        <v>9821981265</v>
      </c>
      <c r="AB1927" t="str">
        <f>"9828795399"</f>
        <v>9828795399</v>
      </c>
      <c r="AC1927" t="str">
        <f>"9821981265"</f>
        <v>9821981265</v>
      </c>
      <c r="AD1927" t="str">
        <f>"9828795399"</f>
        <v>9828795399</v>
      </c>
      <c r="AE1927" t="str">
        <f>""</f>
        <v/>
      </c>
    </row>
    <row r="1928" spans="1:31" x14ac:dyDescent="0.45">
      <c r="A1928" t="str">
        <f>"ЗАРИПОВА АЙГУЛЬ ФАТИХОВНА"</f>
        <v>ЗАРИПОВА АЙГУЛЬ ФАТИХОВНА</v>
      </c>
      <c r="B1928" t="str">
        <f>"1976-07-28"</f>
        <v>1976-07-28</v>
      </c>
      <c r="C1928" t="str">
        <f>"80 05 736546"</f>
        <v>80 05 736546</v>
      </c>
      <c r="D1928" t="str">
        <f>"4854630377734358"</f>
        <v>4854630377734358</v>
      </c>
      <c r="E1928" t="str">
        <f>"2021-04-30"</f>
        <v>2021-04-30</v>
      </c>
      <c r="F1928" t="str">
        <f t="shared" si="333"/>
        <v>+</v>
      </c>
      <c r="G1928" t="str">
        <f t="shared" si="332"/>
        <v>+</v>
      </c>
      <c r="H1928" t="str">
        <f>"40817810516991470400"</f>
        <v>40817810516991470400</v>
      </c>
      <c r="I1928" t="str">
        <f>"8598"</f>
        <v>8598</v>
      </c>
      <c r="J1928" t="str">
        <f>"0595"</f>
        <v>0595</v>
      </c>
      <c r="K1928" t="str">
        <f>"20000.00"</f>
        <v>20000.00</v>
      </c>
      <c r="L1928" t="str">
        <f>"452683 РЕСП БАШКОРТОСТАН   Г НЕФТЕКАМСК   УЛ ПОБЕДЫ д. 10"</f>
        <v>452683 РЕСП БАШКОРТОСТАН   Г НЕФТЕКАМСК   УЛ ПОБЕДЫ д. 10</v>
      </c>
      <c r="M1928" t="str">
        <f t="shared" si="334"/>
        <v>2019-08-24</v>
      </c>
      <c r="N1928" t="str">
        <f>"МОБУ СОШ №16 ГО Г.НЕФТЕКАМСК РБ"</f>
        <v>МОБУ СОШ №16 ГО Г.НЕФТЕКАМСК РБ</v>
      </c>
      <c r="O1928" t="str">
        <f>"450000"</f>
        <v>450000</v>
      </c>
      <c r="P1928" t="str">
        <f>"РЕСП БАШКОРТОСТАН"</f>
        <v>РЕСП БАШКОРТОСТАН</v>
      </c>
      <c r="Q1928" t="str">
        <f>""</f>
        <v/>
      </c>
      <c r="R1928" t="str">
        <f>"Г НЕФТЕКАМСК"</f>
        <v>Г НЕФТЕКАМСК</v>
      </c>
      <c r="S1928" t="str">
        <f>""</f>
        <v/>
      </c>
      <c r="T1928" t="str">
        <f>"УЛ КРАСНЫЙ ЯР"</f>
        <v>УЛ КРАСНЫЙ ЯР</v>
      </c>
      <c r="U1928" s="1" t="str">
        <f>"18"</f>
        <v>18</v>
      </c>
      <c r="V1928" s="1" t="str">
        <f>""</f>
        <v/>
      </c>
      <c r="W1928" s="1" t="str">
        <f>""</f>
        <v/>
      </c>
      <c r="X1928" s="1" t="str">
        <f>""</f>
        <v/>
      </c>
      <c r="Y1928" s="1" t="str">
        <f>""</f>
        <v/>
      </c>
      <c r="Z1928" t="str">
        <f>"3478351395"</f>
        <v>3478351395</v>
      </c>
      <c r="AA1928" t="str">
        <f>"9191568589"</f>
        <v>9191568589</v>
      </c>
      <c r="AB1928" t="str">
        <f>"9191568589"</f>
        <v>9191568589</v>
      </c>
      <c r="AC1928" t="str">
        <f>"9191568589"</f>
        <v>9191568589</v>
      </c>
      <c r="AD1928" t="str">
        <f>"9191568589"</f>
        <v>9191568589</v>
      </c>
      <c r="AE1928" t="str">
        <f>""</f>
        <v/>
      </c>
    </row>
    <row r="1929" spans="1:31" x14ac:dyDescent="0.45">
      <c r="A1929" t="str">
        <f>"КОЗЫРЕВА ТАТЬЯНА ЯКОВЛЕВНА"</f>
        <v>КОЗЫРЕВА ТАТЬЯНА ЯКОВЛЕВНА</v>
      </c>
      <c r="B1929" t="str">
        <f>"1972-01-09"</f>
        <v>1972-01-09</v>
      </c>
      <c r="C1929" t="str">
        <f>"65 16 358132"</f>
        <v>65 16 358132</v>
      </c>
      <c r="D1929" t="str">
        <f>"4854630424289554"</f>
        <v>4854630424289554</v>
      </c>
      <c r="E1929" t="str">
        <f>"2021-05-31"</f>
        <v>2021-05-31</v>
      </c>
      <c r="F1929" t="str">
        <f>"Q"</f>
        <v>Q</v>
      </c>
      <c r="G1929" t="str">
        <f>"Q"</f>
        <v>Q</v>
      </c>
      <c r="H1929" t="str">
        <f>"40817810816991470401"</f>
        <v>40817810816991470401</v>
      </c>
      <c r="I1929" t="str">
        <f>"7003"</f>
        <v>7003</v>
      </c>
      <c r="J1929" t="str">
        <f>"0727"</f>
        <v>0727</v>
      </c>
      <c r="K1929" t="str">
        <f>"0.00"</f>
        <v>0.00</v>
      </c>
      <c r="L1929" t="str">
        <f>"620000 ОБЛ СВЕРДЛОВСКАЯ   Г НИЖНИЙ ТАГИЛ   ПР-КТ МИРА д. 53"</f>
        <v>620000 ОБЛ СВЕРДЛОВСКАЯ   Г НИЖНИЙ ТАГИЛ   ПР-КТ МИРА д. 53</v>
      </c>
      <c r="M1929" t="str">
        <f t="shared" si="334"/>
        <v>2019-08-24</v>
      </c>
      <c r="N1929" t="str">
        <f>"МКУ ЕДДС 112"</f>
        <v>МКУ ЕДДС 112</v>
      </c>
      <c r="O1929" t="str">
        <f>"620000"</f>
        <v>620000</v>
      </c>
      <c r="P1929" t="str">
        <f>"ОБЛ СВЕРДЛОВСКАЯ"</f>
        <v>ОБЛ СВЕРДЛОВСКАЯ</v>
      </c>
      <c r="Q1929" t="str">
        <f>""</f>
        <v/>
      </c>
      <c r="R1929" t="str">
        <f>"Г НИЖНИЙ ТАГИЛ"</f>
        <v>Г НИЖНИЙ ТАГИЛ</v>
      </c>
      <c r="S1929" t="str">
        <f>""</f>
        <v/>
      </c>
      <c r="T1929" t="str">
        <f>"УЛ ВЕРХНЯЯ ЧЕРЕПАНОВА"</f>
        <v>УЛ ВЕРХНЯЯ ЧЕРЕПАНОВА</v>
      </c>
      <c r="U1929" s="1" t="str">
        <f>"35А"</f>
        <v>35А</v>
      </c>
      <c r="V1929" s="1" t="str">
        <f>""</f>
        <v/>
      </c>
      <c r="W1929" s="1" t="str">
        <f>""</f>
        <v/>
      </c>
      <c r="X1929" s="1" t="str">
        <f>""</f>
        <v/>
      </c>
      <c r="Y1929" s="1" t="str">
        <f>"59"</f>
        <v>59</v>
      </c>
      <c r="Z1929" t="str">
        <f>"3435485274"</f>
        <v>3435485274</v>
      </c>
      <c r="AA1929" t="str">
        <f>"9126064511"</f>
        <v>9126064511</v>
      </c>
      <c r="AB1929" t="str">
        <f>"9126064511"</f>
        <v>9126064511</v>
      </c>
      <c r="AC1929" t="str">
        <f>"9126064511"</f>
        <v>9126064511</v>
      </c>
      <c r="AD1929" t="str">
        <f>"9126064511"</f>
        <v>9126064511</v>
      </c>
      <c r="AE1929" t="str">
        <f>""</f>
        <v/>
      </c>
    </row>
    <row r="1930" spans="1:31" x14ac:dyDescent="0.45">
      <c r="A1930" t="str">
        <f>"БАБКИН АЛЕКСАНДР НИКОЛАЕВИЧ"</f>
        <v>БАБКИН АЛЕКСАНДР НИКОЛАЕВИЧ</v>
      </c>
      <c r="B1930" t="str">
        <f>"1957-08-26"</f>
        <v>1957-08-26</v>
      </c>
      <c r="C1930" t="str">
        <f>"37 02 521310"</f>
        <v>37 02 521310</v>
      </c>
      <c r="D1930" t="str">
        <f>"4854630375783167"</f>
        <v>4854630375783167</v>
      </c>
      <c r="E1930" t="str">
        <f>"2019-11-30"</f>
        <v>2019-11-30</v>
      </c>
      <c r="F1930" t="str">
        <f>"+"</f>
        <v>+</v>
      </c>
      <c r="G1930" t="str">
        <f>"+"</f>
        <v>+</v>
      </c>
      <c r="H1930" t="str">
        <f>"40817810116991470402"</f>
        <v>40817810116991470402</v>
      </c>
      <c r="I1930" t="str">
        <f>"8599"</f>
        <v>8599</v>
      </c>
      <c r="J1930" t="str">
        <f>"0148"</f>
        <v>0148</v>
      </c>
      <c r="K1930" t="str">
        <f>"15000.00"</f>
        <v>15000.00</v>
      </c>
      <c r="L1930" t="str">
        <f>"641133 ОБЛ КУРГАНСКАЯ Р-Н АЛЬМЕНЕВСКИЙ   С ПАРАМОНОВО УЛ СОВЕТСКАЯ д. 18"</f>
        <v>641133 ОБЛ КУРГАНСКАЯ Р-Н АЛЬМЕНЕВСКИЙ   С ПАРАМОНОВО УЛ СОВЕТСКАЯ д. 18</v>
      </c>
      <c r="M1930" t="str">
        <f t="shared" si="334"/>
        <v>2019-08-24</v>
      </c>
      <c r="N1930" t="str">
        <f>"ПФР"</f>
        <v>ПФР</v>
      </c>
      <c r="O1930" t="str">
        <f>"641133"</f>
        <v>641133</v>
      </c>
      <c r="P1930" t="str">
        <f>"ОБЛ КУРГАНСКАЯ"</f>
        <v>ОБЛ КУРГАНСКАЯ</v>
      </c>
      <c r="Q1930" t="str">
        <f>"Р-Н АЛЬМЕНЕВСКИЙ"</f>
        <v>Р-Н АЛЬМЕНЕВСКИЙ</v>
      </c>
      <c r="R1930" t="str">
        <f>""</f>
        <v/>
      </c>
      <c r="S1930" t="str">
        <f>"С ПАРАМОНОВО"</f>
        <v>С ПАРАМОНОВО</v>
      </c>
      <c r="T1930" t="str">
        <f>"УЛ СОВЕТСКАЯ"</f>
        <v>УЛ СОВЕТСКАЯ</v>
      </c>
      <c r="U1930" s="1" t="str">
        <f>"18"</f>
        <v>18</v>
      </c>
      <c r="V1930" s="1" t="str">
        <f>""</f>
        <v/>
      </c>
      <c r="W1930" s="1" t="str">
        <f>""</f>
        <v/>
      </c>
      <c r="X1930" s="1" t="str">
        <f>""</f>
        <v/>
      </c>
      <c r="Y1930" s="1" t="str">
        <f>""</f>
        <v/>
      </c>
      <c r="Z1930" t="str">
        <f>""</f>
        <v/>
      </c>
      <c r="AA1930" t="str">
        <f>"9225618936"</f>
        <v>9225618936</v>
      </c>
      <c r="AB1930" t="str">
        <f>"9225710481"</f>
        <v>9225710481</v>
      </c>
      <c r="AC1930" t="str">
        <f>"9225618936"</f>
        <v>9225618936</v>
      </c>
      <c r="AD1930" t="str">
        <f>"9225710481"</f>
        <v>9225710481</v>
      </c>
      <c r="AE1930" t="str">
        <f>""</f>
        <v/>
      </c>
    </row>
    <row r="1931" spans="1:31" x14ac:dyDescent="0.45">
      <c r="A1931" t="str">
        <f>"ГАТАУЛЛИНА ФИЗИНА ФАГИРОВНА"</f>
        <v>ГАТАУЛЛИНА ФИЗИНА ФАГИРОВНА</v>
      </c>
      <c r="B1931" t="str">
        <f>"1974-01-27"</f>
        <v>1974-01-27</v>
      </c>
      <c r="C1931" t="str">
        <f>"80 18 909714"</f>
        <v>80 18 909714</v>
      </c>
      <c r="D1931" t="str">
        <f>"4854630378454352"</f>
        <v>4854630378454352</v>
      </c>
      <c r="E1931" t="str">
        <f>"2021-04-30"</f>
        <v>2021-04-30</v>
      </c>
      <c r="F1931" t="str">
        <f>"Q"</f>
        <v>Q</v>
      </c>
      <c r="G1931" t="str">
        <f>"Q"</f>
        <v>Q</v>
      </c>
      <c r="H1931" t="str">
        <f>"40817810416991470403"</f>
        <v>40817810416991470403</v>
      </c>
      <c r="I1931" t="str">
        <f>"8598"</f>
        <v>8598</v>
      </c>
      <c r="J1931" t="str">
        <f>"0600"</f>
        <v>0600</v>
      </c>
      <c r="K1931" t="str">
        <f>"0.00"</f>
        <v>0.00</v>
      </c>
      <c r="L1931" t="str">
        <f>"450000 РЕСП БАШКОРТОСТАН   Г НЕФТЕКАМСК   УЛ ПАРКОВАЯ д. 31"</f>
        <v>450000 РЕСП БАШКОРТОСТАН   Г НЕФТЕКАМСК   УЛ ПАРКОВАЯ д. 31</v>
      </c>
      <c r="M1931" t="str">
        <f t="shared" si="334"/>
        <v>2019-08-24</v>
      </c>
      <c r="N1931" t="str">
        <f>"ГБУЗ Г.НЕФТЕКАМСКА"</f>
        <v>ГБУЗ Г.НЕФТЕКАМСКА</v>
      </c>
      <c r="O1931" t="str">
        <f>"450000"</f>
        <v>450000</v>
      </c>
      <c r="P1931" t="str">
        <f>"РЕСП БАШКОРТОСТАН"</f>
        <v>РЕСП БАШКОРТОСТАН</v>
      </c>
      <c r="Q1931" t="str">
        <f>""</f>
        <v/>
      </c>
      <c r="R1931" t="str">
        <f>"Г НЕФТЕКАМСК"</f>
        <v>Г НЕФТЕКАМСК</v>
      </c>
      <c r="S1931" t="str">
        <f>""</f>
        <v/>
      </c>
      <c r="T1931" t="str">
        <f>"УЛ ДЗЕРЖИНСКОГО"</f>
        <v>УЛ ДЗЕРЖИНСКОГО</v>
      </c>
      <c r="U1931" s="1" t="str">
        <f>"3"</f>
        <v>3</v>
      </c>
      <c r="V1931" s="1" t="str">
        <f>""</f>
        <v/>
      </c>
      <c r="W1931" s="1" t="str">
        <f>""</f>
        <v/>
      </c>
      <c r="X1931" s="1" t="str">
        <f>""</f>
        <v/>
      </c>
      <c r="Y1931" s="1" t="str">
        <f>"13К12"</f>
        <v>13К12</v>
      </c>
      <c r="Z1931" t="str">
        <f>"9674590215"</f>
        <v>9674590215</v>
      </c>
      <c r="AA1931" t="str">
        <f>"9674590215"</f>
        <v>9674590215</v>
      </c>
      <c r="AB1931" t="str">
        <f>"9674590215"</f>
        <v>9674590215</v>
      </c>
      <c r="AC1931" t="str">
        <f>"9674590215"</f>
        <v>9674590215</v>
      </c>
      <c r="AD1931" t="str">
        <f>"9674590215"</f>
        <v>9674590215</v>
      </c>
      <c r="AE1931" t="str">
        <f>"9674590215"</f>
        <v>9674590215</v>
      </c>
    </row>
    <row r="1932" spans="1:31" x14ac:dyDescent="0.45">
      <c r="A1932" t="str">
        <f>"ЛЕГКИЙ ЮРИЙ ИВАНОВИЧ"</f>
        <v>ЛЕГКИЙ ЮРИЙ ИВАНОВИЧ</v>
      </c>
      <c r="B1932" t="str">
        <f>"1965-09-12"</f>
        <v>1965-09-12</v>
      </c>
      <c r="C1932" t="str">
        <f>"67 10 074032"</f>
        <v>67 10 074032</v>
      </c>
      <c r="D1932" t="str">
        <f>"4854630042446230"</f>
        <v>4854630042446230</v>
      </c>
      <c r="E1932" t="str">
        <f>"2021-05-31"</f>
        <v>2021-05-31</v>
      </c>
      <c r="F1932" t="str">
        <f t="shared" ref="F1932:G1939" si="335">"+"</f>
        <v>+</v>
      </c>
      <c r="G1932" t="str">
        <f t="shared" si="335"/>
        <v>+</v>
      </c>
      <c r="H1932" t="str">
        <f>"40817810716992193285"</f>
        <v>40817810716992193285</v>
      </c>
      <c r="I1932" t="str">
        <f>"5940"</f>
        <v>5940</v>
      </c>
      <c r="J1932" t="str">
        <f>"0128"</f>
        <v>0128</v>
      </c>
      <c r="K1932" t="str">
        <f>"300000.00"</f>
        <v>300000.00</v>
      </c>
      <c r="L1932" t="str">
        <f>"628680 ОБЛ ТЮМЕНСКАЯ   Г МЕГИОН   УЛ ЮЖНАЯ ПРОМЗОНА д. 1 кв. 1"</f>
        <v>628680 ОБЛ ТЮМЕНСКАЯ   Г МЕГИОН   УЛ ЮЖНАЯ ПРОМЗОНА д. 1 кв. 1</v>
      </c>
      <c r="M1932" t="str">
        <f t="shared" si="334"/>
        <v>2019-08-24</v>
      </c>
      <c r="N1932" t="str">
        <f>"ЗАО СП МЕКАМИНЕФТЬ"</f>
        <v>ЗАО СП МЕКАМИНЕФТЬ</v>
      </c>
      <c r="O1932" t="str">
        <f>"628680"</f>
        <v>628680</v>
      </c>
      <c r="P1932" t="str">
        <f>"ОБЛ ТЮМЕНСКАЯ"</f>
        <v>ОБЛ ТЮМЕНСКАЯ</v>
      </c>
      <c r="Q1932" t="str">
        <f>""</f>
        <v/>
      </c>
      <c r="R1932" t="str">
        <f>"Г МЕГИОН"</f>
        <v>Г МЕГИОН</v>
      </c>
      <c r="S1932" t="str">
        <f>""</f>
        <v/>
      </c>
      <c r="T1932" t="str">
        <f>"УЛ СОТ ПОДЗЕМНИК"</f>
        <v>УЛ СОТ ПОДЗЕМНИК</v>
      </c>
      <c r="U1932" s="1" t="str">
        <f>"202"</f>
        <v>202</v>
      </c>
      <c r="V1932" s="1" t="str">
        <f>""</f>
        <v/>
      </c>
      <c r="W1932" s="1" t="str">
        <f>""</f>
        <v/>
      </c>
      <c r="X1932" s="1" t="str">
        <f>""</f>
        <v/>
      </c>
      <c r="Y1932" s="1" t="str">
        <f>""</f>
        <v/>
      </c>
      <c r="Z1932" t="str">
        <f>""</f>
        <v/>
      </c>
      <c r="AA1932" t="str">
        <f>"9128170928"</f>
        <v>9128170928</v>
      </c>
      <c r="AB1932" t="str">
        <f>"9505283823"</f>
        <v>9505283823</v>
      </c>
      <c r="AC1932" t="str">
        <f>"9128170928"</f>
        <v>9128170928</v>
      </c>
      <c r="AD1932" t="str">
        <f>"9505283823"</f>
        <v>9505283823</v>
      </c>
      <c r="AE1932" t="str">
        <f>""</f>
        <v/>
      </c>
    </row>
    <row r="1933" spans="1:31" x14ac:dyDescent="0.45">
      <c r="A1933" t="str">
        <f>"АКСТ СЕРГЕЙ ВАСИЛЬЕВИЧ"</f>
        <v>АКСТ СЕРГЕЙ ВАСИЛЬЕВИЧ</v>
      </c>
      <c r="B1933" t="str">
        <f>"1970-05-20"</f>
        <v>1970-05-20</v>
      </c>
      <c r="C1933" t="str">
        <f>"75 13 418435"</f>
        <v>75 13 418435</v>
      </c>
      <c r="D1933" t="str">
        <f>"4854630384239326"</f>
        <v>4854630384239326</v>
      </c>
      <c r="E1933" t="str">
        <f>"2021-04-30"</f>
        <v>2021-04-30</v>
      </c>
      <c r="F1933" t="str">
        <f t="shared" si="335"/>
        <v>+</v>
      </c>
      <c r="G1933" t="str">
        <f t="shared" si="335"/>
        <v>+</v>
      </c>
      <c r="H1933" t="str">
        <f>"40817810516991470484"</f>
        <v>40817810516991470484</v>
      </c>
      <c r="I1933" t="str">
        <f>"8597"</f>
        <v>8597</v>
      </c>
      <c r="J1933" t="str">
        <f>"0345"</f>
        <v>0345</v>
      </c>
      <c r="K1933" t="str">
        <f>"155000.00"</f>
        <v>155000.00</v>
      </c>
      <c r="L1933" t="str">
        <f>"455000 ОБЛ ЧЕЛЯБИНСКАЯ   Г МАГНИТОГОРСК   ПРОЕЗД КИРПИЧНЫЙ д. 8"</f>
        <v>455000 ОБЛ ЧЕЛЯБИНСКАЯ   Г МАГНИТОГОРСК   ПРОЕЗД КИРПИЧНЫЙ д. 8</v>
      </c>
      <c r="M1933" t="str">
        <f t="shared" si="334"/>
        <v>2019-08-24</v>
      </c>
      <c r="N1933" t="str">
        <f>"АО УРАЛСПЕЦМАШ"</f>
        <v>АО УРАЛСПЕЦМАШ</v>
      </c>
      <c r="O1933" t="str">
        <f>"457000"</f>
        <v>457000</v>
      </c>
      <c r="P1933" t="str">
        <f>"ОБЛ ЧЕЛЯБИНСКАЯ"</f>
        <v>ОБЛ ЧЕЛЯБИНСКАЯ</v>
      </c>
      <c r="Q1933" t="str">
        <f>"Р-Н ВЕРХНЕУРАЛЬСКИЙ"</f>
        <v>Р-Н ВЕРХНЕУРАЛЬСКИЙ</v>
      </c>
      <c r="R1933" t="str">
        <f>""</f>
        <v/>
      </c>
      <c r="S1933" t="str">
        <f>"П БАБАРЫКИНСКИЙ"</f>
        <v>П БАБАРЫКИНСКИЙ</v>
      </c>
      <c r="T1933" t="str">
        <f>"УЛ ОКТЯБРЬСКАЯ"</f>
        <v>УЛ ОКТЯБРЬСКАЯ</v>
      </c>
      <c r="U1933" s="1" t="str">
        <f>"3"</f>
        <v>3</v>
      </c>
      <c r="V1933" s="1" t="str">
        <f>""</f>
        <v/>
      </c>
      <c r="W1933" s="1" t="str">
        <f>""</f>
        <v/>
      </c>
      <c r="X1933" s="1" t="str">
        <f>""</f>
        <v/>
      </c>
      <c r="Y1933" s="1" t="str">
        <f>""</f>
        <v/>
      </c>
      <c r="Z1933" t="str">
        <f>""</f>
        <v/>
      </c>
      <c r="AA1933" t="str">
        <f>"9000237631"</f>
        <v>9000237631</v>
      </c>
      <c r="AB1933" t="str">
        <f>"9000237631"</f>
        <v>9000237631</v>
      </c>
      <c r="AC1933" t="str">
        <f>"9000237631"</f>
        <v>9000237631</v>
      </c>
      <c r="AD1933" t="str">
        <f>"9000237631"</f>
        <v>9000237631</v>
      </c>
      <c r="AE1933" t="str">
        <f>""</f>
        <v/>
      </c>
    </row>
    <row r="1934" spans="1:31" x14ac:dyDescent="0.45">
      <c r="A1934" t="str">
        <f>"ДЖАНИЕВ САЛТАНАГА АЛЫШАН ОГЛЫ"</f>
        <v>ДЖАНИЕВ САЛТАНАГА АЛЫШАН ОГЛЫ</v>
      </c>
      <c r="B1934" t="str">
        <f>"1964-01-02"</f>
        <v>1964-01-02</v>
      </c>
      <c r="C1934" t="str">
        <f>"75 18 017905"</f>
        <v>75 18 017905</v>
      </c>
      <c r="D1934" t="str">
        <f>"4854630406649403"</f>
        <v>4854630406649403</v>
      </c>
      <c r="E1934" t="str">
        <f>"2021-04-30"</f>
        <v>2021-04-30</v>
      </c>
      <c r="F1934" t="str">
        <f t="shared" si="335"/>
        <v>+</v>
      </c>
      <c r="G1934" t="str">
        <f t="shared" si="335"/>
        <v>+</v>
      </c>
      <c r="H1934" t="str">
        <f>"40817810816991470485"</f>
        <v>40817810816991470485</v>
      </c>
      <c r="I1934" t="str">
        <f>"8597"</f>
        <v>8597</v>
      </c>
      <c r="J1934" t="str">
        <f>"0203"</f>
        <v>0203</v>
      </c>
      <c r="K1934" t="str">
        <f>"300000.00"</f>
        <v>300000.00</v>
      </c>
      <c r="L1934" t="str">
        <f>"454000 ОБЛ ЧЕЛЯБИНСКАЯ   Г ЧЕЛЯБИНСК   УЛ ЛЕРМОНТОВА д. 4А"</f>
        <v>454000 ОБЛ ЧЕЛЯБИНСКАЯ   Г ЧЕЛЯБИНСК   УЛ ЛЕРМОНТОВА д. 4А</v>
      </c>
      <c r="M1934" t="str">
        <f t="shared" si="334"/>
        <v>2019-08-24</v>
      </c>
      <c r="N1934" t="str">
        <f>"ИП ДЖАНИЕВ СА"</f>
        <v>ИП ДЖАНИЕВ СА</v>
      </c>
      <c r="O1934" t="str">
        <f>"454000"</f>
        <v>454000</v>
      </c>
      <c r="P1934" t="str">
        <f>"ОБЛ ЧЕЛЯБИНСКАЯ"</f>
        <v>ОБЛ ЧЕЛЯБИНСКАЯ</v>
      </c>
      <c r="Q1934" t="str">
        <f>""</f>
        <v/>
      </c>
      <c r="R1934" t="str">
        <f>"Г ЧЕЛЯБИНСК"</f>
        <v>Г ЧЕЛЯБИНСК</v>
      </c>
      <c r="S1934" t="str">
        <f>""</f>
        <v/>
      </c>
      <c r="T1934" t="str">
        <f>"УЛ КОСАРЕВА"</f>
        <v>УЛ КОСАРЕВА</v>
      </c>
      <c r="U1934" s="1" t="str">
        <f>"63"</f>
        <v>63</v>
      </c>
      <c r="V1934" s="1" t="str">
        <f>""</f>
        <v/>
      </c>
      <c r="W1934" s="1" t="str">
        <f>""</f>
        <v/>
      </c>
      <c r="X1934" s="1" t="str">
        <f>""</f>
        <v/>
      </c>
      <c r="Y1934" s="1" t="str">
        <f>"60"</f>
        <v>60</v>
      </c>
      <c r="Z1934" t="str">
        <f>""</f>
        <v/>
      </c>
      <c r="AA1934" t="str">
        <f>""</f>
        <v/>
      </c>
      <c r="AB1934" t="str">
        <f>"+7 (912) 3265287"</f>
        <v>+7 (912) 3265287</v>
      </c>
      <c r="AC1934" t="str">
        <f>"9123265287"</f>
        <v>9123265287</v>
      </c>
      <c r="AD1934" t="str">
        <f>"9123265287"</f>
        <v>9123265287</v>
      </c>
      <c r="AE1934" t="str">
        <f>""</f>
        <v/>
      </c>
    </row>
    <row r="1935" spans="1:31" x14ac:dyDescent="0.45">
      <c r="A1935" t="str">
        <f>"УРКИН АЛЕКСЕЙ НИКОЛАЕВИЧ"</f>
        <v>УРКИН АЛЕКСЕЙ НИКОЛАЕВИЧ</v>
      </c>
      <c r="B1935" t="str">
        <f>"1958-02-22"</f>
        <v>1958-02-22</v>
      </c>
      <c r="C1935" t="str">
        <f>"71 04 051013"</f>
        <v>71 04 051013</v>
      </c>
      <c r="D1935" t="str">
        <f>"4854630412307251"</f>
        <v>4854630412307251</v>
      </c>
      <c r="E1935" t="str">
        <f>"2021-04-30"</f>
        <v>2021-04-30</v>
      </c>
      <c r="F1935" t="str">
        <f t="shared" si="335"/>
        <v>+</v>
      </c>
      <c r="G1935" t="str">
        <f t="shared" si="335"/>
        <v>+</v>
      </c>
      <c r="H1935" t="str">
        <f>"40817810516992194073"</f>
        <v>40817810516992194073</v>
      </c>
      <c r="I1935" t="str">
        <f>"8647"</f>
        <v>8647</v>
      </c>
      <c r="J1935" t="str">
        <f>"0087"</f>
        <v>0087</v>
      </c>
      <c r="K1935" t="str">
        <f>"10000.00"</f>
        <v>10000.00</v>
      </c>
      <c r="L1935" t="str">
        <f>"625000 ОБЛ ТЮМЕНСКАЯ   Г ТЮМЕНЬ   УЛ РЕСПУБЛИКИ д. 124 кв. 33"</f>
        <v>625000 ОБЛ ТЮМЕНСКАЯ   Г ТЮМЕНЬ   УЛ РЕСПУБЛИКИ д. 124 кв. 33</v>
      </c>
      <c r="M1935" t="str">
        <f t="shared" si="334"/>
        <v>2019-08-24</v>
      </c>
      <c r="N1935" t="str">
        <f>"ПЕНСИОНЕР"</f>
        <v>ПЕНСИОНЕР</v>
      </c>
      <c r="O1935" t="str">
        <f>"625000"</f>
        <v>625000</v>
      </c>
      <c r="P1935" t="str">
        <f>"ОБЛ ТЮМЕНСКАЯ"</f>
        <v>ОБЛ ТЮМЕНСКАЯ</v>
      </c>
      <c r="Q1935" t="str">
        <f>"Р-Н ТЮМЕНСКИЙ"</f>
        <v>Р-Н ТЮМЕНСКИЙ</v>
      </c>
      <c r="R1935" t="str">
        <f>""</f>
        <v/>
      </c>
      <c r="S1935" t="str">
        <f>"С ГОРЬКОВКА"</f>
        <v>С ГОРЬКОВКА</v>
      </c>
      <c r="T1935" t="str">
        <f>"УЛ ПАНФИЛОВЦЕВ"</f>
        <v>УЛ ПАНФИЛОВЦЕВ</v>
      </c>
      <c r="U1935" s="1" t="str">
        <f>"2"</f>
        <v>2</v>
      </c>
      <c r="V1935" s="1" t="str">
        <f>""</f>
        <v/>
      </c>
      <c r="W1935" s="1" t="str">
        <f>""</f>
        <v/>
      </c>
      <c r="X1935" s="1" t="str">
        <f>""</f>
        <v/>
      </c>
      <c r="Y1935" s="1" t="str">
        <f>""</f>
        <v/>
      </c>
      <c r="Z1935" t="str">
        <f>""</f>
        <v/>
      </c>
      <c r="AA1935" t="str">
        <f>"9523421586"</f>
        <v>9523421586</v>
      </c>
      <c r="AB1935" t="str">
        <f>"9523421586"</f>
        <v>9523421586</v>
      </c>
      <c r="AC1935" t="str">
        <f>"9504957692"</f>
        <v>9504957692</v>
      </c>
      <c r="AD1935" t="str">
        <f>"9220485731"</f>
        <v>9220485731</v>
      </c>
      <c r="AE1935" t="str">
        <f>""</f>
        <v/>
      </c>
    </row>
    <row r="1936" spans="1:31" x14ac:dyDescent="0.45">
      <c r="A1936" t="str">
        <f>"ВАЛЕЕВА ГУЛЬНАЗ РАИСОВНА"</f>
        <v>ВАЛЕЕВА ГУЛЬНАЗ РАИСОВНА</v>
      </c>
      <c r="B1936" t="str">
        <f>"1987-04-17"</f>
        <v>1987-04-17</v>
      </c>
      <c r="C1936" t="str">
        <f>"80 18 745339"</f>
        <v>80 18 745339</v>
      </c>
      <c r="D1936" t="str">
        <f>"4854630173314256"</f>
        <v>4854630173314256</v>
      </c>
      <c r="E1936" t="str">
        <f>"2021-05-31"</f>
        <v>2021-05-31</v>
      </c>
      <c r="F1936" t="str">
        <f t="shared" si="335"/>
        <v>+</v>
      </c>
      <c r="G1936" t="str">
        <f t="shared" si="335"/>
        <v>+</v>
      </c>
      <c r="H1936" t="str">
        <f>"40817810816991470540"</f>
        <v>40817810816991470540</v>
      </c>
      <c r="I1936" t="str">
        <f>"8598"</f>
        <v>8598</v>
      </c>
      <c r="J1936" t="str">
        <f>"0233"</f>
        <v>0233</v>
      </c>
      <c r="K1936" t="str">
        <f>"100000.00"</f>
        <v>100000.00</v>
      </c>
      <c r="L1936" t="str">
        <f>"450000 РЕСП БАШКОРТОСТАН   Г УФА   ПР-КТ ОКТЯБРЯ д. 73 корп. 1"</f>
        <v>450000 РЕСП БАШКОРТОСТАН   Г УФА   ПР-КТ ОКТЯБРЯ д. 73 корп. 1</v>
      </c>
      <c r="M1936" t="str">
        <f t="shared" si="334"/>
        <v>2019-08-24</v>
      </c>
      <c r="N1936" t="str">
        <f>"ГБУЗ РБ РКОД"</f>
        <v>ГБУЗ РБ РКОД</v>
      </c>
      <c r="O1936" t="str">
        <f>"450000"</f>
        <v>450000</v>
      </c>
      <c r="P1936" t="str">
        <f>"РЕСП БАШКОРТОСТАН"</f>
        <v>РЕСП БАШКОРТОСТАН</v>
      </c>
      <c r="Q1936" t="str">
        <f>"Р-Н ИГЛИНСКИЙ"</f>
        <v>Р-Н ИГЛИНСКИЙ</v>
      </c>
      <c r="R1936" t="str">
        <f>""</f>
        <v/>
      </c>
      <c r="S1936" t="str">
        <f>"С ИГЛИНО"</f>
        <v>С ИГЛИНО</v>
      </c>
      <c r="T1936" t="str">
        <f>"УЛ СОВЕТСКАЯ"</f>
        <v>УЛ СОВЕТСКАЯ</v>
      </c>
      <c r="U1936" s="1" t="str">
        <f>"3"</f>
        <v>3</v>
      </c>
      <c r="V1936" s="1" t="str">
        <f>""</f>
        <v/>
      </c>
      <c r="W1936" s="1" t="str">
        <f>""</f>
        <v/>
      </c>
      <c r="X1936" s="1" t="str">
        <f>""</f>
        <v/>
      </c>
      <c r="Y1936" s="1" t="str">
        <f>""</f>
        <v/>
      </c>
      <c r="Z1936" t="str">
        <f>"3472372309"</f>
        <v>3472372309</v>
      </c>
      <c r="AA1936" t="str">
        <f>"9608031057"</f>
        <v>9608031057</v>
      </c>
      <c r="AB1936" t="str">
        <f>"9033556601"</f>
        <v>9033556601</v>
      </c>
      <c r="AC1936" t="str">
        <f>"9608031057"</f>
        <v>9608031057</v>
      </c>
      <c r="AD1936" t="str">
        <f>"9656461668"</f>
        <v>9656461668</v>
      </c>
      <c r="AE1936" t="str">
        <f>"3472372309"</f>
        <v>3472372309</v>
      </c>
    </row>
    <row r="1937" spans="1:31" x14ac:dyDescent="0.45">
      <c r="A1937" t="str">
        <f>"ГУСЕЙНОВА ЮЛИЯ МИХАЙЛОВНА"</f>
        <v>ГУСЕЙНОВА ЮЛИЯ МИХАЙЛОВНА</v>
      </c>
      <c r="B1937" t="str">
        <f>"1988-07-29"</f>
        <v>1988-07-29</v>
      </c>
      <c r="C1937" t="str">
        <f>"67 15 480506"</f>
        <v>67 15 480506</v>
      </c>
      <c r="D1937" t="str">
        <f>"5484016703600353"</f>
        <v>5484016703600353</v>
      </c>
      <c r="E1937" t="str">
        <f>"2021-05-31"</f>
        <v>2021-05-31</v>
      </c>
      <c r="F1937" t="str">
        <f t="shared" si="335"/>
        <v>+</v>
      </c>
      <c r="G1937" t="str">
        <f t="shared" si="335"/>
        <v>+</v>
      </c>
      <c r="H1937" t="str">
        <f>"40817810116992301059"</f>
        <v>40817810116992301059</v>
      </c>
      <c r="I1937" t="str">
        <f>"1791"</f>
        <v>1791</v>
      </c>
      <c r="J1937" t="str">
        <f>"0100"</f>
        <v>0100</v>
      </c>
      <c r="K1937" t="str">
        <f>"35000.00"</f>
        <v>35000.00</v>
      </c>
      <c r="L1937" t="str">
        <f>"628181 ОБЛ ТЮМЕНСКАЯ   Г НЯГАНЬ   МКР 1-Й д. 50"</f>
        <v>628181 ОБЛ ТЮМЕНСКАЯ   Г НЯГАНЬ   МКР 1-Й д. 50</v>
      </c>
      <c r="M1937" t="str">
        <f t="shared" si="334"/>
        <v>2019-08-24</v>
      </c>
      <c r="N1937" t="str">
        <f>"УПРАВЛЕНИЕ ГОРОДСКОГО ХОЗЯЙСТВА"</f>
        <v>УПРАВЛЕНИЕ ГОРОДСКОГО ХОЗЯЙСТВА</v>
      </c>
      <c r="O1937" t="str">
        <f>"628187"</f>
        <v>628187</v>
      </c>
      <c r="P1937" t="str">
        <f>"ОБЛ ТЮМЕНСКАЯ"</f>
        <v>ОБЛ ТЮМЕНСКАЯ</v>
      </c>
      <c r="Q1937" t="str">
        <f>""</f>
        <v/>
      </c>
      <c r="R1937" t="str">
        <f>"Г НЯГАНЬ"</f>
        <v>Г НЯГАНЬ</v>
      </c>
      <c r="S1937" t="str">
        <f>""</f>
        <v/>
      </c>
      <c r="T1937" t="str">
        <f>"УЛ ИНТЕРНАЦИОНАЛЬНАЯ"</f>
        <v>УЛ ИНТЕРНАЦИОНАЛЬНАЯ</v>
      </c>
      <c r="U1937" s="1" t="str">
        <f>"79"</f>
        <v>79</v>
      </c>
      <c r="V1937" s="1" t="str">
        <f>""</f>
        <v/>
      </c>
      <c r="W1937" s="1" t="str">
        <f>""</f>
        <v/>
      </c>
      <c r="X1937" s="1" t="str">
        <f>""</f>
        <v/>
      </c>
      <c r="Y1937" s="1" t="str">
        <f>"8"</f>
        <v>8</v>
      </c>
      <c r="Z1937" t="str">
        <f>"3467269589"</f>
        <v>3467269589</v>
      </c>
      <c r="AA1937" t="str">
        <f>"9825981831"</f>
        <v>9825981831</v>
      </c>
      <c r="AB1937" t="str">
        <f>"9129032951"</f>
        <v>9129032951</v>
      </c>
      <c r="AC1937" t="str">
        <f>"9825981831"</f>
        <v>9825981831</v>
      </c>
      <c r="AD1937" t="str">
        <f>"9129032951"</f>
        <v>9129032951</v>
      </c>
      <c r="AE1937" t="str">
        <f>""</f>
        <v/>
      </c>
    </row>
    <row r="1938" spans="1:31" x14ac:dyDescent="0.45">
      <c r="A1938" t="str">
        <f>"ШЕРОЗИЯ ОЛЬГА ВАЛЕРЬЕВНА"</f>
        <v>ШЕРОЗИЯ ОЛЬГА ВАЛЕРЬЕВНА</v>
      </c>
      <c r="B1938" t="str">
        <f>"1968-06-19"</f>
        <v>1968-06-19</v>
      </c>
      <c r="C1938" t="str">
        <f>"71 13 006982"</f>
        <v>71 13 006982</v>
      </c>
      <c r="D1938" t="str">
        <f>"4276016708097170"</f>
        <v>4276016708097170</v>
      </c>
      <c r="E1938" t="str">
        <f>"2021-05-31"</f>
        <v>2021-05-31</v>
      </c>
      <c r="F1938" t="str">
        <f t="shared" si="335"/>
        <v>+</v>
      </c>
      <c r="G1938" t="str">
        <f t="shared" si="335"/>
        <v>+</v>
      </c>
      <c r="H1938" t="str">
        <f>"40817810816992280302"</f>
        <v>40817810816992280302</v>
      </c>
      <c r="I1938" t="str">
        <f>"8647"</f>
        <v>8647</v>
      </c>
      <c r="J1938" t="str">
        <f>"0174"</f>
        <v>0174</v>
      </c>
      <c r="K1938" t="str">
        <f>"15000.00"</f>
        <v>15000.00</v>
      </c>
      <c r="L1938" t="str">
        <f>"625000 ОБЛ ТЮМЕНСКАЯ   Г ТЮМЕНЬ   УЛ ПЕРМЯКОВА д. 72"</f>
        <v>625000 ОБЛ ТЮМЕНСКАЯ   Г ТЮМЕНЬ   УЛ ПЕРМЯКОВА д. 72</v>
      </c>
      <c r="M1938" t="str">
        <f t="shared" si="334"/>
        <v>2019-08-24</v>
      </c>
      <c r="N1938" t="str">
        <f>"ИП МЕЛИХОВА"</f>
        <v>ИП МЕЛИХОВА</v>
      </c>
      <c r="O1938" t="str">
        <f>"625000"</f>
        <v>625000</v>
      </c>
      <c r="P1938" t="str">
        <f>"ОБЛ ТЮМЕНСКАЯ"</f>
        <v>ОБЛ ТЮМЕНСКАЯ</v>
      </c>
      <c r="Q1938" t="str">
        <f>""</f>
        <v/>
      </c>
      <c r="R1938" t="str">
        <f>"Г ТЮМЕНЬ"</f>
        <v>Г ТЮМЕНЬ</v>
      </c>
      <c r="S1938" t="str">
        <f>""</f>
        <v/>
      </c>
      <c r="T1938" t="str">
        <f>"УЛ НАРОДНАЯ"</f>
        <v>УЛ НАРОДНАЯ</v>
      </c>
      <c r="U1938" s="1" t="str">
        <f>"8"</f>
        <v>8</v>
      </c>
      <c r="V1938" s="1" t="str">
        <f>""</f>
        <v/>
      </c>
      <c r="W1938" s="1" t="str">
        <f>""</f>
        <v/>
      </c>
      <c r="X1938" s="1" t="str">
        <f>""</f>
        <v/>
      </c>
      <c r="Y1938" s="1" t="str">
        <f>"305"</f>
        <v>305</v>
      </c>
      <c r="Z1938" t="str">
        <f>"3452643019"</f>
        <v>3452643019</v>
      </c>
      <c r="AA1938" t="str">
        <f>"3452370998"</f>
        <v>3452370998</v>
      </c>
      <c r="AB1938" t="str">
        <f>"9199433784"</f>
        <v>9199433784</v>
      </c>
      <c r="AC1938" t="str">
        <f>"3452790998"</f>
        <v>3452790998</v>
      </c>
      <c r="AD1938" t="str">
        <f>"9199433784"</f>
        <v>9199433784</v>
      </c>
      <c r="AE1938" t="str">
        <f>""</f>
        <v/>
      </c>
    </row>
    <row r="1939" spans="1:31" x14ac:dyDescent="0.45">
      <c r="A1939" t="str">
        <f>"АСТАШЕНКОВА МАРГАРИТА АЛЕКСАНДРОВНА"</f>
        <v>АСТАШЕНКОВА МАРГАРИТА АЛЕКСАНДРОВНА</v>
      </c>
      <c r="B1939" t="str">
        <f>"1953-02-25"</f>
        <v>1953-02-25</v>
      </c>
      <c r="C1939" t="str">
        <f>"65 16 241935"</f>
        <v>65 16 241935</v>
      </c>
      <c r="D1939" t="str">
        <f>"4854630401052819"</f>
        <v>4854630401052819</v>
      </c>
      <c r="E1939" t="str">
        <f>"2021-04-30"</f>
        <v>2021-04-30</v>
      </c>
      <c r="F1939" t="str">
        <f t="shared" si="335"/>
        <v>+</v>
      </c>
      <c r="G1939" t="str">
        <f t="shared" si="335"/>
        <v>+</v>
      </c>
      <c r="H1939" t="str">
        <f>"40817810216991430627"</f>
        <v>40817810216991430627</v>
      </c>
      <c r="I1939" t="str">
        <f>"7003"</f>
        <v>7003</v>
      </c>
      <c r="J1939" t="str">
        <f>"0409"</f>
        <v>0409</v>
      </c>
      <c r="K1939" t="str">
        <f>"80000.00"</f>
        <v>80000.00</v>
      </c>
      <c r="L1939" t="str">
        <f>"620000 ОБЛ СВЕРДЛОВСКАЯ   Г ЕКАТЕРИНБУРГ   УЛ КОЛЬЦЕВАЯ д. 39 кв. 174"</f>
        <v>620000 ОБЛ СВЕРДЛОВСКАЯ   Г ЕКАТЕРИНБУРГ   УЛ КОЛЬЦЕВАЯ д. 39 кв. 174</v>
      </c>
      <c r="M1939" t="str">
        <f t="shared" si="334"/>
        <v>2019-08-24</v>
      </c>
      <c r="N1939" t="str">
        <f>"ПЕНСИОНЕР"</f>
        <v>ПЕНСИОНЕР</v>
      </c>
      <c r="O1939" t="str">
        <f>"620000"</f>
        <v>620000</v>
      </c>
      <c r="P1939" t="str">
        <f>"ОБЛ СВЕРДЛОВСКАЯ"</f>
        <v>ОБЛ СВЕРДЛОВСКАЯ</v>
      </c>
      <c r="Q1939" t="str">
        <f>""</f>
        <v/>
      </c>
      <c r="R1939" t="str">
        <f>"Г ЕКАТЕРИНБУРГ"</f>
        <v>Г ЕКАТЕРИНБУРГ</v>
      </c>
      <c r="S1939" t="str">
        <f>""</f>
        <v/>
      </c>
      <c r="T1939" t="str">
        <f>"УЛ КОЛЬЦЕВАЯ"</f>
        <v>УЛ КОЛЬЦЕВАЯ</v>
      </c>
      <c r="U1939" s="1" t="str">
        <f>"39"</f>
        <v>39</v>
      </c>
      <c r="V1939" s="1" t="str">
        <f>""</f>
        <v/>
      </c>
      <c r="W1939" s="1" t="str">
        <f>""</f>
        <v/>
      </c>
      <c r="X1939" s="1" t="str">
        <f>""</f>
        <v/>
      </c>
      <c r="Y1939" s="1" t="str">
        <f>"174"</f>
        <v>174</v>
      </c>
      <c r="Z1939" t="str">
        <f>"9826863200"</f>
        <v>9826863200</v>
      </c>
      <c r="AA1939" t="str">
        <f>"9826863200"</f>
        <v>9826863200</v>
      </c>
      <c r="AB1939" t="str">
        <f>"9826863200"</f>
        <v>9826863200</v>
      </c>
      <c r="AC1939" t="str">
        <f>"9826863200"</f>
        <v>9826863200</v>
      </c>
      <c r="AD1939" t="str">
        <f>"9826863200"</f>
        <v>9826863200</v>
      </c>
      <c r="AE1939" t="str">
        <f>"9826863200"</f>
        <v>9826863200</v>
      </c>
    </row>
    <row r="1940" spans="1:31" x14ac:dyDescent="0.45">
      <c r="A1940" t="str">
        <f>"КОРСУН НАТАЛЬЯ АЛЕКСАНДРОВНА"</f>
        <v>КОРСУН НАТАЛЬЯ АЛЕКСАНДРОВНА</v>
      </c>
      <c r="B1940" t="str">
        <f>"1966-06-22"</f>
        <v>1966-06-22</v>
      </c>
      <c r="C1940" t="str">
        <f>"67 10 105018"</f>
        <v>67 10 105018</v>
      </c>
      <c r="D1940" t="str">
        <f>"4279016734575014"</f>
        <v>4279016734575014</v>
      </c>
      <c r="E1940" t="str">
        <f>"2021-06-30"</f>
        <v>2021-06-30</v>
      </c>
      <c r="F1940" t="str">
        <f>"Q"</f>
        <v>Q</v>
      </c>
      <c r="G1940" t="str">
        <f>"Q"</f>
        <v>Q</v>
      </c>
      <c r="H1940" t="str">
        <f>"40817810967720704861"</f>
        <v>40817810967720704861</v>
      </c>
      <c r="I1940" t="str">
        <f>"1791"</f>
        <v>1791</v>
      </c>
      <c r="J1940" t="str">
        <f>"0100"</f>
        <v>0100</v>
      </c>
      <c r="K1940" t="str">
        <f>"0.00"</f>
        <v>0.00</v>
      </c>
      <c r="L1940" t="str">
        <f>"628181 АО ХАНТЫ-МАНСИЙСКИЙ АВТОНОМНЫЙ ОКРУГ-ЮГРА   Г НЯГАНЬ   МКР 1-Й д. 39 кв. 30"</f>
        <v>628181 АО ХАНТЫ-МАНСИЙСКИЙ АВТОНОМНЫЙ ОКРУГ-ЮГРА   Г НЯГАНЬ   МКР 1-Й д. 39 кв. 30</v>
      </c>
      <c r="M1940" t="str">
        <f t="shared" si="334"/>
        <v>2019-08-24</v>
      </c>
      <c r="N1940" t="str">
        <f>"ПАО СК РОСГОССТРАХ"</f>
        <v>ПАО СК РОСГОССТРАХ</v>
      </c>
      <c r="O1940" t="str">
        <f>"628181"</f>
        <v>628181</v>
      </c>
      <c r="P1940" t="str">
        <f>"АО ХАНТЫ-МАНСИЙСКИЙ АВТОНОМНЫЙ ОКРУГ-ЮГРА"</f>
        <v>АО ХАНТЫ-МАНСИЙСКИЙ АВТОНОМНЫЙ ОКРУГ-ЮГРА</v>
      </c>
      <c r="Q1940" t="str">
        <f>""</f>
        <v/>
      </c>
      <c r="R1940" t="str">
        <f>"Г НЯГАНЬ"</f>
        <v>Г НЯГАНЬ</v>
      </c>
      <c r="S1940" t="str">
        <f>""</f>
        <v/>
      </c>
      <c r="T1940" t="str">
        <f>"МКР 3-Й"</f>
        <v>МКР 3-Й</v>
      </c>
      <c r="U1940" s="1" t="str">
        <f>"6"</f>
        <v>6</v>
      </c>
      <c r="V1940" s="1" t="str">
        <f>""</f>
        <v/>
      </c>
      <c r="W1940" s="1" t="str">
        <f>""</f>
        <v/>
      </c>
      <c r="X1940" s="1" t="str">
        <f>""</f>
        <v/>
      </c>
      <c r="Y1940" s="1" t="str">
        <f>"113"</f>
        <v>113</v>
      </c>
      <c r="Z1940" t="str">
        <f>""</f>
        <v/>
      </c>
      <c r="AA1940" t="str">
        <f>"+7 (34672) 63479"</f>
        <v>+7 (34672) 63479</v>
      </c>
      <c r="AB1940" t="str">
        <f>"+7 (952) 6958487"</f>
        <v>+7 (952) 6958487</v>
      </c>
      <c r="AC1940" t="str">
        <f>"9526958487"</f>
        <v>9526958487</v>
      </c>
      <c r="AD1940" t="str">
        <f>"9526958487"</f>
        <v>9526958487</v>
      </c>
      <c r="AE1940" t="str">
        <f>"3467263575"</f>
        <v>3467263575</v>
      </c>
    </row>
    <row r="1941" spans="1:31" x14ac:dyDescent="0.45">
      <c r="A1941" t="str">
        <f>"ЗАИТОВА ДИНАРА ГАЛИУЛОВНА"</f>
        <v>ЗАИТОВА ДИНАРА ГАЛИУЛОВНА</v>
      </c>
      <c r="B1941" t="str">
        <f>"1978-02-09"</f>
        <v>1978-02-09</v>
      </c>
      <c r="C1941" t="str">
        <f>"67 08 826998"</f>
        <v>67 08 826998</v>
      </c>
      <c r="D1941" t="str">
        <f>"4279016701311419"</f>
        <v>4279016701311419</v>
      </c>
      <c r="E1941" t="str">
        <f>"2021-06-30"</f>
        <v>2021-06-30</v>
      </c>
      <c r="F1941" t="str">
        <f t="shared" ref="F1941:G1950" si="336">"+"</f>
        <v>+</v>
      </c>
      <c r="G1941" t="str">
        <f t="shared" si="336"/>
        <v>+</v>
      </c>
      <c r="H1941" t="str">
        <f>"40817810016992350621"</f>
        <v>40817810016992350621</v>
      </c>
      <c r="I1941" t="str">
        <f>"1791"</f>
        <v>1791</v>
      </c>
      <c r="J1941" t="str">
        <f>"0100"</f>
        <v>0100</v>
      </c>
      <c r="K1941" t="str">
        <f>"100000.00"</f>
        <v>100000.00</v>
      </c>
      <c r="L1941" t="str">
        <f>"628181 ОБЛ ТЮМЕНСКАЯ АО ХМАО Г НЯГАНЬ Г НЯГАНЬ УЛ ЗАГОРОДНЫХ д. 12"</f>
        <v>628181 ОБЛ ТЮМЕНСКАЯ АО ХМАО Г НЯГАНЬ Г НЯГАНЬ УЛ ЗАГОРОДНЫХ д. 12</v>
      </c>
      <c r="M1941" t="str">
        <f t="shared" si="334"/>
        <v>2019-08-24</v>
      </c>
      <c r="N1941" t="str">
        <f>"НЯГАНСКАЯ ОКРУЖНАЯ БОЛЬНИЦА"</f>
        <v>НЯГАНСКАЯ ОКРУЖНАЯ БОЛЬНИЦА</v>
      </c>
      <c r="O1941" t="str">
        <f>"628181"</f>
        <v>628181</v>
      </c>
      <c r="P1941" t="str">
        <f>"ОБЛ ТЮМЕНСКАЯ"</f>
        <v>ОБЛ ТЮМЕНСКАЯ</v>
      </c>
      <c r="Q1941" t="str">
        <f>"АО ХМАО"</f>
        <v>АО ХМАО</v>
      </c>
      <c r="R1941" t="str">
        <f>"Г НЯГАНЬ"</f>
        <v>Г НЯГАНЬ</v>
      </c>
      <c r="S1941" t="str">
        <f>"Г НЯГАНЬ"</f>
        <v>Г НЯГАНЬ</v>
      </c>
      <c r="T1941" t="str">
        <f>"УЛ 2 МКР"</f>
        <v>УЛ 2 МКР</v>
      </c>
      <c r="U1941" s="1" t="str">
        <f>"22"</f>
        <v>22</v>
      </c>
      <c r="V1941" s="1" t="str">
        <f>""</f>
        <v/>
      </c>
      <c r="W1941" s="1" t="str">
        <f>""</f>
        <v/>
      </c>
      <c r="X1941" s="1" t="str">
        <f>""</f>
        <v/>
      </c>
      <c r="Y1941" s="1" t="str">
        <f>"185"</f>
        <v>185</v>
      </c>
      <c r="Z1941" t="str">
        <f>""</f>
        <v/>
      </c>
      <c r="AA1941" t="str">
        <f>"9044503561"</f>
        <v>9044503561</v>
      </c>
      <c r="AB1941" t="str">
        <f>"9964459150"</f>
        <v>9964459150</v>
      </c>
      <c r="AC1941" t="str">
        <f>"9044503561"</f>
        <v>9044503561</v>
      </c>
      <c r="AD1941" t="str">
        <f>"9964459150"</f>
        <v>9964459150</v>
      </c>
      <c r="AE1941" t="str">
        <f>""</f>
        <v/>
      </c>
    </row>
    <row r="1942" spans="1:31" x14ac:dyDescent="0.45">
      <c r="A1942" t="str">
        <f>"КАДРОВ АРТУР НАИЛЕВИЧ"</f>
        <v>КАДРОВ АРТУР НАИЛЕВИЧ</v>
      </c>
      <c r="B1942" t="str">
        <f>"1991-05-14"</f>
        <v>1991-05-14</v>
      </c>
      <c r="C1942" t="str">
        <f>"67 10 104535"</f>
        <v>67 10 104535</v>
      </c>
      <c r="D1942" t="str">
        <f>"4276016705221104"</f>
        <v>4276016705221104</v>
      </c>
      <c r="E1942" t="str">
        <f>"2021-06-30"</f>
        <v>2021-06-30</v>
      </c>
      <c r="F1942" t="str">
        <f t="shared" si="336"/>
        <v>+</v>
      </c>
      <c r="G1942" t="str">
        <f t="shared" si="336"/>
        <v>+</v>
      </c>
      <c r="H1942" t="str">
        <f>"40817810016992350715"</f>
        <v>40817810016992350715</v>
      </c>
      <c r="I1942" t="str">
        <f>"5940"</f>
        <v>5940</v>
      </c>
      <c r="J1942" t="str">
        <f>"0138"</f>
        <v>0138</v>
      </c>
      <c r="K1942" t="str">
        <f>"600000.00"</f>
        <v>600000.00</v>
      </c>
      <c r="L1942" t="str">
        <f>"628600 ОБЛ ТЮМЕНСКАЯ   Г НИЖНЕВАРТОВСК   УЛ ИНТЕРНАЦИОНАЛЬНАЯ д. 10"</f>
        <v>628600 ОБЛ ТЮМЕНСКАЯ   Г НИЖНЕВАРТОВСК   УЛ ИНТЕРНАЦИОНАЛЬНАЯ д. 10</v>
      </c>
      <c r="M1942" t="str">
        <f t="shared" si="334"/>
        <v>2019-08-24</v>
      </c>
      <c r="N1942" t="s">
        <v>110</v>
      </c>
      <c r="O1942" t="str">
        <f>"628600"</f>
        <v>628600</v>
      </c>
      <c r="P1942" t="str">
        <f>"ОБЛ ТЮМЕНСКАЯ"</f>
        <v>ОБЛ ТЮМЕНСКАЯ</v>
      </c>
      <c r="Q1942" t="str">
        <f>""</f>
        <v/>
      </c>
      <c r="R1942" t="str">
        <f>"Г НИЖНЕВАРТОВСК"</f>
        <v>Г НИЖНЕВАРТОВСК</v>
      </c>
      <c r="S1942" t="str">
        <f>""</f>
        <v/>
      </c>
      <c r="T1942" t="str">
        <f>"УЛ ПРФСОЮЗНАЯ"</f>
        <v>УЛ ПРФСОЮЗНАЯ</v>
      </c>
      <c r="U1942" s="1" t="str">
        <f>"9"</f>
        <v>9</v>
      </c>
      <c r="V1942" s="1" t="str">
        <f>""</f>
        <v/>
      </c>
      <c r="W1942" s="1" t="str">
        <f>""</f>
        <v/>
      </c>
      <c r="X1942" s="1" t="str">
        <f>""</f>
        <v/>
      </c>
      <c r="Y1942" s="1" t="str">
        <f>"131"</f>
        <v>131</v>
      </c>
      <c r="Z1942" t="str">
        <f>"9222558688"</f>
        <v>9222558688</v>
      </c>
      <c r="AA1942" t="str">
        <f>"9227836649"</f>
        <v>9227836649</v>
      </c>
      <c r="AB1942" t="str">
        <f>"9227836649"</f>
        <v>9227836649</v>
      </c>
      <c r="AC1942" t="str">
        <f>"9227836649"</f>
        <v>9227836649</v>
      </c>
      <c r="AD1942" t="str">
        <f>"9227836649"</f>
        <v>9227836649</v>
      </c>
      <c r="AE1942" t="str">
        <f>"9222558688"</f>
        <v>9222558688</v>
      </c>
    </row>
    <row r="1943" spans="1:31" x14ac:dyDescent="0.45">
      <c r="A1943" t="str">
        <f>"САЙТБАТАЛОВА ТАТЬЯНА ДМИТРИЕВНА"</f>
        <v>САЙТБАТАЛОВА ТАТЬЯНА ДМИТРИЕВНА</v>
      </c>
      <c r="B1943" t="str">
        <f>"1990-02-22"</f>
        <v>1990-02-22</v>
      </c>
      <c r="C1943" t="str">
        <f>"71 17 313261"</f>
        <v>71 17 313261</v>
      </c>
      <c r="D1943" t="str">
        <f>"4276016718367324"</f>
        <v>4276016718367324</v>
      </c>
      <c r="E1943" t="str">
        <f>"2021-06-30"</f>
        <v>2021-06-30</v>
      </c>
      <c r="F1943" t="str">
        <f t="shared" si="336"/>
        <v>+</v>
      </c>
      <c r="G1943" t="str">
        <f t="shared" si="336"/>
        <v>+</v>
      </c>
      <c r="H1943" t="str">
        <f>"40817810816992061987"</f>
        <v>40817810816992061987</v>
      </c>
      <c r="I1943" t="str">
        <f>"8647"</f>
        <v>8647</v>
      </c>
      <c r="J1943" t="str">
        <f>"0288"</f>
        <v>0288</v>
      </c>
      <c r="K1943" t="str">
        <f>"80000.00"</f>
        <v>80000.00</v>
      </c>
      <c r="L1943" t="str">
        <f>"626150 ОБЛ ТЮМЕНСКАЯ   Г ТОБОЛЬСК   УЛ ПРОМКОМЗОНА д. 1"</f>
        <v>626150 ОБЛ ТЮМЕНСКАЯ   Г ТОБОЛЬСК   УЛ ПРОМКОМЗОНА д. 1</v>
      </c>
      <c r="M1943" t="str">
        <f t="shared" si="334"/>
        <v>2019-08-24</v>
      </c>
      <c r="N1943" t="str">
        <f>"ООО ПРОФТЕХНОЛОГИИ"</f>
        <v>ООО ПРОФТЕХНОЛОГИИ</v>
      </c>
      <c r="O1943" t="str">
        <f>"626150"</f>
        <v>626150</v>
      </c>
      <c r="P1943" t="str">
        <f>"ОБЛ ТЮМЕНСКАЯ"</f>
        <v>ОБЛ ТЮМЕНСКАЯ</v>
      </c>
      <c r="Q1943" t="str">
        <f>""</f>
        <v/>
      </c>
      <c r="R1943" t="str">
        <f>"Г ТОБОЛЬСК"</f>
        <v>Г ТОБОЛЬСК</v>
      </c>
      <c r="S1943" t="str">
        <f>""</f>
        <v/>
      </c>
      <c r="T1943" t="str">
        <f>"МКР 8"</f>
        <v>МКР 8</v>
      </c>
      <c r="U1943" s="1" t="str">
        <f>"20"</f>
        <v>20</v>
      </c>
      <c r="V1943" s="1" t="str">
        <f>""</f>
        <v/>
      </c>
      <c r="W1943" s="1" t="str">
        <f>""</f>
        <v/>
      </c>
      <c r="X1943" s="1" t="str">
        <f>""</f>
        <v/>
      </c>
      <c r="Y1943" s="1" t="str">
        <f>"100"</f>
        <v>100</v>
      </c>
      <c r="Z1943" t="str">
        <f>""</f>
        <v/>
      </c>
      <c r="AA1943" t="str">
        <f>"9829864727"</f>
        <v>9829864727</v>
      </c>
      <c r="AB1943" t="str">
        <f>"9199547213"</f>
        <v>9199547213</v>
      </c>
      <c r="AC1943" t="str">
        <f>"9829864727"</f>
        <v>9829864727</v>
      </c>
      <c r="AD1943" t="str">
        <f>"9199547213"</f>
        <v>9199547213</v>
      </c>
      <c r="AE1943" t="str">
        <f>""</f>
        <v/>
      </c>
    </row>
    <row r="1944" spans="1:31" x14ac:dyDescent="0.45">
      <c r="A1944" t="str">
        <f>"ДЕМЕНТЬЕВА ЛАРИСА АЛЕКСЕЕВНА"</f>
        <v>ДЕМЕНТЬЕВА ЛАРИСА АЛЕКСЕЕВНА</v>
      </c>
      <c r="B1944" t="str">
        <f>"1986-03-08"</f>
        <v>1986-03-08</v>
      </c>
      <c r="C1944" t="str">
        <f>"80 06 142608"</f>
        <v>80 06 142608</v>
      </c>
      <c r="D1944" t="str">
        <f>"4276011676524909"</f>
        <v>4276011676524909</v>
      </c>
      <c r="E1944" t="str">
        <f>"2022-02-28"</f>
        <v>2022-02-28</v>
      </c>
      <c r="F1944" t="str">
        <f t="shared" si="336"/>
        <v>+</v>
      </c>
      <c r="G1944" t="str">
        <f t="shared" si="336"/>
        <v>+</v>
      </c>
      <c r="H1944" t="str">
        <f>"40817810316991442609"</f>
        <v>40817810316991442609</v>
      </c>
      <c r="I1944" t="str">
        <f>"8598"</f>
        <v>8598</v>
      </c>
      <c r="J1944" t="str">
        <f>"0172"</f>
        <v>0172</v>
      </c>
      <c r="K1944" t="str">
        <f>"20000.00"</f>
        <v>20000.00</v>
      </c>
      <c r="L1944" t="str">
        <f>"450000 РЕСП БАШКОРТОСТАН     П САН ЮИМАТОВО УЛ КОЛЬЦЕВАЯ д. 26"</f>
        <v>450000 РЕСП БАШКОРТОСТАН     П САН ЮИМАТОВО УЛ КОЛЬЦЕВАЯ д. 26</v>
      </c>
      <c r="M1944" t="str">
        <f t="shared" si="334"/>
        <v>2019-08-24</v>
      </c>
      <c r="N1944" t="str">
        <f>"АО ТАНДЕР"</f>
        <v>АО ТАНДЕР</v>
      </c>
      <c r="O1944" t="str">
        <f>"450000"</f>
        <v>450000</v>
      </c>
      <c r="P1944" t="str">
        <f>"РЕСП БАШКОРТОСТАН"</f>
        <v>РЕСП БАШКОРТОСТАН</v>
      </c>
      <c r="Q1944" t="str">
        <f>"Р-Н УФИМСКИЙ"</f>
        <v>Р-Н УФИМСКИЙ</v>
      </c>
      <c r="R1944" t="str">
        <f>""</f>
        <v/>
      </c>
      <c r="S1944" t="str">
        <f>"Д УПТИНО"</f>
        <v>Д УПТИНО</v>
      </c>
      <c r="T1944" t="str">
        <f>"УЛ КЕДРОВАЯ"</f>
        <v>УЛ КЕДРОВАЯ</v>
      </c>
      <c r="U1944" s="1" t="str">
        <f>"52"</f>
        <v>52</v>
      </c>
      <c r="V1944" s="1" t="str">
        <f>""</f>
        <v/>
      </c>
      <c r="W1944" s="1" t="str">
        <f>""</f>
        <v/>
      </c>
      <c r="X1944" s="1" t="str">
        <f>""</f>
        <v/>
      </c>
      <c r="Y1944" s="1" t="str">
        <f>"1"</f>
        <v>1</v>
      </c>
      <c r="Z1944" t="str">
        <f>"9174756788"</f>
        <v>9174756788</v>
      </c>
      <c r="AA1944" t="str">
        <f>"9174756788"</f>
        <v>9174756788</v>
      </c>
      <c r="AB1944" t="str">
        <f>"9174756788"</f>
        <v>9174756788</v>
      </c>
      <c r="AC1944" t="str">
        <f>"9174756788"</f>
        <v>9174756788</v>
      </c>
      <c r="AD1944" t="str">
        <f>"9174756788"</f>
        <v>9174756788</v>
      </c>
      <c r="AE1944" t="str">
        <f>"9174756788"</f>
        <v>9174756788</v>
      </c>
    </row>
    <row r="1945" spans="1:31" x14ac:dyDescent="0.45">
      <c r="A1945" t="str">
        <f>"ШАЛАГИН АЛЕКСАНДР АЛЕКСАНДРОВИЧ"</f>
        <v>ШАЛАГИН АЛЕКСАНДР АЛЕКСАНДРОВИЧ</v>
      </c>
      <c r="B1945" t="str">
        <f>"1960-08-07"</f>
        <v>1960-08-07</v>
      </c>
      <c r="C1945" t="str">
        <f>"65 05 587153"</f>
        <v>65 05 587153</v>
      </c>
      <c r="D1945" t="str">
        <f>"5313100281527753"</f>
        <v>5313100281527753</v>
      </c>
      <c r="E1945" t="str">
        <f>"2021-03-31"</f>
        <v>2021-03-31</v>
      </c>
      <c r="F1945" t="str">
        <f t="shared" si="336"/>
        <v>+</v>
      </c>
      <c r="G1945" t="str">
        <f t="shared" si="336"/>
        <v>+</v>
      </c>
      <c r="H1945" t="str">
        <f>"40817810716991442610"</f>
        <v>40817810716991442610</v>
      </c>
      <c r="I1945" t="str">
        <f>"7003"</f>
        <v>7003</v>
      </c>
      <c r="J1945" t="str">
        <f>"0897"</f>
        <v>0897</v>
      </c>
      <c r="K1945" t="str">
        <f>"25000.00"</f>
        <v>25000.00</v>
      </c>
      <c r="L1945" t="str">
        <f>"620000 ОБЛ СВЕРДЛОВСКАЯ   Г ЕКАТЕРИНБУРГ   УЛ ПУШКИНА д. 7Л офис 203"</f>
        <v>620000 ОБЛ СВЕРДЛОВСКАЯ   Г ЕКАТЕРИНБУРГ   УЛ ПУШКИНА д. 7Л офис 203</v>
      </c>
      <c r="M1945" t="str">
        <f t="shared" si="334"/>
        <v>2019-08-24</v>
      </c>
      <c r="N1945" t="str">
        <f>"ООО ЭНЕРГИЯ ТД"</f>
        <v>ООО ЭНЕРГИЯ ТД</v>
      </c>
      <c r="O1945" t="str">
        <f>"620000"</f>
        <v>620000</v>
      </c>
      <c r="P1945" t="str">
        <f>"ОБЛ СВЕРДЛОВСКАЯ"</f>
        <v>ОБЛ СВЕРДЛОВСКАЯ</v>
      </c>
      <c r="Q1945" t="str">
        <f>""</f>
        <v/>
      </c>
      <c r="R1945" t="str">
        <f>"Г ЕКАТЕРИНБУРГ"</f>
        <v>Г ЕКАТЕРИНБУРГ</v>
      </c>
      <c r="S1945" t="str">
        <f>""</f>
        <v/>
      </c>
      <c r="T1945" t="str">
        <f>"УЛ НАРОДНОЙ ВОЛИ"</f>
        <v>УЛ НАРОДНОЙ ВОЛИ</v>
      </c>
      <c r="U1945" s="1" t="str">
        <f>"103"</f>
        <v>103</v>
      </c>
      <c r="V1945" s="1" t="str">
        <f>""</f>
        <v/>
      </c>
      <c r="W1945" s="1" t="str">
        <f>""</f>
        <v/>
      </c>
      <c r="X1945" s="1" t="str">
        <f>""</f>
        <v/>
      </c>
      <c r="Y1945" s="1" t="str">
        <f>"71"</f>
        <v>71</v>
      </c>
      <c r="Z1945" t="str">
        <f>"9222084128"</f>
        <v>9222084128</v>
      </c>
      <c r="AA1945" t="str">
        <f>"9222084128"</f>
        <v>9222084128</v>
      </c>
      <c r="AB1945" t="str">
        <f>"9222084128"</f>
        <v>9222084128</v>
      </c>
      <c r="AC1945" t="str">
        <f>"9222084128"</f>
        <v>9222084128</v>
      </c>
      <c r="AD1945" t="str">
        <f>"9222084128"</f>
        <v>9222084128</v>
      </c>
      <c r="AE1945" t="str">
        <f>"9222084128"</f>
        <v>9222084128</v>
      </c>
    </row>
    <row r="1946" spans="1:31" x14ac:dyDescent="0.45">
      <c r="A1946" t="str">
        <f>"БУДНИКОВ АЛЕКСАНДР АНАТОЛЬЕВИЧ"</f>
        <v>БУДНИКОВ АЛЕКСАНДР АНАТОЛЬЕВИЧ</v>
      </c>
      <c r="B1946" t="str">
        <f>"1979-08-01"</f>
        <v>1979-08-01</v>
      </c>
      <c r="C1946" t="str">
        <f>"71 02 512676"</f>
        <v>71 02 512676</v>
      </c>
      <c r="D1946" t="str">
        <f>"4854630106481925"</f>
        <v>4854630106481925</v>
      </c>
      <c r="E1946" t="str">
        <f>"2021-05-31"</f>
        <v>2021-05-31</v>
      </c>
      <c r="F1946" t="str">
        <f t="shared" si="336"/>
        <v>+</v>
      </c>
      <c r="G1946" t="str">
        <f t="shared" si="336"/>
        <v>+</v>
      </c>
      <c r="H1946" t="str">
        <f>"40817810916992194220"</f>
        <v>40817810916992194220</v>
      </c>
      <c r="I1946" t="str">
        <f>"8647"</f>
        <v>8647</v>
      </c>
      <c r="J1946" t="str">
        <f>"0102"</f>
        <v>0102</v>
      </c>
      <c r="K1946" t="str">
        <f>"100000.00"</f>
        <v>100000.00</v>
      </c>
      <c r="L1946" t="str">
        <f>"625000 ОБЛ ТЮМЕНСКАЯ   Г ТЮМЕНЬ   УЛ МОСКОВСКИЙ ТРАКТ д. 169 кв. 101"</f>
        <v>625000 ОБЛ ТЮМЕНСКАЯ   Г ТЮМЕНЬ   УЛ МОСКОВСКИЙ ТРАКТ д. 169 кв. 101</v>
      </c>
      <c r="M1946" t="str">
        <f t="shared" si="334"/>
        <v>2019-08-24</v>
      </c>
      <c r="N1946" t="str">
        <f>"ПЕНСИОНЕР"</f>
        <v>ПЕНСИОНЕР</v>
      </c>
      <c r="O1946" t="str">
        <f>"625000"</f>
        <v>625000</v>
      </c>
      <c r="P1946" t="str">
        <f>"ОБЛ ТЮМЕНСКАЯ"</f>
        <v>ОБЛ ТЮМЕНСКАЯ</v>
      </c>
      <c r="Q1946" t="str">
        <f>""</f>
        <v/>
      </c>
      <c r="R1946" t="str">
        <f>"Г ТЮМЕНЬ"</f>
        <v>Г ТЮМЕНЬ</v>
      </c>
      <c r="S1946" t="str">
        <f>""</f>
        <v/>
      </c>
      <c r="T1946" t="str">
        <f>"УЛ МОСКОВСКИЙ ТРАКТ"</f>
        <v>УЛ МОСКОВСКИЙ ТРАКТ</v>
      </c>
      <c r="U1946" s="1" t="str">
        <f>"169"</f>
        <v>169</v>
      </c>
      <c r="V1946" s="1" t="str">
        <f>""</f>
        <v/>
      </c>
      <c r="W1946" s="1" t="str">
        <f>""</f>
        <v/>
      </c>
      <c r="X1946" s="1" t="str">
        <f>""</f>
        <v/>
      </c>
      <c r="Y1946" s="1" t="str">
        <f>"101"</f>
        <v>101</v>
      </c>
      <c r="Z1946" t="str">
        <f>""</f>
        <v/>
      </c>
      <c r="AA1946" t="str">
        <f>"9224747719"</f>
        <v>9224747719</v>
      </c>
      <c r="AB1946" t="str">
        <f>"9222613675"</f>
        <v>9222613675</v>
      </c>
      <c r="AC1946" t="str">
        <f>"9224747719"</f>
        <v>9224747719</v>
      </c>
      <c r="AD1946" t="str">
        <f>"9222613675"</f>
        <v>9222613675</v>
      </c>
      <c r="AE1946" t="str">
        <f>""</f>
        <v/>
      </c>
    </row>
    <row r="1947" spans="1:31" x14ac:dyDescent="0.45">
      <c r="A1947" t="str">
        <f>"НЕМТИН ВЛАДИМИР НИКОЛАЕВИЧ"</f>
        <v>НЕМТИН ВЛАДИМИР НИКОЛАЕВИЧ</v>
      </c>
      <c r="B1947" t="str">
        <f>"1954-02-02"</f>
        <v>1954-02-02</v>
      </c>
      <c r="C1947" t="str">
        <f>"65 05 018465"</f>
        <v>65 05 018465</v>
      </c>
      <c r="D1947" t="str">
        <f>"4854630374552167"</f>
        <v>4854630374552167</v>
      </c>
      <c r="E1947" t="str">
        <f>"2020-09-30"</f>
        <v>2020-09-30</v>
      </c>
      <c r="F1947" t="str">
        <f t="shared" si="336"/>
        <v>+</v>
      </c>
      <c r="G1947" t="str">
        <f t="shared" si="336"/>
        <v>+</v>
      </c>
      <c r="H1947" t="str">
        <f>"40817810716991470404"</f>
        <v>40817810716991470404</v>
      </c>
      <c r="I1947" t="str">
        <f>"7003"</f>
        <v>7003</v>
      </c>
      <c r="J1947" t="str">
        <f>"0760"</f>
        <v>0760</v>
      </c>
      <c r="K1947" t="str">
        <f>"50000.00"</f>
        <v>50000.00</v>
      </c>
      <c r="L1947" t="str">
        <f>"620000 ОБЛ СВЕРДЛОВСКАЯ     С БЕРДЮГИНО УЛ НОВАЯ д. 1"</f>
        <v>620000 ОБЛ СВЕРДЛОВСКАЯ     С БЕРДЮГИНО УЛ НОВАЯ д. 1</v>
      </c>
      <c r="M1947" t="str">
        <f t="shared" si="334"/>
        <v>2019-08-24</v>
      </c>
      <c r="N1947" t="str">
        <f>"ЗАВЕТ ИЛЬИЧА"</f>
        <v>ЗАВЕТ ИЛЬИЧА</v>
      </c>
      <c r="O1947" t="str">
        <f>"620000"</f>
        <v>620000</v>
      </c>
      <c r="P1947" t="str">
        <f>"ОБЛ СВЕРДЛОВСКАЯ"</f>
        <v>ОБЛ СВЕРДЛОВСКАЯ</v>
      </c>
      <c r="Q1947" t="str">
        <f>"Р-Н ИРБИТСКИЙ"</f>
        <v>Р-Н ИРБИТСКИЙ</v>
      </c>
      <c r="R1947" t="str">
        <f>""</f>
        <v/>
      </c>
      <c r="S1947" t="str">
        <f>"С ВОЛКОВО"</f>
        <v>С ВОЛКОВО</v>
      </c>
      <c r="T1947" t="str">
        <f>"УЛ НОВАЯ"</f>
        <v>УЛ НОВАЯ</v>
      </c>
      <c r="U1947" s="1" t="str">
        <f>"4"</f>
        <v>4</v>
      </c>
      <c r="V1947" s="1" t="str">
        <f>""</f>
        <v/>
      </c>
      <c r="W1947" s="1" t="str">
        <f>""</f>
        <v/>
      </c>
      <c r="X1947" s="1" t="str">
        <f>""</f>
        <v/>
      </c>
      <c r="Y1947" s="1" t="str">
        <f>"2"</f>
        <v>2</v>
      </c>
      <c r="Z1947" t="str">
        <f>""</f>
        <v/>
      </c>
      <c r="AA1947" t="str">
        <f>"9638539219"</f>
        <v>9638539219</v>
      </c>
      <c r="AB1947" t="str">
        <f>"9630363869"</f>
        <v>9630363869</v>
      </c>
      <c r="AC1947" t="str">
        <f>"9638539219"</f>
        <v>9638539219</v>
      </c>
      <c r="AD1947" t="str">
        <f>"9638539219"</f>
        <v>9638539219</v>
      </c>
      <c r="AE1947" t="str">
        <f>""</f>
        <v/>
      </c>
    </row>
    <row r="1948" spans="1:31" x14ac:dyDescent="0.45">
      <c r="A1948" t="str">
        <f>"РЕШЕТНИКОВ АЛЕКСАНДР ВЛАДИМИРОВИЧ"</f>
        <v>РЕШЕТНИКОВ АЛЕКСАНДР ВЛАДИМИРОВИЧ</v>
      </c>
      <c r="B1948" t="str">
        <f>"1957-08-29"</f>
        <v>1957-08-29</v>
      </c>
      <c r="C1948" t="str">
        <f>"71 04 018183"</f>
        <v>71 04 018183</v>
      </c>
      <c r="D1948" t="str">
        <f>"4854630055809175"</f>
        <v>4854630055809175</v>
      </c>
      <c r="E1948" t="str">
        <f>"2020-11-30"</f>
        <v>2020-11-30</v>
      </c>
      <c r="F1948" t="str">
        <f t="shared" si="336"/>
        <v>+</v>
      </c>
      <c r="G1948" t="str">
        <f t="shared" si="336"/>
        <v>+</v>
      </c>
      <c r="H1948" t="str">
        <f>"40817810816992556421"</f>
        <v>40817810816992556421</v>
      </c>
      <c r="I1948" t="str">
        <f>"8647"</f>
        <v>8647</v>
      </c>
      <c r="J1948" t="str">
        <f>"0174"</f>
        <v>0174</v>
      </c>
      <c r="K1948" t="str">
        <f>"50000.00"</f>
        <v>50000.00</v>
      </c>
      <c r="L1948" t="str">
        <f>"625000 ОБЛ ТЮМЕНСКАЯ   Г ТЮМЕНЬ   УЛ МЕЛЬНИКАЙТЕ д. 132"</f>
        <v>625000 ОБЛ ТЮМЕНСКАЯ   Г ТЮМЕНЬ   УЛ МЕЛЬНИКАЙТЕ д. 132</v>
      </c>
      <c r="M1948" t="str">
        <f t="shared" si="334"/>
        <v>2019-08-24</v>
      </c>
      <c r="N1948" t="str">
        <f>"ПЕНСИОНЕР"</f>
        <v>ПЕНСИОНЕР</v>
      </c>
      <c r="O1948" t="str">
        <f>"625000"</f>
        <v>625000</v>
      </c>
      <c r="P1948" t="str">
        <f>"ОБЛ ТЮМЕНСКАЯ"</f>
        <v>ОБЛ ТЮМЕНСКАЯ</v>
      </c>
      <c r="Q1948" t="str">
        <f>""</f>
        <v/>
      </c>
      <c r="R1948" t="str">
        <f>"Г ТЮМЕНЬ"</f>
        <v>Г ТЮМЕНЬ</v>
      </c>
      <c r="S1948" t="str">
        <f>""</f>
        <v/>
      </c>
      <c r="T1948" t="str">
        <f>"УЛ ЭНЕРГОСТРОИТЕЛЕЙ"</f>
        <v>УЛ ЭНЕРГОСТРОИТЕЛЕЙ</v>
      </c>
      <c r="U1948" s="1" t="str">
        <f>"2"</f>
        <v>2</v>
      </c>
      <c r="V1948" s="1" t="str">
        <f>""</f>
        <v/>
      </c>
      <c r="W1948" s="1" t="str">
        <f>""</f>
        <v/>
      </c>
      <c r="X1948" s="1" t="str">
        <f>""</f>
        <v/>
      </c>
      <c r="Y1948" s="1" t="str">
        <f>"55"</f>
        <v>55</v>
      </c>
      <c r="Z1948" t="str">
        <f>""</f>
        <v/>
      </c>
      <c r="AA1948" t="str">
        <f>"9521360431"</f>
        <v>9521360431</v>
      </c>
      <c r="AB1948" t="str">
        <f>"9044938288"</f>
        <v>9044938288</v>
      </c>
      <c r="AC1948" t="str">
        <f>"9521360431"</f>
        <v>9521360431</v>
      </c>
      <c r="AD1948" t="str">
        <f>"9044938288"</f>
        <v>9044938288</v>
      </c>
      <c r="AE1948" t="str">
        <f>""</f>
        <v/>
      </c>
    </row>
    <row r="1949" spans="1:31" x14ac:dyDescent="0.45">
      <c r="A1949" t="str">
        <f>"ИВАНОВ ЮРИЙ ПЕТРОВИЧ"</f>
        <v>ИВАНОВ ЮРИЙ ПЕТРОВИЧ</v>
      </c>
      <c r="B1949" t="str">
        <f>"1960-03-29"</f>
        <v>1960-03-29</v>
      </c>
      <c r="C1949" t="str">
        <f>"65 05 459864"</f>
        <v>65 05 459864</v>
      </c>
      <c r="D1949" t="str">
        <f>"4854630252194603"</f>
        <v>4854630252194603</v>
      </c>
      <c r="E1949" t="str">
        <f>"2020-11-30"</f>
        <v>2020-11-30</v>
      </c>
      <c r="F1949" t="str">
        <f t="shared" si="336"/>
        <v>+</v>
      </c>
      <c r="G1949" t="str">
        <f t="shared" si="336"/>
        <v>+</v>
      </c>
      <c r="H1949" t="str">
        <f>"40817810916991470453"</f>
        <v>40817810916991470453</v>
      </c>
      <c r="I1949" t="str">
        <f>"7003"</f>
        <v>7003</v>
      </c>
      <c r="J1949" t="str">
        <f>"0741"</f>
        <v>0741</v>
      </c>
      <c r="K1949" t="str">
        <f>"600000.00"</f>
        <v>600000.00</v>
      </c>
      <c r="L1949" t="str">
        <f>"620000 ОБЛ СВЕРДЛОВСКАЯ   Г НИЖНИЙ ТАГИЛ   УЛ КРАЗНАМЕННАЯ д. 34"</f>
        <v>620000 ОБЛ СВЕРДЛОВСКАЯ   Г НИЖНИЙ ТАГИЛ   УЛ КРАЗНАМЕННАЯ д. 34</v>
      </c>
      <c r="M1949" t="str">
        <f t="shared" si="334"/>
        <v>2019-08-24</v>
      </c>
      <c r="N1949" t="str">
        <f>"СТК СТРОИТЕЛЬ"</f>
        <v>СТК СТРОИТЕЛЬ</v>
      </c>
      <c r="O1949" t="str">
        <f>"620000"</f>
        <v>620000</v>
      </c>
      <c r="P1949" t="str">
        <f>"ОБЛ СВЕРДЛОВСКАЯ"</f>
        <v>ОБЛ СВЕРДЛОВСКАЯ</v>
      </c>
      <c r="Q1949" t="str">
        <f>""</f>
        <v/>
      </c>
      <c r="R1949" t="str">
        <f>"Г НИЖНИЙ ТАГИЛ"</f>
        <v>Г НИЖНИЙ ТАГИЛ</v>
      </c>
      <c r="S1949" t="str">
        <f>""</f>
        <v/>
      </c>
      <c r="T1949" t="str">
        <f>"УЛ ГАЗЕТНАЯ"</f>
        <v>УЛ ГАЗЕТНАЯ</v>
      </c>
      <c r="U1949" s="1" t="str">
        <f>"105"</f>
        <v>105</v>
      </c>
      <c r="V1949" s="1" t="str">
        <f>""</f>
        <v/>
      </c>
      <c r="W1949" s="1" t="str">
        <f>""</f>
        <v/>
      </c>
      <c r="X1949" s="1" t="str">
        <f>""</f>
        <v/>
      </c>
      <c r="Y1949" s="1" t="str">
        <f>"37"</f>
        <v>37</v>
      </c>
      <c r="Z1949" t="str">
        <f>""</f>
        <v/>
      </c>
      <c r="AA1949" t="str">
        <f>"9126786217"</f>
        <v>9126786217</v>
      </c>
      <c r="AB1949" t="str">
        <f>"9122689315"</f>
        <v>9122689315</v>
      </c>
      <c r="AC1949" t="str">
        <f>"9126786217"</f>
        <v>9126786217</v>
      </c>
      <c r="AD1949" t="str">
        <f>"9122689315"</f>
        <v>9122689315</v>
      </c>
      <c r="AE1949" t="str">
        <f>""</f>
        <v/>
      </c>
    </row>
    <row r="1950" spans="1:31" x14ac:dyDescent="0.45">
      <c r="A1950" t="str">
        <f>"ГОРОХОВ ИЛЬЯ СЕРГЕЕВИЧ"</f>
        <v>ГОРОХОВ ИЛЬЯ СЕРГЕЕВИЧ</v>
      </c>
      <c r="B1950" t="str">
        <f>"1989-08-22"</f>
        <v>1989-08-22</v>
      </c>
      <c r="C1950" t="str">
        <f>"65 09 741543"</f>
        <v>65 09 741543</v>
      </c>
      <c r="D1950" t="str">
        <f>"4854630399609232"</f>
        <v>4854630399609232</v>
      </c>
      <c r="E1950" t="str">
        <f>"2021-04-30"</f>
        <v>2021-04-30</v>
      </c>
      <c r="F1950" t="str">
        <f t="shared" si="336"/>
        <v>+</v>
      </c>
      <c r="G1950" t="str">
        <f t="shared" si="336"/>
        <v>+</v>
      </c>
      <c r="H1950" t="str">
        <f>"40817810216991470454"</f>
        <v>40817810216991470454</v>
      </c>
      <c r="I1950" t="str">
        <f>"7003"</f>
        <v>7003</v>
      </c>
      <c r="J1950" t="str">
        <f>"0402"</f>
        <v>0402</v>
      </c>
      <c r="K1950" t="str">
        <f>"150000.00"</f>
        <v>150000.00</v>
      </c>
      <c r="L1950" t="str">
        <f>"620000 ОБЛ СВЕРДЛОВСКАЯ   Г ЕКАТЕРИНБУРГ   УЛ БЕЛИНСКОГО д. 86"</f>
        <v>620000 ОБЛ СВЕРДЛОВСКАЯ   Г ЕКАТЕРИНБУРГ   УЛ БЕЛИНСКОГО д. 86</v>
      </c>
      <c r="M1950" t="str">
        <f t="shared" si="334"/>
        <v>2019-08-24</v>
      </c>
      <c r="N1950" t="str">
        <f>"САЙТСОФТ"</f>
        <v>САЙТСОФТ</v>
      </c>
      <c r="O1950" t="str">
        <f>"620000"</f>
        <v>620000</v>
      </c>
      <c r="P1950" t="str">
        <f>"ОБЛ СВЕРДЛОВСКАЯ"</f>
        <v>ОБЛ СВЕРДЛОВСКАЯ</v>
      </c>
      <c r="Q1950" t="str">
        <f>""</f>
        <v/>
      </c>
      <c r="R1950" t="str">
        <f>"Г ЕКАТЕРИНБУРГ"</f>
        <v>Г ЕКАТЕРИНБУРГ</v>
      </c>
      <c r="S1950" t="str">
        <f>""</f>
        <v/>
      </c>
      <c r="T1950" t="str">
        <f>"УЛ 40-ЛЕТИЯ КОМСОМОЛА"</f>
        <v>УЛ 40-ЛЕТИЯ КОМСОМОЛА</v>
      </c>
      <c r="U1950" s="1" t="str">
        <f>"12"</f>
        <v>12</v>
      </c>
      <c r="V1950" s="1" t="str">
        <f>""</f>
        <v/>
      </c>
      <c r="W1950" s="1" t="str">
        <f>""</f>
        <v/>
      </c>
      <c r="X1950" s="1" t="str">
        <f>""</f>
        <v/>
      </c>
      <c r="Y1950" s="1" t="str">
        <f>"42"</f>
        <v>42</v>
      </c>
      <c r="Z1950" t="str">
        <f>"3432535300"</f>
        <v>3432535300</v>
      </c>
      <c r="AA1950" t="str">
        <f>"9502084273"</f>
        <v>9502084273</v>
      </c>
      <c r="AB1950" t="str">
        <f>"9502084273"</f>
        <v>9502084273</v>
      </c>
      <c r="AC1950" t="str">
        <f>"9502084273"</f>
        <v>9502084273</v>
      </c>
      <c r="AD1950" t="str">
        <f>"9502084273"</f>
        <v>9502084273</v>
      </c>
      <c r="AE1950" t="str">
        <f>"9502084273"</f>
        <v>9502084273</v>
      </c>
    </row>
    <row r="1951" spans="1:31" x14ac:dyDescent="0.45">
      <c r="A1951" t="str">
        <f>"СМУШКОВ СЕРГЕЙ ФЕДОРОВИЧ"</f>
        <v>СМУШКОВ СЕРГЕЙ ФЕДОРОВИЧ</v>
      </c>
      <c r="B1951" t="str">
        <f>"1953-02-25"</f>
        <v>1953-02-25</v>
      </c>
      <c r="C1951" t="str">
        <f>"75 02 587215"</f>
        <v>75 02 587215</v>
      </c>
      <c r="D1951" t="str">
        <f>"4854630417739532"</f>
        <v>4854630417739532</v>
      </c>
      <c r="E1951" t="str">
        <f>"2021-04-30"</f>
        <v>2021-04-30</v>
      </c>
      <c r="F1951" t="str">
        <f>"+"</f>
        <v>+</v>
      </c>
      <c r="G1951" t="str">
        <f>"W"</f>
        <v>W</v>
      </c>
      <c r="H1951" t="str">
        <f>"40817810516991470455"</f>
        <v>40817810516991470455</v>
      </c>
      <c r="I1951" t="str">
        <f>"8597"</f>
        <v>8597</v>
      </c>
      <c r="J1951" t="str">
        <f>"0436"</f>
        <v>0436</v>
      </c>
      <c r="K1951" t="str">
        <f>"19000.00"</f>
        <v>19000.00</v>
      </c>
      <c r="L1951" t="str">
        <f>"456780 ОБЛ ЧЕЛЯБИНСКАЯ   Г ОЗЕРСК   УЛ МАТРОСОВА д. 16 кв. 50"</f>
        <v>456780 ОБЛ ЧЕЛЯБИНСКАЯ   Г ОЗЕРСК   УЛ МАТРОСОВА д. 16 кв. 50</v>
      </c>
      <c r="M1951" t="str">
        <f t="shared" si="334"/>
        <v>2019-08-24</v>
      </c>
      <c r="N1951" t="str">
        <f>"ПЕНСИОНЕР"</f>
        <v>ПЕНСИОНЕР</v>
      </c>
      <c r="O1951" t="str">
        <f>"456780"</f>
        <v>456780</v>
      </c>
      <c r="P1951" t="str">
        <f>"ОБЛ ЧЕЛЯБИНСКАЯ"</f>
        <v>ОБЛ ЧЕЛЯБИНСКАЯ</v>
      </c>
      <c r="Q1951" t="str">
        <f>""</f>
        <v/>
      </c>
      <c r="R1951" t="str">
        <f>"Г ОЗЕРСК"</f>
        <v>Г ОЗЕРСК</v>
      </c>
      <c r="S1951" t="str">
        <f>""</f>
        <v/>
      </c>
      <c r="T1951" t="str">
        <f>"УЛ МАТРОСОВА"</f>
        <v>УЛ МАТРОСОВА</v>
      </c>
      <c r="U1951" s="1" t="str">
        <f>"16"</f>
        <v>16</v>
      </c>
      <c r="V1951" s="1" t="str">
        <f>""</f>
        <v/>
      </c>
      <c r="W1951" s="1" t="str">
        <f>""</f>
        <v/>
      </c>
      <c r="X1951" s="1" t="str">
        <f>""</f>
        <v/>
      </c>
      <c r="Y1951" s="1" t="str">
        <f>"50"</f>
        <v>50</v>
      </c>
      <c r="Z1951" t="str">
        <f>""</f>
        <v/>
      </c>
      <c r="AA1951" t="str">
        <f>"9507414959"</f>
        <v>9507414959</v>
      </c>
      <c r="AB1951" t="str">
        <f>"9507414959"</f>
        <v>9507414959</v>
      </c>
      <c r="AC1951" t="str">
        <f>"9507414959"</f>
        <v>9507414959</v>
      </c>
      <c r="AD1951" t="str">
        <f>"9507414959"</f>
        <v>9507414959</v>
      </c>
      <c r="AE1951" t="str">
        <f>""</f>
        <v/>
      </c>
    </row>
    <row r="1952" spans="1:31" x14ac:dyDescent="0.45">
      <c r="A1952" t="str">
        <f>"МУБАРАКШИН АЛЬБЕРТ НИКОЛАЕВИЧ"</f>
        <v>МУБАРАКШИН АЛЬБЕРТ НИКОЛАЕВИЧ</v>
      </c>
      <c r="B1952" t="str">
        <f>"1978-05-11"</f>
        <v>1978-05-11</v>
      </c>
      <c r="C1952" t="str">
        <f>"80 05 619125"</f>
        <v>80 05 619125</v>
      </c>
      <c r="D1952" t="str">
        <f>"4854630173201115"</f>
        <v>4854630173201115</v>
      </c>
      <c r="E1952" t="str">
        <f>"2021-05-31"</f>
        <v>2021-05-31</v>
      </c>
      <c r="F1952" t="str">
        <f>"+"</f>
        <v>+</v>
      </c>
      <c r="G1952" t="str">
        <f>"W"</f>
        <v>W</v>
      </c>
      <c r="H1952" t="str">
        <f>"40817810816991470456"</f>
        <v>40817810816991470456</v>
      </c>
      <c r="I1952" t="str">
        <f>"8598"</f>
        <v>8598</v>
      </c>
      <c r="J1952" t="str">
        <f>"0233"</f>
        <v>0233</v>
      </c>
      <c r="K1952" t="str">
        <f>"17000.00"</f>
        <v>17000.00</v>
      </c>
      <c r="L1952" t="str">
        <f>"450000 РЕСП БАШКОРТОСТАН Р-Н УФИМСКИЙ   С МИХАЙЛОВКА УЛ ЛЕНИНА д. 46"</f>
        <v>450000 РЕСП БАШКОРТОСТАН Р-Н УФИМСКИЙ   С МИХАЙЛОВКА УЛ ЛЕНИНА д. 46</v>
      </c>
      <c r="M1952" t="str">
        <f t="shared" si="334"/>
        <v>2019-08-24</v>
      </c>
      <c r="N1952" t="str">
        <f>"ООО ШЕМЯК"</f>
        <v>ООО ШЕМЯК</v>
      </c>
      <c r="O1952" t="str">
        <f>"450000"</f>
        <v>450000</v>
      </c>
      <c r="P1952" t="str">
        <f>"РЕСП БАШКОРТОСТАН"</f>
        <v>РЕСП БАШКОРТОСТАН</v>
      </c>
      <c r="Q1952" t="str">
        <f>"Р-Н УФИМСКИЙ"</f>
        <v>Р-Н УФИМСКИЙ</v>
      </c>
      <c r="R1952" t="str">
        <f>""</f>
        <v/>
      </c>
      <c r="S1952" t="str">
        <f>"С ОЛЬХОВОЕ"</f>
        <v>С ОЛЬХОВОЕ</v>
      </c>
      <c r="T1952" t="str">
        <f>"УЛ БУДЕННОГО"</f>
        <v>УЛ БУДЕННОГО</v>
      </c>
      <c r="U1952" s="1" t="str">
        <f>"3"</f>
        <v>3</v>
      </c>
      <c r="V1952" s="1" t="str">
        <f>""</f>
        <v/>
      </c>
      <c r="W1952" s="1" t="str">
        <f>""</f>
        <v/>
      </c>
      <c r="X1952" s="1" t="str">
        <f>""</f>
        <v/>
      </c>
      <c r="Y1952" s="1" t="str">
        <f>"3"</f>
        <v>3</v>
      </c>
      <c r="Z1952" t="str">
        <f>"9270866667"</f>
        <v>9270866667</v>
      </c>
      <c r="AA1952" t="str">
        <f>"9373317880"</f>
        <v>9373317880</v>
      </c>
      <c r="AB1952" t="str">
        <f>"9053562307"</f>
        <v>9053562307</v>
      </c>
      <c r="AC1952" t="str">
        <f>"9373317880"</f>
        <v>9373317880</v>
      </c>
      <c r="AD1952" t="str">
        <f>"9053562307"</f>
        <v>9053562307</v>
      </c>
      <c r="AE1952" t="str">
        <f>"9270866667"</f>
        <v>9270866667</v>
      </c>
    </row>
    <row r="1953" spans="1:31" x14ac:dyDescent="0.45">
      <c r="A1953" t="str">
        <f>"САПЕГИНА ЕЛЕНА СЕРГЕЕВНА"</f>
        <v>САПЕГИНА ЕЛЕНА СЕРГЕЕВНА</v>
      </c>
      <c r="B1953" t="str">
        <f>"1982-04-13"</f>
        <v>1982-04-13</v>
      </c>
      <c r="C1953" t="str">
        <f>"65 05 401384"</f>
        <v>65 05 401384</v>
      </c>
      <c r="D1953" t="str">
        <f>"4854630428902822"</f>
        <v>4854630428902822</v>
      </c>
      <c r="E1953" t="str">
        <f>"2021-05-31"</f>
        <v>2021-05-31</v>
      </c>
      <c r="F1953" t="str">
        <f>"+"</f>
        <v>+</v>
      </c>
      <c r="G1953" t="str">
        <f>"+"</f>
        <v>+</v>
      </c>
      <c r="H1953" t="str">
        <f>"40817810216991470519"</f>
        <v>40817810216991470519</v>
      </c>
      <c r="I1953" t="str">
        <f>"7003"</f>
        <v>7003</v>
      </c>
      <c r="J1953" t="str">
        <f>"0681"</f>
        <v>0681</v>
      </c>
      <c r="K1953" t="str">
        <f>"200000.00"</f>
        <v>200000.00</v>
      </c>
      <c r="L1953" t="str">
        <f>"623100 ОБЛ СВЕРДЛОВСКАЯ   Г ПЕРВОУРАЛЬСК   УЛ ДАНИЛОВА д. 3 кв. 82"</f>
        <v>623100 ОБЛ СВЕРДЛОВСКАЯ   Г ПЕРВОУРАЛЬСК   УЛ ДАНИЛОВА д. 3 кв. 82</v>
      </c>
      <c r="M1953" t="str">
        <f t="shared" si="334"/>
        <v>2019-08-24</v>
      </c>
      <c r="N1953" t="str">
        <f>"ИП САПЕГИНА ЕЛЕНА СЕРГЕЕВНА"</f>
        <v>ИП САПЕГИНА ЕЛЕНА СЕРГЕЕВНА</v>
      </c>
      <c r="O1953" t="str">
        <f>"623100"</f>
        <v>623100</v>
      </c>
      <c r="P1953" t="str">
        <f>"ОБЛ СВЕРДЛОВСКАЯ"</f>
        <v>ОБЛ СВЕРДЛОВСКАЯ</v>
      </c>
      <c r="Q1953" t="str">
        <f>""</f>
        <v/>
      </c>
      <c r="R1953" t="str">
        <f>"Г ПЕРВОУРАЛЬСК"</f>
        <v>Г ПЕРВОУРАЛЬСК</v>
      </c>
      <c r="S1953" t="str">
        <f>""</f>
        <v/>
      </c>
      <c r="T1953" t="str">
        <f>"УЛ ДАНИЛОВА"</f>
        <v>УЛ ДАНИЛОВА</v>
      </c>
      <c r="U1953" s="1" t="str">
        <f>"3"</f>
        <v>3</v>
      </c>
      <c r="V1953" s="1" t="str">
        <f>""</f>
        <v/>
      </c>
      <c r="W1953" s="1" t="str">
        <f>""</f>
        <v/>
      </c>
      <c r="X1953" s="1" t="str">
        <f>""</f>
        <v/>
      </c>
      <c r="Y1953" s="1" t="str">
        <f>"82"</f>
        <v>82</v>
      </c>
      <c r="Z1953" t="str">
        <f>"9220206144"</f>
        <v>9220206144</v>
      </c>
      <c r="AA1953" t="str">
        <f>"9220206144"</f>
        <v>9220206144</v>
      </c>
      <c r="AB1953" t="str">
        <f>"9220206144"</f>
        <v>9220206144</v>
      </c>
      <c r="AC1953" t="str">
        <f>"9220206144"</f>
        <v>9220206144</v>
      </c>
      <c r="AD1953" t="str">
        <f>"9220206144"</f>
        <v>9220206144</v>
      </c>
      <c r="AE1953" t="str">
        <f>"9220206144"</f>
        <v>9220206144</v>
      </c>
    </row>
    <row r="1954" spans="1:31" x14ac:dyDescent="0.45">
      <c r="A1954" t="str">
        <f>"ЛЕМТЮГИНА ОКСАНА ВАЛЕРЬЕВНА"</f>
        <v>ЛЕМТЮГИНА ОКСАНА ВАЛЕРЬЕВНА</v>
      </c>
      <c r="B1954" t="str">
        <f>"1979-04-23"</f>
        <v>1979-04-23</v>
      </c>
      <c r="C1954" t="str">
        <f>"65 05 117357"</f>
        <v>65 05 117357</v>
      </c>
      <c r="D1954" t="str">
        <f>"4854630219232710"</f>
        <v>4854630219232710</v>
      </c>
      <c r="E1954" t="str">
        <f>"2021-04-30"</f>
        <v>2021-04-30</v>
      </c>
      <c r="F1954" t="str">
        <f>"+"</f>
        <v>+</v>
      </c>
      <c r="G1954" t="str">
        <f>"+"</f>
        <v>+</v>
      </c>
      <c r="H1954" t="str">
        <f>"40817810616991470520"</f>
        <v>40817810616991470520</v>
      </c>
      <c r="I1954" t="str">
        <f>"7003"</f>
        <v>7003</v>
      </c>
      <c r="J1954" t="str">
        <f>"0496"</f>
        <v>0496</v>
      </c>
      <c r="K1954" t="str">
        <f>"30000.00"</f>
        <v>30000.00</v>
      </c>
      <c r="L1954" t="str">
        <f>"620076 ОБЛ СВЕРДЛОВСКАЯ   Г ЕКАТЕРИНБУРГ   УЛ САМОЛЕТНАЯ д. 33"</f>
        <v>620076 ОБЛ СВЕРДЛОВСКАЯ   Г ЕКАТЕРИНБУРГ   УЛ САМОЛЕТНАЯ д. 33</v>
      </c>
      <c r="M1954" t="str">
        <f t="shared" si="334"/>
        <v>2019-08-24</v>
      </c>
      <c r="N1954" t="str">
        <f>"ООО АЛЬФАМЕБЕЛЬ"</f>
        <v>ООО АЛЬФАМЕБЕЛЬ</v>
      </c>
      <c r="O1954" t="str">
        <f>"623380"</f>
        <v>623380</v>
      </c>
      <c r="P1954" t="str">
        <f>"ОБЛ СВЕРДЛОВСКАЯ"</f>
        <v>ОБЛ СВЕРДЛОВСКАЯ</v>
      </c>
      <c r="Q1954" t="str">
        <f>""</f>
        <v/>
      </c>
      <c r="R1954" t="str">
        <f>"Г ПОЛЕВСКОЙ"</f>
        <v>Г ПОЛЕВСКОЙ</v>
      </c>
      <c r="S1954" t="str">
        <f>""</f>
        <v/>
      </c>
      <c r="T1954" t="str">
        <f>"МКР ЗЕЛЕНЫЙ БОР-1"</f>
        <v>МКР ЗЕЛЕНЫЙ БОР-1</v>
      </c>
      <c r="U1954" s="1" t="str">
        <f>"1"</f>
        <v>1</v>
      </c>
      <c r="V1954" s="1" t="str">
        <f>""</f>
        <v/>
      </c>
      <c r="W1954" s="1" t="str">
        <f>""</f>
        <v/>
      </c>
      <c r="X1954" s="1" t="str">
        <f>""</f>
        <v/>
      </c>
      <c r="Y1954" s="1" t="str">
        <f>"146"</f>
        <v>146</v>
      </c>
      <c r="Z1954" t="str">
        <f>""</f>
        <v/>
      </c>
      <c r="AA1954" t="str">
        <f>"9221171694"</f>
        <v>9221171694</v>
      </c>
      <c r="AB1954" t="str">
        <f>"9221171694"</f>
        <v>9221171694</v>
      </c>
      <c r="AC1954" t="str">
        <f>"9221171694"</f>
        <v>9221171694</v>
      </c>
      <c r="AD1954" t="str">
        <f>"9221171694"</f>
        <v>9221171694</v>
      </c>
      <c r="AE1954" t="str">
        <f>""</f>
        <v/>
      </c>
    </row>
    <row r="1955" spans="1:31" x14ac:dyDescent="0.45">
      <c r="A1955" t="str">
        <f>"САЙНАХОВ АНАТОЛИЙ СЕРГЕЕВИЧ"</f>
        <v>САЙНАХОВ АНАТОЛИЙ СЕРГЕЕВИЧ</v>
      </c>
      <c r="B1955" t="str">
        <f>"1967-12-28"</f>
        <v>1967-12-28</v>
      </c>
      <c r="C1955" t="str">
        <f>"74 13 834168"</f>
        <v>74 13 834168</v>
      </c>
      <c r="D1955" t="str">
        <f>"4854630091298623"</f>
        <v>4854630091298623</v>
      </c>
      <c r="E1955" t="str">
        <f>"2021-05-31"</f>
        <v>2021-05-31</v>
      </c>
      <c r="F1955" t="str">
        <f>"Q"</f>
        <v>Q</v>
      </c>
      <c r="G1955" t="str">
        <f>"Q"</f>
        <v>Q</v>
      </c>
      <c r="H1955" t="str">
        <f>"40817810867720718669"</f>
        <v>40817810867720718669</v>
      </c>
      <c r="I1955" t="str">
        <f>"1790"</f>
        <v>1790</v>
      </c>
      <c r="J1955" t="str">
        <f>"0059"</f>
        <v>0059</v>
      </c>
      <c r="K1955" t="str">
        <f>"0.00"</f>
        <v>0.00</v>
      </c>
      <c r="L1955" t="str">
        <f>"629000 ОБЛ ТЮМЕНСКАЯ     С КАТРАВОЖ УЛ НОВАЯ д. 2"</f>
        <v>629000 ОБЛ ТЮМЕНСКАЯ     С КАТРАВОЖ УЛ НОВАЯ д. 2</v>
      </c>
      <c r="M1955" t="str">
        <f t="shared" si="334"/>
        <v>2019-08-24</v>
      </c>
      <c r="N1955" t="str">
        <f>"АДМИНИСТРАЦИЯ МО С.КАТРАВОЖ"</f>
        <v>АДМИНИСТРАЦИЯ МО С.КАТРАВОЖ</v>
      </c>
      <c r="O1955" t="str">
        <f>"629000"</f>
        <v>629000</v>
      </c>
      <c r="P1955" t="str">
        <f>"ОБЛ ТЮМЕНСКАЯ"</f>
        <v>ОБЛ ТЮМЕНСКАЯ</v>
      </c>
      <c r="Q1955" t="str">
        <f>""</f>
        <v/>
      </c>
      <c r="R1955" t="str">
        <f>""</f>
        <v/>
      </c>
      <c r="S1955" t="str">
        <f>"С КАТРАВОЖ"</f>
        <v>С КАТРАВОЖ</v>
      </c>
      <c r="T1955" t="str">
        <f>"УЛ НОВАЯ"</f>
        <v>УЛ НОВАЯ</v>
      </c>
      <c r="U1955" s="1" t="str">
        <f>"8"</f>
        <v>8</v>
      </c>
      <c r="V1955" s="1" t="str">
        <f>""</f>
        <v/>
      </c>
      <c r="W1955" s="1" t="str">
        <f>""</f>
        <v/>
      </c>
      <c r="X1955" s="1" t="str">
        <f>""</f>
        <v/>
      </c>
      <c r="Y1955" s="1" t="str">
        <f>"3"</f>
        <v>3</v>
      </c>
      <c r="Z1955" t="str">
        <f>""</f>
        <v/>
      </c>
      <c r="AA1955" t="str">
        <f>"9088636062"</f>
        <v>9088636062</v>
      </c>
      <c r="AB1955" t="str">
        <f>"79924087569"</f>
        <v>79924087569</v>
      </c>
      <c r="AC1955" t="str">
        <f>"9088636062"</f>
        <v>9088636062</v>
      </c>
      <c r="AD1955" t="str">
        <f>"9924087569"</f>
        <v>9924087569</v>
      </c>
      <c r="AE1955" t="str">
        <f>""</f>
        <v/>
      </c>
    </row>
    <row r="1956" spans="1:31" x14ac:dyDescent="0.45">
      <c r="A1956" t="str">
        <f>"ШВЕЛИДЗЕ ДАВИД АВТАНДИЛОВИЧ"</f>
        <v>ШВЕЛИДЗЕ ДАВИД АВТАНДИЛОВИЧ</v>
      </c>
      <c r="B1956" t="str">
        <f>"1971-11-08"</f>
        <v>1971-11-08</v>
      </c>
      <c r="C1956" t="str">
        <f>"75 16 927398"</f>
        <v>75 16 927398</v>
      </c>
      <c r="D1956" t="str">
        <f>"4854630050395741"</f>
        <v>4854630050395741</v>
      </c>
      <c r="E1956" t="str">
        <f>"2021-05-31"</f>
        <v>2021-05-31</v>
      </c>
      <c r="F1956" t="str">
        <f>"Y"</f>
        <v>Y</v>
      </c>
      <c r="G1956" t="str">
        <f>"Q"</f>
        <v>Q</v>
      </c>
      <c r="H1956" t="str">
        <f>"40817810016992194832"</f>
        <v>40817810016992194832</v>
      </c>
      <c r="I1956" t="str">
        <f>"8369"</f>
        <v>8369</v>
      </c>
      <c r="J1956" t="str">
        <f>"0003"</f>
        <v>0003</v>
      </c>
      <c r="K1956" t="str">
        <f>"0.00"</f>
        <v>0.00</v>
      </c>
      <c r="L1956" t="str">
        <f>"629300 ОБЛ ТЮМЕНСКАЯ   Г НОВЫЙ УРЕНГОЙ   УЛ МАГИСТРАЛЬНАЯ д. 1"</f>
        <v>629300 ОБЛ ТЮМЕНСКАЯ   Г НОВЫЙ УРЕНГОЙ   УЛ МАГИСТРАЛЬНАЯ д. 1</v>
      </c>
      <c r="M1956" t="str">
        <f t="shared" si="334"/>
        <v>2019-08-24</v>
      </c>
      <c r="N1956" t="str">
        <f>"ООО СПЕЦСТРОЙ"</f>
        <v>ООО СПЕЦСТРОЙ</v>
      </c>
      <c r="O1956" t="str">
        <f>"454000"</f>
        <v>454000</v>
      </c>
      <c r="P1956" t="str">
        <f>"ОБЛ ЧЕЛЯБИНСКАЯ"</f>
        <v>ОБЛ ЧЕЛЯБИНСКАЯ</v>
      </c>
      <c r="Q1956" t="str">
        <f>""</f>
        <v/>
      </c>
      <c r="R1956" t="str">
        <f>"Г ТРОИЦК"</f>
        <v>Г ТРОИЦК</v>
      </c>
      <c r="S1956" t="str">
        <f>""</f>
        <v/>
      </c>
      <c r="T1956" t="str">
        <f>"УЛ СЕВЕРНАЯ"</f>
        <v>УЛ СЕВЕРНАЯ</v>
      </c>
      <c r="U1956" s="1" t="str">
        <f>"91"</f>
        <v>91</v>
      </c>
      <c r="V1956" s="1" t="str">
        <f>""</f>
        <v/>
      </c>
      <c r="W1956" s="1" t="str">
        <f>""</f>
        <v/>
      </c>
      <c r="X1956" s="1" t="str">
        <f>""</f>
        <v/>
      </c>
      <c r="Y1956" s="1" t="str">
        <f>""</f>
        <v/>
      </c>
      <c r="Z1956" t="str">
        <f>"9514454018"</f>
        <v>9514454018</v>
      </c>
      <c r="AA1956" t="str">
        <f>"9514454018"</f>
        <v>9514454018</v>
      </c>
      <c r="AB1956" t="str">
        <f>"9514454018"</f>
        <v>9514454018</v>
      </c>
      <c r="AC1956" t="str">
        <f>"9514454018"</f>
        <v>9514454018</v>
      </c>
      <c r="AD1956" t="str">
        <f>"9514454018"</f>
        <v>9514454018</v>
      </c>
      <c r="AE1956" t="str">
        <f>"9514454018"</f>
        <v>9514454018</v>
      </c>
    </row>
    <row r="1957" spans="1:31" x14ac:dyDescent="0.45">
      <c r="A1957" t="str">
        <f>"ЧИЛИНГАРЯН АРСЕН ЭДИКОВИЧ"</f>
        <v>ЧИЛИНГАРЯН АРСЕН ЭДИКОВИЧ</v>
      </c>
      <c r="B1957" t="str">
        <f>"1972-10-06"</f>
        <v>1972-10-06</v>
      </c>
      <c r="C1957" t="str">
        <f>"37 17 720387"</f>
        <v>37 17 720387</v>
      </c>
      <c r="D1957" t="str">
        <f>"4854630411466405"</f>
        <v>4854630411466405</v>
      </c>
      <c r="E1957" t="str">
        <f>"2021-04-30"</f>
        <v>2021-04-30</v>
      </c>
      <c r="F1957" t="str">
        <f t="shared" ref="F1957:G1960" si="337">"+"</f>
        <v>+</v>
      </c>
      <c r="G1957" t="str">
        <f t="shared" si="337"/>
        <v>+</v>
      </c>
      <c r="H1957" t="str">
        <f>"40817810116991470541"</f>
        <v>40817810116991470541</v>
      </c>
      <c r="I1957" t="str">
        <f>"8599"</f>
        <v>8599</v>
      </c>
      <c r="J1957" t="str">
        <f>"0036"</f>
        <v>0036</v>
      </c>
      <c r="K1957" t="str">
        <f>"20000.00"</f>
        <v>20000.00</v>
      </c>
      <c r="L1957" t="str">
        <f>"641000 ОБЛ КУРГАНСКАЯ   Г КУРГАН   УЛ 4БОЛЬНИЧНАЯ д. 10"</f>
        <v>641000 ОБЛ КУРГАНСКАЯ   Г КУРГАН   УЛ 4БОЛЬНИЧНАЯ д. 10</v>
      </c>
      <c r="M1957" t="str">
        <f t="shared" si="334"/>
        <v>2019-08-24</v>
      </c>
      <c r="N1957" t="str">
        <f>"ГУ ПФР"</f>
        <v>ГУ ПФР</v>
      </c>
      <c r="O1957" t="str">
        <f>"641000"</f>
        <v>641000</v>
      </c>
      <c r="P1957" t="str">
        <f>"ОБЛ КУРГАНСКАЯ"</f>
        <v>ОБЛ КУРГАНСКАЯ</v>
      </c>
      <c r="Q1957" t="str">
        <f>""</f>
        <v/>
      </c>
      <c r="R1957" t="str">
        <f>"Г КУРГАН"</f>
        <v>Г КУРГАН</v>
      </c>
      <c r="S1957" t="str">
        <f>""</f>
        <v/>
      </c>
      <c r="T1957" t="str">
        <f>"УЛ К.МАРКСА"</f>
        <v>УЛ К.МАРКСА</v>
      </c>
      <c r="U1957" s="1" t="str">
        <f>"86А"</f>
        <v>86А</v>
      </c>
      <c r="V1957" s="1" t="str">
        <f>""</f>
        <v/>
      </c>
      <c r="W1957" s="1" t="str">
        <f>""</f>
        <v/>
      </c>
      <c r="X1957" s="1" t="str">
        <f>""</f>
        <v/>
      </c>
      <c r="Y1957" s="1" t="str">
        <f>"10"</f>
        <v>10</v>
      </c>
      <c r="Z1957" t="str">
        <f>"9129726755"</f>
        <v>9129726755</v>
      </c>
      <c r="AA1957" t="str">
        <f>"9129726271"</f>
        <v>9129726271</v>
      </c>
      <c r="AB1957" t="str">
        <f>"9129726271"</f>
        <v>9129726271</v>
      </c>
      <c r="AC1957" t="str">
        <f>"9129726271"</f>
        <v>9129726271</v>
      </c>
      <c r="AD1957" t="str">
        <f>"9129726271"</f>
        <v>9129726271</v>
      </c>
      <c r="AE1957" t="str">
        <f>"9129726755"</f>
        <v>9129726755</v>
      </c>
    </row>
    <row r="1958" spans="1:31" x14ac:dyDescent="0.45">
      <c r="A1958" t="str">
        <f>"КОЙЛУБАЕВА ЗУХРА АБДУРАХМАНОВНА"</f>
        <v>КОЙЛУБАЕВА ЗУХРА АБДУРАХМАНОВНА</v>
      </c>
      <c r="B1958" t="str">
        <f>"1986-04-25"</f>
        <v>1986-04-25</v>
      </c>
      <c r="C1958" t="str">
        <f>"82 07 396153"</f>
        <v>82 07 396153</v>
      </c>
      <c r="D1958" t="str">
        <f>"4279016721758938"</f>
        <v>4279016721758938</v>
      </c>
      <c r="E1958" t="str">
        <f>"2021-05-31"</f>
        <v>2021-05-31</v>
      </c>
      <c r="F1958" t="str">
        <f t="shared" si="337"/>
        <v>+</v>
      </c>
      <c r="G1958" t="str">
        <f t="shared" si="337"/>
        <v>+</v>
      </c>
      <c r="H1958" t="str">
        <f>"40817810116992301347"</f>
        <v>40817810116992301347</v>
      </c>
      <c r="I1958" t="str">
        <f>"5940"</f>
        <v>5940</v>
      </c>
      <c r="J1958" t="str">
        <f>"0028"</f>
        <v>0028</v>
      </c>
      <c r="K1958" t="str">
        <f>"240000.00"</f>
        <v>240000.00</v>
      </c>
      <c r="L1958" t="str">
        <f>"628400 ОБЛ ТЮМЕНСКАЯ   Г СУРГУТ   УЛ РЕСПУБЛИКИ д. 4"</f>
        <v>628400 ОБЛ ТЮМЕНСКАЯ   Г СУРГУТ   УЛ РЕСПУБЛИКИ д. 4</v>
      </c>
      <c r="M1958" t="str">
        <f t="shared" si="334"/>
        <v>2019-08-24</v>
      </c>
      <c r="N1958" t="str">
        <f>"ПОЧТА РОССИИ"</f>
        <v>ПОЧТА РОССИИ</v>
      </c>
      <c r="O1958" t="str">
        <f>"628400"</f>
        <v>628400</v>
      </c>
      <c r="P1958" t="str">
        <f>"ОБЛ ТЮМЕНСКАЯ"</f>
        <v>ОБЛ ТЮМЕНСКАЯ</v>
      </c>
      <c r="Q1958" t="str">
        <f>""</f>
        <v/>
      </c>
      <c r="R1958" t="str">
        <f>"Г СУРГУТ"</f>
        <v>Г СУРГУТ</v>
      </c>
      <c r="S1958" t="str">
        <f>""</f>
        <v/>
      </c>
      <c r="T1958" t="str">
        <f>"УЛ ТРУБНАЯ"</f>
        <v>УЛ ТРУБНАЯ</v>
      </c>
      <c r="U1958" s="1" t="str">
        <f>"5/2"</f>
        <v>5/2</v>
      </c>
      <c r="V1958" s="1" t="str">
        <f>""</f>
        <v/>
      </c>
      <c r="W1958" s="1" t="str">
        <f>""</f>
        <v/>
      </c>
      <c r="X1958" s="1" t="str">
        <f>""</f>
        <v/>
      </c>
      <c r="Y1958" s="1" t="str">
        <f>"7"</f>
        <v>7</v>
      </c>
      <c r="Z1958" t="str">
        <f>""</f>
        <v/>
      </c>
      <c r="AA1958" t="str">
        <f>"9224108512"</f>
        <v>9224108512</v>
      </c>
      <c r="AB1958" t="str">
        <f>"9224108512"</f>
        <v>9224108512</v>
      </c>
      <c r="AC1958" t="str">
        <f>"9224108512"</f>
        <v>9224108512</v>
      </c>
      <c r="AD1958" t="str">
        <f>"9224108512"</f>
        <v>9224108512</v>
      </c>
      <c r="AE1958" t="str">
        <f>""</f>
        <v/>
      </c>
    </row>
    <row r="1959" spans="1:31" x14ac:dyDescent="0.45">
      <c r="A1959" t="str">
        <f>"ЗЫРЯНОВА ЕЛЕНА ВЛАДИМИРОВНА"</f>
        <v>ЗЫРЯНОВА ЕЛЕНА ВЛАДИМИРОВНА</v>
      </c>
      <c r="B1959" t="str">
        <f>"1990-03-26"</f>
        <v>1990-03-26</v>
      </c>
      <c r="C1959" t="str">
        <f>"71 10 778636"</f>
        <v>71 10 778636</v>
      </c>
      <c r="D1959" t="str">
        <f>"4854630373587032"</f>
        <v>4854630373587032</v>
      </c>
      <c r="E1959" t="str">
        <f>"2021-04-30"</f>
        <v>2021-04-30</v>
      </c>
      <c r="F1959" t="str">
        <f t="shared" si="337"/>
        <v>+</v>
      </c>
      <c r="G1959" t="str">
        <f t="shared" si="337"/>
        <v>+</v>
      </c>
      <c r="H1959" t="str">
        <f>"40817810616992302008"</f>
        <v>40817810616992302008</v>
      </c>
      <c r="I1959" t="str">
        <f>"8647"</f>
        <v>8647</v>
      </c>
      <c r="J1959" t="str">
        <f>"0296"</f>
        <v>0296</v>
      </c>
      <c r="K1959" t="str">
        <f>"20000.00"</f>
        <v>20000.00</v>
      </c>
      <c r="L1959" t="str">
        <f>"626150 ОБЛ ТЮМЕНСКАЯ   Г ТОБОЛЬСК   УЛ СЕМАКОВА д. 17"</f>
        <v>626150 ОБЛ ТЮМЕНСКАЯ   Г ТОБОЛЬСК   УЛ СЕМАКОВА д. 17</v>
      </c>
      <c r="M1959" t="str">
        <f t="shared" si="334"/>
        <v>2019-08-24</v>
      </c>
      <c r="N1959" t="str">
        <f>"МАУ ДО ДЮСШ"</f>
        <v>МАУ ДО ДЮСШ</v>
      </c>
      <c r="O1959" t="str">
        <f>"626142"</f>
        <v>626142</v>
      </c>
      <c r="P1959" t="str">
        <f>"ОБЛ ТЮМЕНСКАЯ"</f>
        <v>ОБЛ ТЮМЕНСКАЯ</v>
      </c>
      <c r="Q1959" t="str">
        <f>"Р-Н ТОБОЛЬСКИЙ"</f>
        <v>Р-Н ТОБОЛЬСКИЙ</v>
      </c>
      <c r="R1959" t="str">
        <f>""</f>
        <v/>
      </c>
      <c r="S1959" t="str">
        <f>"С МАЛАЯ ЗОРКАЛЬЦЕВА"</f>
        <v>С МАЛАЯ ЗОРКАЛЬЦЕВА</v>
      </c>
      <c r="T1959" t="str">
        <f>"УЛ УЧИТЕЛЕЙ"</f>
        <v>УЛ УЧИТЕЛЕЙ</v>
      </c>
      <c r="U1959" s="1" t="str">
        <f>"19"</f>
        <v>19</v>
      </c>
      <c r="V1959" s="1" t="str">
        <f>""</f>
        <v/>
      </c>
      <c r="W1959" s="1" t="str">
        <f>""</f>
        <v/>
      </c>
      <c r="X1959" s="1" t="str">
        <f>""</f>
        <v/>
      </c>
      <c r="Y1959" s="1" t="str">
        <f>""</f>
        <v/>
      </c>
      <c r="Z1959" t="str">
        <f>""</f>
        <v/>
      </c>
      <c r="AA1959" t="str">
        <f>"3456337210"</f>
        <v>3456337210</v>
      </c>
      <c r="AB1959" t="str">
        <f>"9129994304"</f>
        <v>9129994304</v>
      </c>
      <c r="AC1959" t="str">
        <f>"3456337210"</f>
        <v>3456337210</v>
      </c>
      <c r="AD1959" t="str">
        <f>"9129994304"</f>
        <v>9129994304</v>
      </c>
      <c r="AE1959" t="str">
        <f>""</f>
        <v/>
      </c>
    </row>
    <row r="1960" spans="1:31" x14ac:dyDescent="0.45">
      <c r="A1960" t="str">
        <f>"СОЗОНОВ ДМИТРИЙ МСТИСЛАВОВИЧ"</f>
        <v>СОЗОНОВ ДМИТРИЙ МСТИСЛАВОВИЧ</v>
      </c>
      <c r="B1960" t="str">
        <f>"1993-06-26"</f>
        <v>1993-06-26</v>
      </c>
      <c r="C1960" t="str">
        <f>"65 13 586738"</f>
        <v>65 13 586738</v>
      </c>
      <c r="D1960" t="str">
        <f>"4854630293342112"</f>
        <v>4854630293342112</v>
      </c>
      <c r="E1960" t="str">
        <f>"2020-11-30"</f>
        <v>2020-11-30</v>
      </c>
      <c r="F1960" t="str">
        <f t="shared" si="337"/>
        <v>+</v>
      </c>
      <c r="G1960" t="str">
        <f t="shared" si="337"/>
        <v>+</v>
      </c>
      <c r="H1960" t="str">
        <f>"40817810016991430610"</f>
        <v>40817810016991430610</v>
      </c>
      <c r="I1960" t="str">
        <f>"7003"</f>
        <v>7003</v>
      </c>
      <c r="J1960" t="str">
        <f>"0420"</f>
        <v>0420</v>
      </c>
      <c r="K1960" t="str">
        <f>"25000.00"</f>
        <v>25000.00</v>
      </c>
      <c r="L1960" t="str">
        <f>"620000 ОБЛ СВЕРДЛОВСКАЯ   Г ЕКАТЕРИНБУРГ   УЛ СОНИ МОРОЗОВОЙ д. 203"</f>
        <v>620000 ОБЛ СВЕРДЛОВСКАЯ   Г ЕКАТЕРИНБУРГ   УЛ СОНИ МОРОЗОВОЙ д. 203</v>
      </c>
      <c r="M1960" t="str">
        <f t="shared" si="334"/>
        <v>2019-08-24</v>
      </c>
      <c r="N1960" t="str">
        <f>"ЦГКБ №1"</f>
        <v>ЦГКБ №1</v>
      </c>
      <c r="O1960" t="str">
        <f>"620000"</f>
        <v>620000</v>
      </c>
      <c r="P1960" t="str">
        <f>"ОБЛ СВЕРДЛОВСКАЯ"</f>
        <v>ОБЛ СВЕРДЛОВСКАЯ</v>
      </c>
      <c r="Q1960" t="str">
        <f>"Р-Н АРТИНСКИЙ"</f>
        <v>Р-Н АРТИНСКИЙ</v>
      </c>
      <c r="R1960" t="str">
        <f>""</f>
        <v/>
      </c>
      <c r="S1960" t="str">
        <f>"П АРТИ"</f>
        <v>П АРТИ</v>
      </c>
      <c r="T1960" t="str">
        <f>"УЛ ПЕРВОМАЙСКАЯ"</f>
        <v>УЛ ПЕРВОМАЙСКАЯ</v>
      </c>
      <c r="U1960" s="1" t="str">
        <f>"21"</f>
        <v>21</v>
      </c>
      <c r="V1960" s="1" t="str">
        <f>""</f>
        <v/>
      </c>
      <c r="W1960" s="1" t="str">
        <f>""</f>
        <v/>
      </c>
      <c r="X1960" s="1" t="str">
        <f>""</f>
        <v/>
      </c>
      <c r="Y1960" s="1" t="str">
        <f>"10"</f>
        <v>10</v>
      </c>
      <c r="Z1960" t="str">
        <f>""</f>
        <v/>
      </c>
      <c r="AA1960" t="str">
        <f>"9221286312"</f>
        <v>9221286312</v>
      </c>
      <c r="AB1960" t="str">
        <f>"9221286312"</f>
        <v>9221286312</v>
      </c>
      <c r="AC1960" t="str">
        <f>"9221286312"</f>
        <v>9221286312</v>
      </c>
      <c r="AD1960" t="str">
        <f>"9221286312"</f>
        <v>9221286312</v>
      </c>
      <c r="AE1960" t="str">
        <f>""</f>
        <v/>
      </c>
    </row>
    <row r="1961" spans="1:31" x14ac:dyDescent="0.45">
      <c r="A1961" t="str">
        <f>"ТУЙКАЕВ ФАНИС ИСХАКОВИЧ"</f>
        <v>ТУЙКАЕВ ФАНИС ИСХАКОВИЧ</v>
      </c>
      <c r="B1961" t="str">
        <f>"1960-05-15"</f>
        <v>1960-05-15</v>
      </c>
      <c r="C1961" t="str">
        <f>"80 05 957043"</f>
        <v>80 05 957043</v>
      </c>
      <c r="D1961" t="str">
        <f>"5313100337881998"</f>
        <v>5313100337881998</v>
      </c>
      <c r="E1961" t="str">
        <f>"2020-11-30"</f>
        <v>2020-11-30</v>
      </c>
      <c r="F1961" t="str">
        <f>"Q"</f>
        <v>Q</v>
      </c>
      <c r="G1961" t="str">
        <f>"Q"</f>
        <v>Q</v>
      </c>
      <c r="H1961" t="str">
        <f>"40817810316991430611"</f>
        <v>40817810316991430611</v>
      </c>
      <c r="I1961" t="str">
        <f>"8598"</f>
        <v>8598</v>
      </c>
      <c r="J1961" t="str">
        <f>"0687"</f>
        <v>0687</v>
      </c>
      <c r="K1961" t="str">
        <f>"0.00"</f>
        <v>0.00</v>
      </c>
      <c r="L1961" t="str">
        <f>"450000 РЕСП БАШКОРТОСТАН   Г КУМЕРТАУ   УЛ ЛЕНИНА д. 10"</f>
        <v>450000 РЕСП БАШКОРТОСТАН   Г КУМЕРТАУ   УЛ ЛЕНИНА д. 10</v>
      </c>
      <c r="M1961" t="str">
        <f t="shared" si="334"/>
        <v>2019-08-24</v>
      </c>
      <c r="N1961" t="str">
        <f>"ПЕНСИОНЕР"</f>
        <v>ПЕНСИОНЕР</v>
      </c>
      <c r="O1961" t="str">
        <f>"450000"</f>
        <v>450000</v>
      </c>
      <c r="P1961" t="str">
        <f>"РЕСП БАШКОРТОСТАН"</f>
        <v>РЕСП БАШКОРТОСТАН</v>
      </c>
      <c r="Q1961" t="str">
        <f>""</f>
        <v/>
      </c>
      <c r="R1961" t="str">
        <f>"Г КУМЕРТАУ"</f>
        <v>Г КУМЕРТАУ</v>
      </c>
      <c r="S1961" t="str">
        <f>""</f>
        <v/>
      </c>
      <c r="T1961" t="str">
        <f>"УЛ НОВОЗАРИНСКАЯ"</f>
        <v>УЛ НОВОЗАРИНСКАЯ</v>
      </c>
      <c r="U1961" s="1" t="str">
        <f>"58"</f>
        <v>58</v>
      </c>
      <c r="V1961" s="1" t="str">
        <f>""</f>
        <v/>
      </c>
      <c r="W1961" s="1" t="str">
        <f>""</f>
        <v/>
      </c>
      <c r="X1961" s="1" t="str">
        <f>""</f>
        <v/>
      </c>
      <c r="Y1961" s="1" t="str">
        <f>""</f>
        <v/>
      </c>
      <c r="Z1961" t="str">
        <f>""</f>
        <v/>
      </c>
      <c r="AA1961" t="str">
        <f>"3476100000"</f>
        <v>3476100000</v>
      </c>
      <c r="AB1961" t="str">
        <f>"9373063369"</f>
        <v>9373063369</v>
      </c>
      <c r="AC1961" t="str">
        <f>"3476100000"</f>
        <v>3476100000</v>
      </c>
      <c r="AD1961" t="str">
        <f>"9373063369"</f>
        <v>9373063369</v>
      </c>
      <c r="AE1961" t="str">
        <f>""</f>
        <v/>
      </c>
    </row>
    <row r="1962" spans="1:31" x14ac:dyDescent="0.45">
      <c r="A1962" t="str">
        <f>"ФОРКУШ ОЛЬГА АЛЕКСАНДРОВНА"</f>
        <v>ФОРКУШ ОЛЬГА АЛЕКСАНДРОВНА</v>
      </c>
      <c r="B1962" t="str">
        <f>"1974-05-12"</f>
        <v>1974-05-12</v>
      </c>
      <c r="C1962" t="str">
        <f>"67 98 081358"</f>
        <v>67 98 081358</v>
      </c>
      <c r="D1962" t="str">
        <f>"4854630378164803"</f>
        <v>4854630378164803</v>
      </c>
      <c r="E1962" t="str">
        <f>"2021-04-30"</f>
        <v>2021-04-30</v>
      </c>
      <c r="F1962" t="str">
        <f t="shared" ref="F1962:G1964" si="338">"+"</f>
        <v>+</v>
      </c>
      <c r="G1962" t="str">
        <f t="shared" si="338"/>
        <v>+</v>
      </c>
      <c r="H1962" t="str">
        <f>"40817810716992302092"</f>
        <v>40817810716992302092</v>
      </c>
      <c r="I1962" t="str">
        <f>"8647"</f>
        <v>8647</v>
      </c>
      <c r="J1962" t="str">
        <f>"0113"</f>
        <v>0113</v>
      </c>
      <c r="K1962" t="str">
        <f>"15000.00"</f>
        <v>15000.00</v>
      </c>
      <c r="L1962" t="str">
        <f>"625000 ОБЛ ТЮМЕНСКАЯ   Г ТЮМЕНЬ   УЛ НАРОДНАЯ д. 6"</f>
        <v>625000 ОБЛ ТЮМЕНСКАЯ   Г ТЮМЕНЬ   УЛ НАРОДНАЯ д. 6</v>
      </c>
      <c r="M1962" t="str">
        <f t="shared" si="334"/>
        <v>2019-08-24</v>
      </c>
      <c r="N1962" t="str">
        <f>"ПОЛИКЛИНИКА 12"</f>
        <v>ПОЛИКЛИНИКА 12</v>
      </c>
      <c r="O1962" t="str">
        <f>"625000"</f>
        <v>625000</v>
      </c>
      <c r="P1962" t="str">
        <f>"ОБЛ ТЮМЕНСКАЯ"</f>
        <v>ОБЛ ТЮМЕНСКАЯ</v>
      </c>
      <c r="Q1962" t="str">
        <f>""</f>
        <v/>
      </c>
      <c r="R1962" t="str">
        <f>"Г ТЮМЕНЬ"</f>
        <v>Г ТЮМЕНЬ</v>
      </c>
      <c r="S1962" t="str">
        <f>""</f>
        <v/>
      </c>
      <c r="T1962" t="str">
        <f>"УЛ МОНТАЖНИКОВ"</f>
        <v>УЛ МОНТАЖНИКОВ</v>
      </c>
      <c r="U1962" s="1" t="str">
        <f>"13А"</f>
        <v>13А</v>
      </c>
      <c r="V1962" s="1" t="str">
        <f>""</f>
        <v/>
      </c>
      <c r="W1962" s="1" t="str">
        <f>""</f>
        <v/>
      </c>
      <c r="X1962" s="1" t="str">
        <f>""</f>
        <v/>
      </c>
      <c r="Y1962" s="1" t="str">
        <f>"68"</f>
        <v>68</v>
      </c>
      <c r="Z1962" t="str">
        <f>""</f>
        <v/>
      </c>
      <c r="AA1962" t="str">
        <f>"9129992458"</f>
        <v>9129992458</v>
      </c>
      <c r="AB1962" t="str">
        <f>"9129992458"</f>
        <v>9129992458</v>
      </c>
      <c r="AC1962" t="str">
        <f>"9224883395"</f>
        <v>9224883395</v>
      </c>
      <c r="AD1962" t="str">
        <f>"9129992458"</f>
        <v>9129992458</v>
      </c>
      <c r="AE1962" t="str">
        <f>""</f>
        <v/>
      </c>
    </row>
    <row r="1963" spans="1:31" x14ac:dyDescent="0.45">
      <c r="A1963" t="str">
        <f>"МАНДЗЯ ВИТАЛИЙ ВЛАДИМИРОВИЧ"</f>
        <v>МАНДЗЯ ВИТАЛИЙ ВЛАДИМИРОВИЧ</v>
      </c>
      <c r="B1963" t="str">
        <f>"1984-01-12"</f>
        <v>1984-01-12</v>
      </c>
      <c r="C1963" t="str">
        <f>"67 09 969378"</f>
        <v>67 09 969378</v>
      </c>
      <c r="D1963" t="str">
        <f>"4276016711536818"</f>
        <v>4276016711536818</v>
      </c>
      <c r="E1963" t="str">
        <f>"2021-06-30"</f>
        <v>2021-06-30</v>
      </c>
      <c r="F1963" t="str">
        <f t="shared" si="338"/>
        <v>+</v>
      </c>
      <c r="G1963" t="str">
        <f t="shared" si="338"/>
        <v>+</v>
      </c>
      <c r="H1963" t="str">
        <f>"40817810916992350802"</f>
        <v>40817810916992350802</v>
      </c>
      <c r="I1963" t="str">
        <f>"5940"</f>
        <v>5940</v>
      </c>
      <c r="J1963" t="str">
        <f>"0069"</f>
        <v>0069</v>
      </c>
      <c r="K1963" t="str">
        <f>"17000.00"</f>
        <v>17000.00</v>
      </c>
      <c r="L1963" t="str">
        <f>"628400 ОБЛ ТЮМЕНСКАЯ   Г СУРГУТ   УЛ ПИОНЕРНАЯ д. 12"</f>
        <v>628400 ОБЛ ТЮМЕНСКАЯ   Г СУРГУТ   УЛ ПИОНЕРНАЯ д. 12</v>
      </c>
      <c r="M1963" t="str">
        <f t="shared" si="334"/>
        <v>2019-08-24</v>
      </c>
      <c r="N1963" t="str">
        <f>"ООО ЗАЩИТА ЮГРЫ"</f>
        <v>ООО ЗАЩИТА ЮГРЫ</v>
      </c>
      <c r="O1963" t="str">
        <f>"628400"</f>
        <v>628400</v>
      </c>
      <c r="P1963" t="str">
        <f>"ОБЛ ТЮМЕНСКАЯ"</f>
        <v>ОБЛ ТЮМЕНСКАЯ</v>
      </c>
      <c r="Q1963" t="str">
        <f>""</f>
        <v/>
      </c>
      <c r="R1963" t="str">
        <f>"Г СУРГУТ"</f>
        <v>Г СУРГУТ</v>
      </c>
      <c r="S1963" t="str">
        <f>""</f>
        <v/>
      </c>
      <c r="T1963" t="str">
        <f>"УЛ МАЯКОВСКОГО"</f>
        <v>УЛ МАЯКОВСКОГО</v>
      </c>
      <c r="U1963" s="1" t="str">
        <f>"33/2"</f>
        <v>33/2</v>
      </c>
      <c r="V1963" s="1" t="str">
        <f>""</f>
        <v/>
      </c>
      <c r="W1963" s="1" t="str">
        <f>""</f>
        <v/>
      </c>
      <c r="X1963" s="1" t="str">
        <f>""</f>
        <v/>
      </c>
      <c r="Y1963" s="1" t="str">
        <f>"8"</f>
        <v>8</v>
      </c>
      <c r="Z1963" t="str">
        <f>"3462764608"</f>
        <v>3462764608</v>
      </c>
      <c r="AA1963" t="str">
        <f>"9124109794"</f>
        <v>9124109794</v>
      </c>
      <c r="AB1963" t="str">
        <f>"9227989152"</f>
        <v>9227989152</v>
      </c>
      <c r="AC1963" t="str">
        <f>"9124109794"</f>
        <v>9124109794</v>
      </c>
      <c r="AD1963" t="str">
        <f>"9227989152"</f>
        <v>9227989152</v>
      </c>
      <c r="AE1963" t="str">
        <f>""</f>
        <v/>
      </c>
    </row>
    <row r="1964" spans="1:31" x14ac:dyDescent="0.45">
      <c r="A1964" t="str">
        <f>"ГИМАЗОВ МАРАТ РИНАТОВИЧ"</f>
        <v>ГИМАЗОВ МАРАТ РИНАТОВИЧ</v>
      </c>
      <c r="B1964" t="str">
        <f>"1986-08-26"</f>
        <v>1986-08-26</v>
      </c>
      <c r="C1964" t="str">
        <f>"74 06 579380"</f>
        <v>74 06 579380</v>
      </c>
      <c r="D1964" t="str">
        <f>"4276016719725223"</f>
        <v>4276016719725223</v>
      </c>
      <c r="E1964" t="str">
        <f>"2021-06-30"</f>
        <v>2021-06-30</v>
      </c>
      <c r="F1964" t="str">
        <f t="shared" si="338"/>
        <v>+</v>
      </c>
      <c r="G1964" t="str">
        <f t="shared" si="338"/>
        <v>+</v>
      </c>
      <c r="H1964" t="str">
        <f>"40817810416992062137"</f>
        <v>40817810416992062137</v>
      </c>
      <c r="I1964" t="str">
        <f>"8369"</f>
        <v>8369</v>
      </c>
      <c r="J1964" t="str">
        <f>"0022"</f>
        <v>0022</v>
      </c>
      <c r="K1964" t="str">
        <f>"21000.00"</f>
        <v>21000.00</v>
      </c>
      <c r="L1964" t="str">
        <f>"629800 ОБЛ ТЮМЕНСКАЯ   Г НОЯБРЬСК   УЛ ШЕВЧЕНКО д. 58"</f>
        <v>629800 ОБЛ ТЮМЕНСКАЯ   Г НОЯБРЬСК   УЛ ШЕВЧЕНКО д. 58</v>
      </c>
      <c r="M1964" t="str">
        <f t="shared" si="334"/>
        <v>2019-08-24</v>
      </c>
      <c r="N1964" t="str">
        <f>"ГАЗПРОМТРАНС"</f>
        <v>ГАЗПРОМТРАНС</v>
      </c>
      <c r="O1964" t="str">
        <f>"629800"</f>
        <v>629800</v>
      </c>
      <c r="P1964" t="str">
        <f>"ОБЛ ТЮМЕНСКАЯ"</f>
        <v>ОБЛ ТЮМЕНСКАЯ</v>
      </c>
      <c r="Q1964" t="str">
        <f>""</f>
        <v/>
      </c>
      <c r="R1964" t="str">
        <f>"Г МУРАВЛЕНКО"</f>
        <v>Г МУРАВЛЕНКО</v>
      </c>
      <c r="S1964" t="str">
        <f>""</f>
        <v/>
      </c>
      <c r="T1964" t="str">
        <f>"УЛ ЛЕНИНА"</f>
        <v>УЛ ЛЕНИНА</v>
      </c>
      <c r="U1964" s="1" t="str">
        <f>"131"</f>
        <v>131</v>
      </c>
      <c r="V1964" s="1" t="str">
        <f>""</f>
        <v/>
      </c>
      <c r="W1964" s="1" t="str">
        <f>""</f>
        <v/>
      </c>
      <c r="X1964" s="1" t="str">
        <f>""</f>
        <v/>
      </c>
      <c r="Y1964" s="1" t="str">
        <f>"3"</f>
        <v>3</v>
      </c>
      <c r="Z1964" t="str">
        <f>"9222822095"</f>
        <v>9222822095</v>
      </c>
      <c r="AA1964" t="str">
        <f>"9822651994"</f>
        <v>9822651994</v>
      </c>
      <c r="AB1964" t="str">
        <f>"9220509042"</f>
        <v>9220509042</v>
      </c>
      <c r="AC1964" t="str">
        <f>"9822651994"</f>
        <v>9822651994</v>
      </c>
      <c r="AD1964" t="str">
        <f>"9220509042"</f>
        <v>9220509042</v>
      </c>
      <c r="AE1964" t="str">
        <f>"9222822095"</f>
        <v>9222822095</v>
      </c>
    </row>
    <row r="1965" spans="1:31" x14ac:dyDescent="0.45">
      <c r="A1965" t="str">
        <f>"РАХМАТУЛИН САИД ХАЛИЛЬЕВИЧ"</f>
        <v>РАХМАТУЛИН САИД ХАЛИЛЬЕВИЧ</v>
      </c>
      <c r="B1965" t="str">
        <f>"1992-12-17"</f>
        <v>1992-12-17</v>
      </c>
      <c r="C1965" t="str">
        <f>"67 13 367219"</f>
        <v>67 13 367219</v>
      </c>
      <c r="D1965" t="str">
        <f>"4276016710618146"</f>
        <v>4276016710618146</v>
      </c>
      <c r="E1965" t="str">
        <f>"2021-06-30"</f>
        <v>2021-06-30</v>
      </c>
      <c r="F1965" t="str">
        <f>"Q"</f>
        <v>Q</v>
      </c>
      <c r="G1965" t="str">
        <f>"Q"</f>
        <v>Q</v>
      </c>
      <c r="H1965" t="str">
        <f>"40817810716992062358"</f>
        <v>40817810716992062358</v>
      </c>
      <c r="I1965" t="str">
        <f>"1791"</f>
        <v>1791</v>
      </c>
      <c r="J1965" t="str">
        <f>"0003"</f>
        <v>0003</v>
      </c>
      <c r="K1965" t="str">
        <f>"0.00"</f>
        <v>0.00</v>
      </c>
      <c r="L1965" t="str">
        <f>"628000 ОБЛ ТЮМЕНСКАЯ   Г ТЮМЕНЬ   УЛ РЕСПУБЛИКИ д. 247"</f>
        <v>628000 ОБЛ ТЮМЕНСКАЯ   Г ТЮМЕНЬ   УЛ РЕСПУБЛИКИ д. 247</v>
      </c>
      <c r="M1965" t="str">
        <f t="shared" si="334"/>
        <v>2019-08-24</v>
      </c>
      <c r="N1965" t="str">
        <f>"ООО РЕНТСЕРВИС"</f>
        <v>ООО РЕНТСЕРВИС</v>
      </c>
      <c r="O1965" t="str">
        <f>"628000"</f>
        <v>628000</v>
      </c>
      <c r="P1965" t="str">
        <f>"ОБЛ ТЮМЕНСКАЯ"</f>
        <v>ОБЛ ТЮМЕНСКАЯ</v>
      </c>
      <c r="Q1965" t="str">
        <f>"АО ХАНТЫ-МАНСИЙСКИЙ"</f>
        <v>АО ХАНТЫ-МАНСИЙСКИЙ</v>
      </c>
      <c r="R1965" t="str">
        <f>"Г ХАНТЫ-МАНСИЙСК"</f>
        <v>Г ХАНТЫ-МАНСИЙСК</v>
      </c>
      <c r="S1965" t="str">
        <f>""</f>
        <v/>
      </c>
      <c r="T1965" t="str">
        <f>"УЛ СОТ ДВИЖЕНЕЦ"</f>
        <v>УЛ СОТ ДВИЖЕНЕЦ</v>
      </c>
      <c r="U1965" s="1" t="str">
        <f>"181"</f>
        <v>181</v>
      </c>
      <c r="V1965" s="1" t="str">
        <f>""</f>
        <v/>
      </c>
      <c r="W1965" s="1" t="str">
        <f>""</f>
        <v/>
      </c>
      <c r="X1965" s="1" t="str">
        <f>""</f>
        <v/>
      </c>
      <c r="Y1965" s="1" t="str">
        <f>""</f>
        <v/>
      </c>
      <c r="Z1965" t="str">
        <f>"9821412235"</f>
        <v>9821412235</v>
      </c>
      <c r="AA1965" t="str">
        <f>"9224342351"</f>
        <v>9224342351</v>
      </c>
      <c r="AB1965" t="str">
        <f>"9324734915"</f>
        <v>9324734915</v>
      </c>
      <c r="AC1965" t="str">
        <f>"9224342351"</f>
        <v>9224342351</v>
      </c>
      <c r="AD1965" t="str">
        <f>"9324734915"</f>
        <v>9324734915</v>
      </c>
      <c r="AE1965" t="str">
        <f>""</f>
        <v/>
      </c>
    </row>
    <row r="1966" spans="1:31" x14ac:dyDescent="0.45">
      <c r="A1966" t="str">
        <f>"КОТОВ КОНСТАНТИН ЕВГЕНЬЕВИЧ"</f>
        <v>КОТОВ КОНСТАНТИН ЕВГЕНЬЕВИЧ</v>
      </c>
      <c r="B1966" t="str">
        <f>"1985-06-22"</f>
        <v>1985-06-22</v>
      </c>
      <c r="C1966" t="str">
        <f>"37 05 064783"</f>
        <v>37 05 064783</v>
      </c>
      <c r="D1966" t="str">
        <f>"4854630408557273"</f>
        <v>4854630408557273</v>
      </c>
      <c r="E1966" t="str">
        <f>"2021-04-30"</f>
        <v>2021-04-30</v>
      </c>
      <c r="F1966" t="str">
        <f t="shared" ref="F1966:G1969" si="339">"+"</f>
        <v>+</v>
      </c>
      <c r="G1966" t="str">
        <f t="shared" si="339"/>
        <v>+</v>
      </c>
      <c r="H1966" t="str">
        <f>"40817810016991442611"</f>
        <v>40817810016991442611</v>
      </c>
      <c r="I1966" t="str">
        <f>"8599"</f>
        <v>8599</v>
      </c>
      <c r="J1966" t="str">
        <f>"0159"</f>
        <v>0159</v>
      </c>
      <c r="K1966" t="str">
        <f>"30000.00"</f>
        <v>30000.00</v>
      </c>
      <c r="L1966" t="str">
        <f>"641000 ОБЛ КУРГАНСКАЯ Р-Н ЩУЧАНСКИЙ Г ЩУЧЬЕ   УЛ 50 ЛЕТ ВЛКСМ д. 1"</f>
        <v>641000 ОБЛ КУРГАНСКАЯ Р-Н ЩУЧАНСКИЙ Г ЩУЧЬЕ   УЛ 50 ЛЕТ ВЛКСМ д. 1</v>
      </c>
      <c r="M1966" t="str">
        <f t="shared" si="334"/>
        <v>2019-08-24</v>
      </c>
      <c r="N1966" t="str">
        <f>"ОАО АПО МУЗА"</f>
        <v>ОАО АПО МУЗА</v>
      </c>
      <c r="O1966" t="str">
        <f>"641000"</f>
        <v>641000</v>
      </c>
      <c r="P1966" t="str">
        <f>"ОБЛ КУРГАНСКАЯ"</f>
        <v>ОБЛ КУРГАНСКАЯ</v>
      </c>
      <c r="Q1966" t="str">
        <f>"Р-Н ЩУЧАНСКИЙ"</f>
        <v>Р-Н ЩУЧАНСКИЙ</v>
      </c>
      <c r="R1966" t="str">
        <f>"Г ЩУЧЬЕ"</f>
        <v>Г ЩУЧЬЕ</v>
      </c>
      <c r="S1966" t="str">
        <f>""</f>
        <v/>
      </c>
      <c r="T1966" t="str">
        <f>"УЛ ИМ. МАРШАЛА ЖУКОВА Г. К."</f>
        <v>УЛ ИМ. МАРШАЛА ЖУКОВА Г. К.</v>
      </c>
      <c r="U1966" s="1" t="str">
        <f>"12"</f>
        <v>12</v>
      </c>
      <c r="V1966" s="1" t="str">
        <f>""</f>
        <v/>
      </c>
      <c r="W1966" s="1" t="str">
        <f>""</f>
        <v/>
      </c>
      <c r="X1966" s="1" t="str">
        <f>""</f>
        <v/>
      </c>
      <c r="Y1966" s="1" t="str">
        <f>"1"</f>
        <v>1</v>
      </c>
      <c r="Z1966" t="str">
        <f>"244 22540"</f>
        <v>244 22540</v>
      </c>
      <c r="AA1966" t="str">
        <f>"9222342295"</f>
        <v>9222342295</v>
      </c>
      <c r="AB1966" t="str">
        <f>"9222342295"</f>
        <v>9222342295</v>
      </c>
      <c r="AC1966" t="str">
        <f>"9222342295"</f>
        <v>9222342295</v>
      </c>
      <c r="AD1966" t="str">
        <f>"9222342295"</f>
        <v>9222342295</v>
      </c>
      <c r="AE1966" t="str">
        <f>""</f>
        <v/>
      </c>
    </row>
    <row r="1967" spans="1:31" x14ac:dyDescent="0.45">
      <c r="A1967" t="str">
        <f>"РОЖКО ЕКАТЕРИНА ГЕННАДЬЕВНА"</f>
        <v>РОЖКО ЕКАТЕРИНА ГЕННАДЬЕВНА</v>
      </c>
      <c r="B1967" t="str">
        <f>"1977-01-18"</f>
        <v>1977-01-18</v>
      </c>
      <c r="C1967" t="str">
        <f>"65 11 202741"</f>
        <v>65 11 202741</v>
      </c>
      <c r="D1967" t="str">
        <f>"4854630398395882"</f>
        <v>4854630398395882</v>
      </c>
      <c r="E1967" t="str">
        <f>"2021-04-30"</f>
        <v>2021-04-30</v>
      </c>
      <c r="F1967" t="str">
        <f t="shared" si="339"/>
        <v>+</v>
      </c>
      <c r="G1967" t="str">
        <f t="shared" si="339"/>
        <v>+</v>
      </c>
      <c r="H1967" t="str">
        <f>"40817810816991442620"</f>
        <v>40817810816991442620</v>
      </c>
      <c r="I1967" t="str">
        <f>"7003"</f>
        <v>7003</v>
      </c>
      <c r="J1967" t="str">
        <f>"0386"</f>
        <v>0386</v>
      </c>
      <c r="K1967" t="str">
        <f>"10000.00"</f>
        <v>10000.00</v>
      </c>
      <c r="L1967" t="str">
        <f>"620000 ОБЛ СВЕРДЛОВСКАЯ   Г ЕКАТЕРИНБУРГ   УЛ ВОССТАНИЯ д. 58 кв. 296"</f>
        <v>620000 ОБЛ СВЕРДЛОВСКАЯ   Г ЕКАТЕРИНБУРГ   УЛ ВОССТАНИЯ д. 58 кв. 296</v>
      </c>
      <c r="M1967" t="str">
        <f t="shared" si="334"/>
        <v>2019-08-24</v>
      </c>
      <c r="N1967" t="str">
        <f>"ФРИЛАНСЕР"</f>
        <v>ФРИЛАНСЕР</v>
      </c>
      <c r="O1967" t="str">
        <f>"620000"</f>
        <v>620000</v>
      </c>
      <c r="P1967" t="str">
        <f>"ОБЛ СВЕРДЛОВСКАЯ"</f>
        <v>ОБЛ СВЕРДЛОВСКАЯ</v>
      </c>
      <c r="Q1967" t="str">
        <f>""</f>
        <v/>
      </c>
      <c r="R1967" t="str">
        <f>"Г ЕКАТЕРИНБУРГ"</f>
        <v>Г ЕКАТЕРИНБУРГ</v>
      </c>
      <c r="S1967" t="str">
        <f>""</f>
        <v/>
      </c>
      <c r="T1967" t="str">
        <f>"УЛ ВОССТАНИЯ"</f>
        <v>УЛ ВОССТАНИЯ</v>
      </c>
      <c r="U1967" s="1" t="str">
        <f>"58"</f>
        <v>58</v>
      </c>
      <c r="V1967" s="1" t="str">
        <f>""</f>
        <v/>
      </c>
      <c r="W1967" s="1" t="str">
        <f>""</f>
        <v/>
      </c>
      <c r="X1967" s="1" t="str">
        <f>""</f>
        <v/>
      </c>
      <c r="Y1967" s="1" t="str">
        <f>"296"</f>
        <v>296</v>
      </c>
      <c r="Z1967" t="str">
        <f>"0000000000"</f>
        <v>0000000000</v>
      </c>
      <c r="AA1967" t="str">
        <f>"9222152581"</f>
        <v>9222152581</v>
      </c>
      <c r="AB1967" t="str">
        <f>"9222152581"</f>
        <v>9222152581</v>
      </c>
      <c r="AC1967" t="str">
        <f>"9222152581"</f>
        <v>9222152581</v>
      </c>
      <c r="AD1967" t="str">
        <f>"9222152581"</f>
        <v>9222152581</v>
      </c>
      <c r="AE1967" t="str">
        <f>""</f>
        <v/>
      </c>
    </row>
    <row r="1968" spans="1:31" x14ac:dyDescent="0.45">
      <c r="A1968" t="str">
        <f>"БИКТИМИРОВ РУСТЕМ РИНАТОВИЧ"</f>
        <v>БИКТИМИРОВ РУСТЕМ РИНАТОВИЧ</v>
      </c>
      <c r="B1968" t="str">
        <f>"1972-02-15"</f>
        <v>1972-02-15</v>
      </c>
      <c r="C1968" t="str">
        <f>"67 16 619424"</f>
        <v>67 16 619424</v>
      </c>
      <c r="D1968" t="str">
        <f>"4854630265318561"</f>
        <v>4854630265318561</v>
      </c>
      <c r="E1968" t="str">
        <f>"2021-06-30"</f>
        <v>2021-06-30</v>
      </c>
      <c r="F1968" t="str">
        <f t="shared" si="339"/>
        <v>+</v>
      </c>
      <c r="G1968" t="str">
        <f t="shared" si="339"/>
        <v>+</v>
      </c>
      <c r="H1968" t="str">
        <f>"40817810716992063344"</f>
        <v>40817810716992063344</v>
      </c>
      <c r="I1968" t="str">
        <f>"5940"</f>
        <v>5940</v>
      </c>
      <c r="J1968" t="str">
        <f>"0102"</f>
        <v>0102</v>
      </c>
      <c r="K1968" t="str">
        <f>"92000.00"</f>
        <v>92000.00</v>
      </c>
      <c r="L1968" t="str">
        <f>"628300 ОБЛ ТЮМЕНСКАЯ   Г РАДУЖНЫЙ ПРОМЗОНА ЮЖНАЯ   стр. БАЗА"</f>
        <v>628300 ОБЛ ТЮМЕНСКАЯ   Г РАДУЖНЫЙ ПРОМЗОНА ЮЖНАЯ   стр. БАЗА</v>
      </c>
      <c r="M1968" t="str">
        <f t="shared" si="334"/>
        <v>2019-08-24</v>
      </c>
      <c r="N1968" t="str">
        <f>"ООО АЛМАЗ"</f>
        <v>ООО АЛМАЗ</v>
      </c>
      <c r="O1968" t="str">
        <f>"628300"</f>
        <v>628300</v>
      </c>
      <c r="P1968" t="str">
        <f>"ОБЛ ТЮМЕНСКАЯ"</f>
        <v>ОБЛ ТЮМЕНСКАЯ</v>
      </c>
      <c r="Q1968" t="str">
        <f>""</f>
        <v/>
      </c>
      <c r="R1968" t="str">
        <f>"Г НЕФТЕЮГАНСК"</f>
        <v>Г НЕФТЕЮГАНСК</v>
      </c>
      <c r="S1968" t="str">
        <f>""</f>
        <v/>
      </c>
      <c r="T1968" t="str">
        <f>"МКР 7-Й"</f>
        <v>МКР 7-Й</v>
      </c>
      <c r="U1968" s="1" t="str">
        <f>"30"</f>
        <v>30</v>
      </c>
      <c r="V1968" s="1" t="str">
        <f>""</f>
        <v/>
      </c>
      <c r="W1968" s="1" t="str">
        <f>""</f>
        <v/>
      </c>
      <c r="X1968" s="1" t="str">
        <f>""</f>
        <v/>
      </c>
      <c r="Y1968" s="1" t="str">
        <f>"2"</f>
        <v>2</v>
      </c>
      <c r="Z1968" t="str">
        <f>""</f>
        <v/>
      </c>
      <c r="AA1968" t="str">
        <f>"9825035318"</f>
        <v>9825035318</v>
      </c>
      <c r="AB1968" t="str">
        <f>"9822011370"</f>
        <v>9822011370</v>
      </c>
      <c r="AC1968" t="str">
        <f>"9825035318"</f>
        <v>9825035318</v>
      </c>
      <c r="AD1968" t="str">
        <f>"9822011370"</f>
        <v>9822011370</v>
      </c>
      <c r="AE1968" t="str">
        <f>""</f>
        <v/>
      </c>
    </row>
    <row r="1969" spans="1:31" x14ac:dyDescent="0.45">
      <c r="A1969" t="str">
        <f>"ПОНАМАРЕВА АЛЬБИНА ПЕТРОВНА"</f>
        <v>ПОНАМАРЕВА АЛЬБИНА ПЕТРОВНА</v>
      </c>
      <c r="B1969" t="str">
        <f>"1963-11-04"</f>
        <v>1963-11-04</v>
      </c>
      <c r="C1969" t="str">
        <f>"71 08 639106"</f>
        <v>71 08 639106</v>
      </c>
      <c r="D1969" t="str">
        <f>"4854630230066592"</f>
        <v>4854630230066592</v>
      </c>
      <c r="E1969" t="str">
        <f>"2020-04-30"</f>
        <v>2020-04-30</v>
      </c>
      <c r="F1969" t="str">
        <f t="shared" si="339"/>
        <v>+</v>
      </c>
      <c r="G1969" t="str">
        <f t="shared" si="339"/>
        <v>+</v>
      </c>
      <c r="H1969" t="str">
        <f>"40817810016992555280"</f>
        <v>40817810016992555280</v>
      </c>
      <c r="I1969" t="str">
        <f>"8647"</f>
        <v>8647</v>
      </c>
      <c r="J1969" t="str">
        <f>"0200"</f>
        <v>0200</v>
      </c>
      <c r="K1969" t="str">
        <f>"15000.00"</f>
        <v>15000.00</v>
      </c>
      <c r="L1969" t="str">
        <f>"627570 ОБЛ ТЮМЕНСКАЯ Р-Н ВИКУЛОВСКИЙ   С ВИКУЛОВО УЛ К. МАРКСА д. 48"</f>
        <v>627570 ОБЛ ТЮМЕНСКАЯ Р-Н ВИКУЛОВСКИЙ   С ВИКУЛОВО УЛ К. МАРКСА д. 48</v>
      </c>
      <c r="M1969" t="str">
        <f t="shared" si="334"/>
        <v>2019-08-24</v>
      </c>
      <c r="N1969" t="str">
        <f>"УПФР В Г. ИШИМЕ"</f>
        <v>УПФР В Г. ИШИМЕ</v>
      </c>
      <c r="O1969" t="str">
        <f>"627570"</f>
        <v>627570</v>
      </c>
      <c r="P1969" t="str">
        <f>"ОБЛ ТЮМЕНСКАЯ"</f>
        <v>ОБЛ ТЮМЕНСКАЯ</v>
      </c>
      <c r="Q1969" t="str">
        <f>"Р-Н ВИКУЛОВСКИЙ"</f>
        <v>Р-Н ВИКУЛОВСКИЙ</v>
      </c>
      <c r="R1969" t="str">
        <f>""</f>
        <v/>
      </c>
      <c r="S1969" t="str">
        <f>"С ВИКУЛОВО"</f>
        <v>С ВИКУЛОВО</v>
      </c>
      <c r="T1969" t="str">
        <f>"УЛ ЮБИЛЕЙНАЯ"</f>
        <v>УЛ ЮБИЛЕЙНАЯ</v>
      </c>
      <c r="U1969" s="1" t="str">
        <f>"15"</f>
        <v>15</v>
      </c>
      <c r="V1969" s="1" t="str">
        <f>""</f>
        <v/>
      </c>
      <c r="W1969" s="1" t="str">
        <f>""</f>
        <v/>
      </c>
      <c r="X1969" s="1" t="str">
        <f>""</f>
        <v/>
      </c>
      <c r="Y1969" s="1" t="str">
        <f>"2"</f>
        <v>2</v>
      </c>
      <c r="Z1969" t="str">
        <f>"3455724478"</f>
        <v>3455724478</v>
      </c>
      <c r="AA1969" t="str">
        <f>"3455723945"</f>
        <v>3455723945</v>
      </c>
      <c r="AB1969" t="str">
        <f>"9504860673"</f>
        <v>9504860673</v>
      </c>
      <c r="AC1969" t="str">
        <f>"3455723945"</f>
        <v>3455723945</v>
      </c>
      <c r="AD1969" t="str">
        <f>"9504860673"</f>
        <v>9504860673</v>
      </c>
      <c r="AE1969" t="str">
        <f>""</f>
        <v/>
      </c>
    </row>
    <row r="1970" spans="1:31" x14ac:dyDescent="0.45">
      <c r="A1970" t="str">
        <f>"КАРИМОВА РАЙСА ГАБИДУЛЛОВНА"</f>
        <v>КАРИМОВА РАЙСА ГАБИДУЛЛОВНА</v>
      </c>
      <c r="B1970" t="str">
        <f>"1953-06-30"</f>
        <v>1953-06-30</v>
      </c>
      <c r="C1970" t="str">
        <f>"80 04 867126"</f>
        <v>80 04 867126</v>
      </c>
      <c r="D1970" t="str">
        <f>"4854630416622069"</f>
        <v>4854630416622069</v>
      </c>
      <c r="E1970" t="str">
        <f>"2021-04-30"</f>
        <v>2021-04-30</v>
      </c>
      <c r="F1970" t="str">
        <f>"Q"</f>
        <v>Q</v>
      </c>
      <c r="G1970" t="str">
        <f>"Q"</f>
        <v>Q</v>
      </c>
      <c r="H1970" t="str">
        <f>"40817810016991470405"</f>
        <v>40817810016991470405</v>
      </c>
      <c r="I1970" t="str">
        <f>"8598"</f>
        <v>8598</v>
      </c>
      <c r="J1970" t="str">
        <f>"0321"</f>
        <v>0321</v>
      </c>
      <c r="K1970" t="str">
        <f>"0.00"</f>
        <v>0.00</v>
      </c>
      <c r="L1970" t="str">
        <f>"450000 РЕСП БАШКОРТОСТАН   Г УЧАЛЫ   УЛ ПЕРВОСТРОИТЕЛЕЙ д. 2"</f>
        <v>450000 РЕСП БАШКОРТОСТАН   Г УЧАЛЫ   УЛ ПЕРВОСТРОИТЕЛЕЙ д. 2</v>
      </c>
      <c r="M1970" t="str">
        <f t="shared" si="334"/>
        <v>2019-08-24</v>
      </c>
      <c r="N1970" t="str">
        <f>"ПЕНСИОННЫЙ ФОНД РФ"</f>
        <v>ПЕНСИОННЫЙ ФОНД РФ</v>
      </c>
      <c r="O1970" t="str">
        <f>"450000"</f>
        <v>450000</v>
      </c>
      <c r="P1970" t="str">
        <f>"РЕСП БАШКОРТОСТАН"</f>
        <v>РЕСП БАШКОРТОСТАН</v>
      </c>
      <c r="Q1970" t="str">
        <f>"Р-Н УЧАЛИНСКИЙ"</f>
        <v>Р-Н УЧАЛИНСКИЙ</v>
      </c>
      <c r="R1970" t="str">
        <f>""</f>
        <v/>
      </c>
      <c r="S1970" t="str">
        <f>"Д ТУНГАТАРОВО"</f>
        <v>Д ТУНГАТАРОВО</v>
      </c>
      <c r="T1970" t="str">
        <f>"УЛ ПИОНЕРСКАЯ"</f>
        <v>УЛ ПИОНЕРСКАЯ</v>
      </c>
      <c r="U1970" s="1" t="str">
        <f>"16"</f>
        <v>16</v>
      </c>
      <c r="V1970" s="1" t="str">
        <f>""</f>
        <v/>
      </c>
      <c r="W1970" s="1" t="str">
        <f>""</f>
        <v/>
      </c>
      <c r="X1970" s="1" t="str">
        <f>""</f>
        <v/>
      </c>
      <c r="Y1970" s="1" t="str">
        <f>""</f>
        <v/>
      </c>
      <c r="Z1970" t="str">
        <f>""</f>
        <v/>
      </c>
      <c r="AA1970" t="str">
        <f>"9323295110"</f>
        <v>9323295110</v>
      </c>
      <c r="AB1970" t="str">
        <f>"9674519787"</f>
        <v>9674519787</v>
      </c>
      <c r="AC1970" t="str">
        <f>"9323295110"</f>
        <v>9323295110</v>
      </c>
      <c r="AD1970" t="str">
        <f>"9674519787"</f>
        <v>9674519787</v>
      </c>
      <c r="AE1970" t="str">
        <f>""</f>
        <v/>
      </c>
    </row>
    <row r="1971" spans="1:31" x14ac:dyDescent="0.45">
      <c r="A1971" t="str">
        <f>"ЛАЗОВАЯ ОКСАНА АЛЕКСАНДРОВНА"</f>
        <v>ЛАЗОВАЯ ОКСАНА АЛЕКСАНДРОВНА</v>
      </c>
      <c r="B1971" t="str">
        <f>"1974-01-01"</f>
        <v>1974-01-01</v>
      </c>
      <c r="C1971" t="str">
        <f>"67 18 794553"</f>
        <v>67 18 794553</v>
      </c>
      <c r="D1971" t="str">
        <f>"4854630049567285"</f>
        <v>4854630049567285</v>
      </c>
      <c r="E1971" t="str">
        <f>"2021-05-31"</f>
        <v>2021-05-31</v>
      </c>
      <c r="F1971" t="str">
        <f t="shared" ref="F1971:G1973" si="340">"+"</f>
        <v>+</v>
      </c>
      <c r="G1971" t="str">
        <f t="shared" si="340"/>
        <v>+</v>
      </c>
      <c r="H1971" t="str">
        <f>"40817810816992555448"</f>
        <v>40817810816992555448</v>
      </c>
      <c r="I1971" t="str">
        <f>"5940"</f>
        <v>5940</v>
      </c>
      <c r="J1971" t="str">
        <f>"0138"</f>
        <v>0138</v>
      </c>
      <c r="K1971" t="str">
        <f>"270000.00"</f>
        <v>270000.00</v>
      </c>
      <c r="L1971" t="str">
        <f>"628600 ОБЛ ТЮМЕНСКАЯ   Г НИЖНЕВАРТОВСК   УЛ МИРА д. 24"</f>
        <v>628600 ОБЛ ТЮМЕНСКАЯ   Г НИЖНЕВАРТОВСК   УЛ МИРА д. 24</v>
      </c>
      <c r="M1971" t="str">
        <f t="shared" si="334"/>
        <v>2019-08-24</v>
      </c>
      <c r="N1971" t="str">
        <f>"ООО ИНТЭК-ЗАПАДНАЯ СИБИРЬ"</f>
        <v>ООО ИНТЭК-ЗАПАДНАЯ СИБИРЬ</v>
      </c>
      <c r="O1971" t="str">
        <f>"628600"</f>
        <v>628600</v>
      </c>
      <c r="P1971" t="str">
        <f>"ОБЛ ТЮМЕНСКАЯ"</f>
        <v>ОБЛ ТЮМЕНСКАЯ</v>
      </c>
      <c r="Q1971" t="str">
        <f>""</f>
        <v/>
      </c>
      <c r="R1971" t="str">
        <f>"Г НИЖНЕВАРТОВСК"</f>
        <v>Г НИЖНЕВАРТОВСК</v>
      </c>
      <c r="S1971" t="str">
        <f>""</f>
        <v/>
      </c>
      <c r="T1971" t="str">
        <f>"УЛ ИНТЕРНАЦИОНАЛЬНАЯ"</f>
        <v>УЛ ИНТЕРНАЦИОНАЛЬНАЯ</v>
      </c>
      <c r="U1971" s="1" t="str">
        <f>"29"</f>
        <v>29</v>
      </c>
      <c r="V1971" s="1" t="str">
        <f>""</f>
        <v/>
      </c>
      <c r="W1971" s="1" t="str">
        <f>""</f>
        <v/>
      </c>
      <c r="X1971" s="1" t="str">
        <f>""</f>
        <v/>
      </c>
      <c r="Y1971" s="1" t="str">
        <f>"47"</f>
        <v>47</v>
      </c>
      <c r="Z1971" t="str">
        <f>""</f>
        <v/>
      </c>
      <c r="AA1971" t="str">
        <f>"+7 (950) 5047525"</f>
        <v>+7 (950) 5047525</v>
      </c>
      <c r="AB1971" t="str">
        <f>"+7 (950) 5047525"</f>
        <v>+7 (950) 5047525</v>
      </c>
      <c r="AC1971" t="str">
        <f>"9224121035"</f>
        <v>9224121035</v>
      </c>
      <c r="AD1971" t="str">
        <f>"9505047525"</f>
        <v>9505047525</v>
      </c>
      <c r="AE1971" t="str">
        <f>""</f>
        <v/>
      </c>
    </row>
    <row r="1972" spans="1:31" x14ac:dyDescent="0.45">
      <c r="A1972" t="str">
        <f>"ПОПОВ ВЛАДИМИР ЕВСТРАТЬЕВИЧ"</f>
        <v>ПОПОВ ВЛАДИМИР ЕВСТРАТЬЕВИЧ</v>
      </c>
      <c r="B1972" t="str">
        <f>"1956-11-30"</f>
        <v>1956-11-30</v>
      </c>
      <c r="C1972" t="str">
        <f>"37 02 345065"</f>
        <v>37 02 345065</v>
      </c>
      <c r="D1972" t="str">
        <f>"4854630410522786"</f>
        <v>4854630410522786</v>
      </c>
      <c r="E1972" t="str">
        <f>"2021-04-30"</f>
        <v>2021-04-30</v>
      </c>
      <c r="F1972" t="str">
        <f t="shared" si="340"/>
        <v>+</v>
      </c>
      <c r="G1972" t="str">
        <f t="shared" si="340"/>
        <v>+</v>
      </c>
      <c r="H1972" t="str">
        <f>"40817810316991470406"</f>
        <v>40817810316991470406</v>
      </c>
      <c r="I1972" t="str">
        <f>"8599"</f>
        <v>8599</v>
      </c>
      <c r="J1972" t="str">
        <f>"0227"</f>
        <v>0227</v>
      </c>
      <c r="K1972" t="str">
        <f>"20000.00"</f>
        <v>20000.00</v>
      </c>
      <c r="L1972" t="str">
        <f>"641870 ОБЛ КУРГАНСКАЯ   Г ШАДРИНСК НП НЕ УКАЗАН   д. 111"</f>
        <v>641870 ОБЛ КУРГАНСКАЯ   Г ШАДРИНСК НП НЕ УКАЗАН   д. 111</v>
      </c>
      <c r="M1972" t="str">
        <f t="shared" si="334"/>
        <v>2019-08-24</v>
      </c>
      <c r="N1972" t="str">
        <f>"ГОРПО УРАЛ"</f>
        <v>ГОРПО УРАЛ</v>
      </c>
      <c r="O1972" t="str">
        <f>"641000"</f>
        <v>641000</v>
      </c>
      <c r="P1972" t="str">
        <f>"ОБЛ КУРГАНСКАЯ"</f>
        <v>ОБЛ КУРГАНСКАЯ</v>
      </c>
      <c r="Q1972" t="str">
        <f>"Р-Н ШАДРИНСКИЙ"</f>
        <v>Р-Н ШАДРИНСКИЙ</v>
      </c>
      <c r="R1972" t="str">
        <f>""</f>
        <v/>
      </c>
      <c r="S1972" t="str">
        <f>"С КРАСНАЯ НИВА"</f>
        <v>С КРАСНАЯ НИВА</v>
      </c>
      <c r="T1972" t="str">
        <f>"УЛ СОВХОЗНАЯ"</f>
        <v>УЛ СОВХОЗНАЯ</v>
      </c>
      <c r="U1972" s="1" t="str">
        <f>"26"</f>
        <v>26</v>
      </c>
      <c r="V1972" s="1" t="str">
        <f>""</f>
        <v/>
      </c>
      <c r="W1972" s="1" t="str">
        <f>""</f>
        <v/>
      </c>
      <c r="X1972" s="1" t="str">
        <f>""</f>
        <v/>
      </c>
      <c r="Y1972" s="1" t="str">
        <f>""</f>
        <v/>
      </c>
      <c r="Z1972" t="str">
        <f>"+7 (922) 6752746"</f>
        <v>+7 (922) 6752746</v>
      </c>
      <c r="AA1972" t="str">
        <f>"+7 (922) 5633069"</f>
        <v>+7 (922) 5633069</v>
      </c>
      <c r="AB1972" t="str">
        <f>"+7 (922) 5633069"</f>
        <v>+7 (922) 5633069</v>
      </c>
      <c r="AC1972" t="str">
        <f>"3525495272"</f>
        <v>3525495272</v>
      </c>
      <c r="AD1972" t="str">
        <f>"9226752746"</f>
        <v>9226752746</v>
      </c>
      <c r="AE1972" t="str">
        <f>""</f>
        <v/>
      </c>
    </row>
    <row r="1973" spans="1:31" x14ac:dyDescent="0.45">
      <c r="A1973" t="str">
        <f>"ДОНЧУ СНЕЖАНА ОЛЕГОВНА"</f>
        <v>ДОНЧУ СНЕЖАНА ОЛЕГОВНА</v>
      </c>
      <c r="B1973" t="str">
        <f>"1989-12-27"</f>
        <v>1989-12-27</v>
      </c>
      <c r="C1973" t="str">
        <f>"67 14 403250"</f>
        <v>67 14 403250</v>
      </c>
      <c r="D1973" t="str">
        <f>"4854630373116675"</f>
        <v>4854630373116675</v>
      </c>
      <c r="E1973" t="str">
        <f>"2021-04-30"</f>
        <v>2021-04-30</v>
      </c>
      <c r="F1973" t="str">
        <f t="shared" si="340"/>
        <v>+</v>
      </c>
      <c r="G1973" t="str">
        <f t="shared" si="340"/>
        <v>+</v>
      </c>
      <c r="H1973" t="str">
        <f>"40817810516992192868"</f>
        <v>40817810516992192868</v>
      </c>
      <c r="I1973" t="str">
        <f>"5940"</f>
        <v>5940</v>
      </c>
      <c r="J1973" t="str">
        <f>"0102"</f>
        <v>0102</v>
      </c>
      <c r="K1973" t="str">
        <f>"200000.00"</f>
        <v>200000.00</v>
      </c>
      <c r="L1973" t="str">
        <f>"628300 ОБЛ ТЮМЕНСКАЯ АО ХАНТЫ-МАНСИЙСКИЙ Г НЕФТЕЮГАНСК   МКР 1 д. 5"</f>
        <v>628300 ОБЛ ТЮМЕНСКАЯ АО ХАНТЫ-МАНСИЙСКИЙ Г НЕФТЕЮГАНСК   МКР 1 д. 5</v>
      </c>
      <c r="M1973" t="str">
        <f t="shared" si="334"/>
        <v>2019-08-24</v>
      </c>
      <c r="N1973" t="str">
        <f>"ПАРИКМАХЕРСКАЯ ЛОРИ-АРТ"</f>
        <v>ПАРИКМАХЕРСКАЯ ЛОРИ-АРТ</v>
      </c>
      <c r="O1973" t="str">
        <f>"628300"</f>
        <v>628300</v>
      </c>
      <c r="P1973" t="str">
        <f>"ОБЛ ТЮМЕНСКАЯ"</f>
        <v>ОБЛ ТЮМЕНСКАЯ</v>
      </c>
      <c r="Q1973" t="str">
        <f>"АО ХАНТЫ-МАНСИЙСИЙ"</f>
        <v>АО ХАНТЫ-МАНСИЙСИЙ</v>
      </c>
      <c r="R1973" t="str">
        <f>"Г НЕФТЕЮГАНСК"</f>
        <v>Г НЕФТЕЮГАНСК</v>
      </c>
      <c r="S1973" t="str">
        <f>""</f>
        <v/>
      </c>
      <c r="T1973" t="str">
        <f>"МКР 7"</f>
        <v>МКР 7</v>
      </c>
      <c r="U1973" s="1" t="str">
        <f>"39"</f>
        <v>39</v>
      </c>
      <c r="V1973" s="1" t="str">
        <f>"Е"</f>
        <v>Е</v>
      </c>
      <c r="W1973" s="1" t="str">
        <f>""</f>
        <v/>
      </c>
      <c r="X1973" s="1" t="str">
        <f>""</f>
        <v/>
      </c>
      <c r="Y1973" s="1" t="str">
        <f>"17"</f>
        <v>17</v>
      </c>
      <c r="Z1973" t="str">
        <f>""</f>
        <v/>
      </c>
      <c r="AA1973" t="str">
        <f>"9825257080"</f>
        <v>9825257080</v>
      </c>
      <c r="AB1973" t="str">
        <f>"9125175966"</f>
        <v>9125175966</v>
      </c>
      <c r="AC1973" t="str">
        <f>"9825257080"</f>
        <v>9825257080</v>
      </c>
      <c r="AD1973" t="str">
        <f>"9125175966"</f>
        <v>9125175966</v>
      </c>
      <c r="AE1973" t="str">
        <f>""</f>
        <v/>
      </c>
    </row>
    <row r="1974" spans="1:31" x14ac:dyDescent="0.45">
      <c r="A1974" t="str">
        <f>"ЖЁЛТЫШЕВ СЕРГЕЙ ВАЛЕРЬЕВИЧ"</f>
        <v>ЖЁЛТЫШЕВ СЕРГЕЙ ВАЛЕРЬЕВИЧ</v>
      </c>
      <c r="B1974" t="str">
        <f>"1990-06-30"</f>
        <v>1990-06-30</v>
      </c>
      <c r="C1974" t="str">
        <f>"65 13 738561"</f>
        <v>65 13 738561</v>
      </c>
      <c r="D1974" t="str">
        <f>"4854630231996094"</f>
        <v>4854630231996094</v>
      </c>
      <c r="E1974" t="str">
        <f>"2021-04-30"</f>
        <v>2021-04-30</v>
      </c>
      <c r="F1974" t="str">
        <f>"+"</f>
        <v>+</v>
      </c>
      <c r="G1974" t="str">
        <f>"7"</f>
        <v>7</v>
      </c>
      <c r="H1974" t="str">
        <f>"40817810116991470457"</f>
        <v>40817810116991470457</v>
      </c>
      <c r="I1974" t="str">
        <f>"7003"</f>
        <v>7003</v>
      </c>
      <c r="J1974" t="str">
        <f>"0858"</f>
        <v>0858</v>
      </c>
      <c r="K1974" t="str">
        <f>"36997.30"</f>
        <v>36997.30</v>
      </c>
      <c r="L1974" t="str">
        <f>"620000 ОБЛ СВЕРДЛОВСКАЯ   Г ЛЕСНОЙ   ПР-КТ КОММУНИСТИЧЕСКИЙ д. 6 корп. А"</f>
        <v>620000 ОБЛ СВЕРДЛОВСКАЯ   Г ЛЕСНОЙ   ПР-КТ КОММУНИСТИЧЕСКИЙ д. 6 корп. А</v>
      </c>
      <c r="M1974" t="str">
        <f t="shared" si="334"/>
        <v>2019-08-24</v>
      </c>
      <c r="N1974" t="str">
        <f>"ФГУП КОМБИНАТ ЭЛЕКТРОХИМПРИБОР"</f>
        <v>ФГУП КОМБИНАТ ЭЛЕКТРОХИМПРИБОР</v>
      </c>
      <c r="O1974" t="str">
        <f>"620000"</f>
        <v>620000</v>
      </c>
      <c r="P1974" t="str">
        <f>"ОБЛ СВЕРДЛОВСКАЯ"</f>
        <v>ОБЛ СВЕРДЛОВСКАЯ</v>
      </c>
      <c r="Q1974" t="str">
        <f>""</f>
        <v/>
      </c>
      <c r="R1974" t="str">
        <f>"Г ЛЕСНОЙ"</f>
        <v>Г ЛЕСНОЙ</v>
      </c>
      <c r="S1974" t="str">
        <f>""</f>
        <v/>
      </c>
      <c r="T1974" t="str">
        <f>"УЛ СИРОТИНА"</f>
        <v>УЛ СИРОТИНА</v>
      </c>
      <c r="U1974" s="1" t="str">
        <f>"13"</f>
        <v>13</v>
      </c>
      <c r="V1974" s="1" t="str">
        <f>""</f>
        <v/>
      </c>
      <c r="W1974" s="1" t="str">
        <f>""</f>
        <v/>
      </c>
      <c r="X1974" s="1" t="str">
        <f>""</f>
        <v/>
      </c>
      <c r="Y1974" s="1" t="str">
        <f>"3"</f>
        <v>3</v>
      </c>
      <c r="Z1974" t="str">
        <f>""</f>
        <v/>
      </c>
      <c r="AA1974" t="str">
        <f>"9090040908"</f>
        <v>9090040908</v>
      </c>
      <c r="AB1974" t="str">
        <f>"9090040908"</f>
        <v>9090040908</v>
      </c>
      <c r="AC1974" t="str">
        <f>"9090040908"</f>
        <v>9090040908</v>
      </c>
      <c r="AD1974" t="str">
        <f>"9090040908"</f>
        <v>9090040908</v>
      </c>
      <c r="AE1974" t="str">
        <f>""</f>
        <v/>
      </c>
    </row>
    <row r="1975" spans="1:31" x14ac:dyDescent="0.45">
      <c r="A1975" t="str">
        <f>"КОЛЧАНОВА АНИСЬЯ ФАТЕЕВНА"</f>
        <v>КОЛЧАНОВА АНИСЬЯ ФАТЕЕВНА</v>
      </c>
      <c r="B1975" t="str">
        <f>"1961-01-17"</f>
        <v>1961-01-17</v>
      </c>
      <c r="C1975" t="str">
        <f>"36 16 217517"</f>
        <v>36 16 217517</v>
      </c>
      <c r="D1975" t="str">
        <f>"5313100765701098"</f>
        <v>5313100765701098</v>
      </c>
      <c r="E1975" t="str">
        <f>"2021-03-31"</f>
        <v>2021-03-31</v>
      </c>
      <c r="F1975" t="str">
        <f>"Q"</f>
        <v>Q</v>
      </c>
      <c r="G1975" t="str">
        <f>"Q"</f>
        <v>Q</v>
      </c>
      <c r="H1975" t="str">
        <f>"40817810516992194950"</f>
        <v>40817810516992194950</v>
      </c>
      <c r="I1975" t="str">
        <f>"8647"</f>
        <v>8647</v>
      </c>
      <c r="J1975" t="str">
        <f>"0273"</f>
        <v>0273</v>
      </c>
      <c r="K1975" t="str">
        <f>"0.00"</f>
        <v>0.00</v>
      </c>
      <c r="L1975" t="str">
        <f>"627350 ОБЛ ТЮМЕНСКАЯ Р-Н АРОМАШЕВСКИЙ   С АРОМАШЕВО УЛ ЛЕНИНА д. 140"</f>
        <v>627350 ОБЛ ТЮМЕНСКАЯ Р-Н АРОМАШЕВСКИЙ   С АРОМАШЕВО УЛ ЛЕНИНА д. 140</v>
      </c>
      <c r="M1975" t="str">
        <f t="shared" si="334"/>
        <v>2019-08-24</v>
      </c>
      <c r="N1975" t="str">
        <f>"УПФР В ГОЛЫШМАНОВСКОМ РАЙОНЕ ТЮМЕНСКОЙ ОБЛАСТИ МЕЖРАЙОННОЕ"</f>
        <v>УПФР В ГОЛЫШМАНОВСКОМ РАЙОНЕ ТЮМЕНСКОЙ ОБЛАСТИ МЕЖРАЙОННОЕ</v>
      </c>
      <c r="O1975" t="str">
        <f>"446406"</f>
        <v>446406</v>
      </c>
      <c r="P1975" t="str">
        <f>"ОБЛ САМАРСКАЯ"</f>
        <v>ОБЛ САМАРСКАЯ</v>
      </c>
      <c r="Q1975" t="str">
        <f>"Р-Н КИНЕЛЬСКИЙ"</f>
        <v>Р-Н КИНЕЛЬСКИЙ</v>
      </c>
      <c r="R1975" t="str">
        <f>""</f>
        <v/>
      </c>
      <c r="S1975" t="str">
        <f>"С БОБРОВКА"</f>
        <v>С БОБРОВКА</v>
      </c>
      <c r="T1975" t="str">
        <f>"УЛ КИРОВА"</f>
        <v>УЛ КИРОВА</v>
      </c>
      <c r="U1975" s="1" t="str">
        <f>"76"</f>
        <v>76</v>
      </c>
      <c r="V1975" s="1" t="str">
        <f>""</f>
        <v/>
      </c>
      <c r="W1975" s="1" t="str">
        <f>""</f>
        <v/>
      </c>
      <c r="X1975" s="1" t="str">
        <f>""</f>
        <v/>
      </c>
      <c r="Y1975" s="1" t="str">
        <f>""</f>
        <v/>
      </c>
      <c r="Z1975" t="str">
        <f>""</f>
        <v/>
      </c>
      <c r="AA1975" t="str">
        <f>"9829702507"</f>
        <v>9829702507</v>
      </c>
      <c r="AB1975" t="str">
        <f>"9276087955"</f>
        <v>9276087955</v>
      </c>
      <c r="AC1975" t="str">
        <f>"9829702507"</f>
        <v>9829702507</v>
      </c>
      <c r="AD1975" t="str">
        <f>"9276087955"</f>
        <v>9276087955</v>
      </c>
      <c r="AE1975" t="str">
        <f>""</f>
        <v/>
      </c>
    </row>
    <row r="1976" spans="1:31" x14ac:dyDescent="0.45">
      <c r="A1976" t="str">
        <f>"КУЗЬМИН ВЛАДИМИР ПЕТРОВИЧ"</f>
        <v>КУЗЬМИН ВЛАДИМИР ПЕТРОВИЧ</v>
      </c>
      <c r="B1976" t="str">
        <f>"1954-03-06"</f>
        <v>1954-03-06</v>
      </c>
      <c r="C1976" t="str">
        <f>"67 99 178935"</f>
        <v>67 99 178935</v>
      </c>
      <c r="D1976" t="str">
        <f>"4854630045118315"</f>
        <v>4854630045118315</v>
      </c>
      <c r="E1976" t="str">
        <f>"2021-05-31"</f>
        <v>2021-05-31</v>
      </c>
      <c r="F1976" t="str">
        <f>"Q"</f>
        <v>Q</v>
      </c>
      <c r="G1976" t="str">
        <f>"Q"</f>
        <v>Q</v>
      </c>
      <c r="H1976" t="str">
        <f>"40817810616992194012"</f>
        <v>40817810616992194012</v>
      </c>
      <c r="I1976" t="str">
        <f>"5940"</f>
        <v>5940</v>
      </c>
      <c r="J1976" t="str">
        <f>"0133"</f>
        <v>0133</v>
      </c>
      <c r="K1976" t="str">
        <f>"0.00"</f>
        <v>0.00</v>
      </c>
      <c r="L1976" t="str">
        <f>"628672 ОБЛ ТЮМЕНСКАЯ АО ХМАО Г ЛАНГЕПАС   УЛ ЛЕНИНА д. 84 кв. 22"</f>
        <v>628672 ОБЛ ТЮМЕНСКАЯ АО ХМАО Г ЛАНГЕПАС   УЛ ЛЕНИНА д. 84 кв. 22</v>
      </c>
      <c r="M1976" t="str">
        <f t="shared" si="334"/>
        <v>2019-08-24</v>
      </c>
      <c r="N1976" t="str">
        <f>"ПЕНСИОНЕР"</f>
        <v>ПЕНСИОНЕР</v>
      </c>
      <c r="O1976" t="str">
        <f>"628672"</f>
        <v>628672</v>
      </c>
      <c r="P1976" t="str">
        <f>"ОБЛ ТЮМЕНСКАЯ"</f>
        <v>ОБЛ ТЮМЕНСКАЯ</v>
      </c>
      <c r="Q1976" t="str">
        <f>"АО ХАНТЫ-МАНСИЙСКИЙ"</f>
        <v>АО ХАНТЫ-МАНСИЙСКИЙ</v>
      </c>
      <c r="R1976" t="str">
        <f>"Г ЛАНГЕПАС"</f>
        <v>Г ЛАНГЕПАС</v>
      </c>
      <c r="S1976" t="str">
        <f>""</f>
        <v/>
      </c>
      <c r="T1976" t="str">
        <f>"УЛ ЛЕНИНА"</f>
        <v>УЛ ЛЕНИНА</v>
      </c>
      <c r="U1976" s="1" t="str">
        <f>"84"</f>
        <v>84</v>
      </c>
      <c r="V1976" s="1" t="str">
        <f>""</f>
        <v/>
      </c>
      <c r="W1976" s="1" t="str">
        <f>""</f>
        <v/>
      </c>
      <c r="X1976" s="1" t="str">
        <f>""</f>
        <v/>
      </c>
      <c r="Y1976" s="1" t="str">
        <f>"22"</f>
        <v>22</v>
      </c>
      <c r="Z1976" t="str">
        <f>"9224178734"</f>
        <v>9224178734</v>
      </c>
      <c r="AA1976" t="str">
        <f>"9527240879"</f>
        <v>9527240879</v>
      </c>
      <c r="AB1976" t="str">
        <f>"9224375164"</f>
        <v>9224375164</v>
      </c>
      <c r="AC1976" t="str">
        <f>"9527240879"</f>
        <v>9527240879</v>
      </c>
      <c r="AD1976" t="str">
        <f>"9224375164"</f>
        <v>9224375164</v>
      </c>
      <c r="AE1976" t="str">
        <f>""</f>
        <v/>
      </c>
    </row>
    <row r="1977" spans="1:31" x14ac:dyDescent="0.45">
      <c r="A1977" t="str">
        <f>"СПЕСИВЦЕВА СВЕТЛАНА НИКОЛАЕВНА"</f>
        <v>СПЕСИВЦЕВА СВЕТЛАНА НИКОЛАЕВНА</v>
      </c>
      <c r="B1977" t="str">
        <f>"1974-03-16"</f>
        <v>1974-03-16</v>
      </c>
      <c r="C1977" t="str">
        <f>"65 04 390730"</f>
        <v>65 04 390730</v>
      </c>
      <c r="D1977" t="str">
        <f>"4854630218576794"</f>
        <v>4854630218576794</v>
      </c>
      <c r="E1977" t="str">
        <f>"2021-04-30"</f>
        <v>2021-04-30</v>
      </c>
      <c r="F1977" t="str">
        <f>"K"</f>
        <v>K</v>
      </c>
      <c r="G1977" t="str">
        <f>"+"</f>
        <v>+</v>
      </c>
      <c r="H1977" t="str">
        <f>"40817810116991470486"</f>
        <v>40817810116991470486</v>
      </c>
      <c r="I1977" t="str">
        <f>"7003"</f>
        <v>7003</v>
      </c>
      <c r="J1977" t="str">
        <f>"0493"</f>
        <v>0493</v>
      </c>
      <c r="K1977" t="str">
        <f>"40000.00"</f>
        <v>40000.00</v>
      </c>
      <c r="L1977" t="str">
        <f>"620000 ОБЛ СВЕРДЛОВСКАЯ   Г ПОЛЕВСКОЙ   УЛ ПОБЕДЫ д. 17"</f>
        <v>620000 ОБЛ СВЕРДЛОВСКАЯ   Г ПОЛЕВСКОЙ   УЛ ПОБЕДЫ д. 17</v>
      </c>
      <c r="M1977" t="str">
        <f t="shared" si="334"/>
        <v>2019-08-24</v>
      </c>
      <c r="N1977" t="str">
        <f>"ИП СПЕСИВЦЕВА"</f>
        <v>ИП СПЕСИВЦЕВА</v>
      </c>
      <c r="O1977" t="str">
        <f>"620000"</f>
        <v>620000</v>
      </c>
      <c r="P1977" t="str">
        <f>"ОБЛ СВЕРДЛОВСКАЯ"</f>
        <v>ОБЛ СВЕРДЛОВСКАЯ</v>
      </c>
      <c r="Q1977" t="str">
        <f>""</f>
        <v/>
      </c>
      <c r="R1977" t="str">
        <f>"Г ПОЛЕВСКОЙ"</f>
        <v>Г ПОЛЕВСКОЙ</v>
      </c>
      <c r="S1977" t="str">
        <f>""</f>
        <v/>
      </c>
      <c r="T1977" t="str">
        <f>"УЛ ФУРМАНОВА"</f>
        <v>УЛ ФУРМАНОВА</v>
      </c>
      <c r="U1977" s="1" t="str">
        <f>"19"</f>
        <v>19</v>
      </c>
      <c r="V1977" s="1" t="str">
        <f>""</f>
        <v/>
      </c>
      <c r="W1977" s="1" t="str">
        <f>""</f>
        <v/>
      </c>
      <c r="X1977" s="1" t="str">
        <f>""</f>
        <v/>
      </c>
      <c r="Y1977" s="1" t="str">
        <f>""</f>
        <v/>
      </c>
      <c r="Z1977" t="str">
        <f>""</f>
        <v/>
      </c>
      <c r="AA1977" t="str">
        <f>"3435000000"</f>
        <v>3435000000</v>
      </c>
      <c r="AB1977" t="str">
        <f>"9089162702"</f>
        <v>9089162702</v>
      </c>
      <c r="AC1977" t="str">
        <f>"3435000000"</f>
        <v>3435000000</v>
      </c>
      <c r="AD1977" t="str">
        <f>"9089162702"</f>
        <v>9089162702</v>
      </c>
      <c r="AE1977" t="str">
        <f>""</f>
        <v/>
      </c>
    </row>
    <row r="1978" spans="1:31" x14ac:dyDescent="0.45">
      <c r="A1978" t="str">
        <f>"АЗАНОВ АНДРЕЙ ИВАНОВИЧ"</f>
        <v>АЗАНОВ АНДРЕЙ ИВАНОВИЧ</v>
      </c>
      <c r="B1978" t="str">
        <f>"1977-11-21"</f>
        <v>1977-11-21</v>
      </c>
      <c r="C1978" t="str">
        <f>"80 17 690577"</f>
        <v>80 17 690577</v>
      </c>
      <c r="D1978" t="str">
        <f>"5313100665569793"</f>
        <v>5313100665569793</v>
      </c>
      <c r="E1978" t="str">
        <f>"2021-03-31"</f>
        <v>2021-03-31</v>
      </c>
      <c r="F1978" t="str">
        <f>"+"</f>
        <v>+</v>
      </c>
      <c r="G1978" t="str">
        <f>"+"</f>
        <v>+</v>
      </c>
      <c r="H1978" t="str">
        <f>"40817810416991470487"</f>
        <v>40817810416991470487</v>
      </c>
      <c r="I1978" t="str">
        <f>"8598"</f>
        <v>8598</v>
      </c>
      <c r="J1978" t="str">
        <f>"0728"</f>
        <v>0728</v>
      </c>
      <c r="K1978" t="str">
        <f>"20000.00"</f>
        <v>20000.00</v>
      </c>
      <c r="L1978" t="str">
        <f>"454000 ОБЛ ЧЕЛЯБИНСКАЯ   Г МАГНИТОГОРСК   УЛ КИРОВА д. 93"</f>
        <v>454000 ОБЛ ЧЕЛЯБИНСКАЯ   Г МАГНИТОГОРСК   УЛ КИРОВА д. 93</v>
      </c>
      <c r="M1978" t="str">
        <f t="shared" si="334"/>
        <v>2019-08-24</v>
      </c>
      <c r="N1978" t="str">
        <f>"72336725"</f>
        <v>72336725</v>
      </c>
      <c r="O1978" t="str">
        <f>"453605"</f>
        <v>453605</v>
      </c>
      <c r="P1978" t="str">
        <f>"РЕСП БАШКОРТОСТАН"</f>
        <v>РЕСП БАШКОРТОСТАН</v>
      </c>
      <c r="Q1978" t="str">
        <f>"Р-Н АБЗЕЛИЛОВСКИЙ"</f>
        <v>Р-Н АБЗЕЛИЛОВСКИЙ</v>
      </c>
      <c r="R1978" t="str">
        <f>""</f>
        <v/>
      </c>
      <c r="S1978" t="str">
        <f>"С ЦЕЛИННЫЙ"</f>
        <v>С ЦЕЛИННЫЙ</v>
      </c>
      <c r="T1978" t="str">
        <f>"УЛ ЛЕНИНА"</f>
        <v>УЛ ЛЕНИНА</v>
      </c>
      <c r="U1978" s="1" t="str">
        <f>"52"</f>
        <v>52</v>
      </c>
      <c r="V1978" s="1" t="str">
        <f>""</f>
        <v/>
      </c>
      <c r="W1978" s="1" t="str">
        <f>""</f>
        <v/>
      </c>
      <c r="X1978" s="1" t="str">
        <f>""</f>
        <v/>
      </c>
      <c r="Y1978" s="1" t="str">
        <f>""</f>
        <v/>
      </c>
      <c r="Z1978" t="str">
        <f>"3519380100"</f>
        <v>3519380100</v>
      </c>
      <c r="AA1978" t="str">
        <f>"9823057983"</f>
        <v>9823057983</v>
      </c>
      <c r="AB1978" t="str">
        <f>"9823057983"</f>
        <v>9823057983</v>
      </c>
      <c r="AC1978" t="str">
        <f>"9823057983"</f>
        <v>9823057983</v>
      </c>
      <c r="AD1978" t="str">
        <f>"9823057983"</f>
        <v>9823057983</v>
      </c>
      <c r="AE1978" t="str">
        <f>""</f>
        <v/>
      </c>
    </row>
    <row r="1979" spans="1:31" x14ac:dyDescent="0.45">
      <c r="A1979" t="str">
        <f>"ЮЛГИЛЬДИН ДИМ МАРАТОВИЧ"</f>
        <v>ЮЛГИЛЬДИН ДИМ МАРАТОВИЧ</v>
      </c>
      <c r="B1979" t="str">
        <f>"1991-12-19"</f>
        <v>1991-12-19</v>
      </c>
      <c r="C1979" t="str">
        <f>"80 19 970753"</f>
        <v>80 19 970753</v>
      </c>
      <c r="D1979" t="str">
        <f>"4854630357550196"</f>
        <v>4854630357550196</v>
      </c>
      <c r="E1979" t="str">
        <f>"2021-04-30"</f>
        <v>2021-04-30</v>
      </c>
      <c r="F1979" t="str">
        <f>"+"</f>
        <v>+</v>
      </c>
      <c r="G1979" t="str">
        <f>"7"</f>
        <v>7</v>
      </c>
      <c r="H1979" t="str">
        <f>"40817810916991470521"</f>
        <v>40817810916991470521</v>
      </c>
      <c r="I1979" t="str">
        <f>"8598"</f>
        <v>8598</v>
      </c>
      <c r="J1979" t="str">
        <f>"0754"</f>
        <v>0754</v>
      </c>
      <c r="K1979" t="str">
        <f>"78591.95"</f>
        <v>78591.95</v>
      </c>
      <c r="L1979" t="str">
        <f>"450000 РЕСП БАШКОРТОСТАН Р-Н ХАЙБУЛЛИНСКИЙ   С ПЕРВОЛОЧАН УЛ МОЛОДЕЖНАЯ д. 7"</f>
        <v>450000 РЕСП БАШКОРТОСТАН Р-Н ХАЙБУЛЛИНСКИЙ   С ПЕРВОЛОЧАН УЛ МОЛОДЕЖНАЯ д. 7</v>
      </c>
      <c r="M1979" t="str">
        <f t="shared" si="334"/>
        <v>2019-08-24</v>
      </c>
      <c r="N1979" t="str">
        <f>"ООО ЧОП ВУЛКАН"</f>
        <v>ООО ЧОП ВУЛКАН</v>
      </c>
      <c r="O1979" t="str">
        <f>"450000"</f>
        <v>450000</v>
      </c>
      <c r="P1979" t="str">
        <f>"РЕСП БАШКОРТОСТАН"</f>
        <v>РЕСП БАШКОРТОСТАН</v>
      </c>
      <c r="Q1979" t="str">
        <f>"Р-Н ХАЙБУЛЛИНСКИЙ"</f>
        <v>Р-Н ХАЙБУЛЛИНСКИЙ</v>
      </c>
      <c r="R1979" t="str">
        <f>""</f>
        <v/>
      </c>
      <c r="S1979" t="str">
        <f>"С ПЕРВОЛОЧАН"</f>
        <v>С ПЕРВОЛОЧАН</v>
      </c>
      <c r="T1979" t="str">
        <f>"УЛ МОЛОДЕЖНАЯ"</f>
        <v>УЛ МОЛОДЕЖНАЯ</v>
      </c>
      <c r="U1979" s="1" t="str">
        <f>"7"</f>
        <v>7</v>
      </c>
      <c r="V1979" s="1" t="str">
        <f>""</f>
        <v/>
      </c>
      <c r="W1979" s="1" t="str">
        <f>""</f>
        <v/>
      </c>
      <c r="X1979" s="1" t="str">
        <f>""</f>
        <v/>
      </c>
      <c r="Y1979" s="1" t="str">
        <f>""</f>
        <v/>
      </c>
      <c r="Z1979" t="str">
        <f>""</f>
        <v/>
      </c>
      <c r="AA1979" t="str">
        <f>"+7 (964) 2051826"</f>
        <v>+7 (964) 2051826</v>
      </c>
      <c r="AB1979" t="str">
        <f>"+7 (922) 7756653"</f>
        <v>+7 (922) 7756653</v>
      </c>
      <c r="AC1979" t="str">
        <f>"9378555497"</f>
        <v>9378555497</v>
      </c>
      <c r="AD1979" t="str">
        <f>"9378555497"</f>
        <v>9378555497</v>
      </c>
      <c r="AE1979" t="str">
        <f>""</f>
        <v/>
      </c>
    </row>
    <row r="1980" spans="1:31" x14ac:dyDescent="0.45">
      <c r="A1980" t="str">
        <f>"КАРАВАЕВА ИРИНА ВИТАЛЬЕВНА"</f>
        <v>КАРАВАЕВА ИРИНА ВИТАЛЬЕВНА</v>
      </c>
      <c r="B1980" t="str">
        <f>"1965-08-02"</f>
        <v>1965-08-02</v>
      </c>
      <c r="C1980" t="str">
        <f>"37 09 377485"</f>
        <v>37 09 377485</v>
      </c>
      <c r="D1980" t="str">
        <f>"4854630408274937"</f>
        <v>4854630408274937</v>
      </c>
      <c r="E1980" t="str">
        <f>"2021-04-30"</f>
        <v>2021-04-30</v>
      </c>
      <c r="F1980" t="str">
        <f>"+"</f>
        <v>+</v>
      </c>
      <c r="G1980" t="str">
        <f t="shared" ref="G1980:G1993" si="341">"+"</f>
        <v>+</v>
      </c>
      <c r="H1980" t="str">
        <f>"40817810416991470542"</f>
        <v>40817810416991470542</v>
      </c>
      <c r="I1980" t="str">
        <f>"8599"</f>
        <v>8599</v>
      </c>
      <c r="J1980" t="str">
        <f>"0139"</f>
        <v>0139</v>
      </c>
      <c r="K1980" t="str">
        <f>"115000.00"</f>
        <v>115000.00</v>
      </c>
      <c r="L1980" t="str">
        <f>"641000 ОБЛ КУРГАНСКАЯ Р-Н ШУМИХИНСКИЙ Г ШУМИХА   УЛ КУЙБЫШЕВА д. 3"</f>
        <v>641000 ОБЛ КУРГАНСКАЯ Р-Н ШУМИХИНСКИЙ Г ШУМИХА   УЛ КУЙБЫШЕВА д. 3</v>
      </c>
      <c r="M1980" t="str">
        <f t="shared" si="334"/>
        <v>2019-08-24</v>
      </c>
      <c r="N1980" t="str">
        <f>"ГУ УПФР ПО ШУМИХИНСКОМУ РАЙОНУ"</f>
        <v>ГУ УПФР ПО ШУМИХИНСКОМУ РАЙОНУ</v>
      </c>
      <c r="O1980" t="str">
        <f>"641000"</f>
        <v>641000</v>
      </c>
      <c r="P1980" t="str">
        <f>"ОБЛ КУРГАНСКАЯ"</f>
        <v>ОБЛ КУРГАНСКАЯ</v>
      </c>
      <c r="Q1980" t="str">
        <f>"Р-Н ШУМИХИНСКИЙ"</f>
        <v>Р-Н ШУМИХИНСКИЙ</v>
      </c>
      <c r="R1980" t="str">
        <f>""</f>
        <v/>
      </c>
      <c r="S1980" t="str">
        <f>"Д ДУБРАВНАЯ"</f>
        <v>Д ДУБРАВНАЯ</v>
      </c>
      <c r="T1980" t="str">
        <f>"УЛ ЦЕНТРАЛЬНАЯ"</f>
        <v>УЛ ЦЕНТРАЛЬНАЯ</v>
      </c>
      <c r="U1980" s="1" t="str">
        <f>"8"</f>
        <v>8</v>
      </c>
      <c r="V1980" s="1" t="str">
        <f>""</f>
        <v/>
      </c>
      <c r="W1980" s="1" t="str">
        <f>""</f>
        <v/>
      </c>
      <c r="X1980" s="1" t="str">
        <f>""</f>
        <v/>
      </c>
      <c r="Y1980" s="1" t="str">
        <f>""</f>
        <v/>
      </c>
      <c r="Z1980" t="str">
        <f>""</f>
        <v/>
      </c>
      <c r="AA1980" t="str">
        <f>"9226743619"</f>
        <v>9226743619</v>
      </c>
      <c r="AB1980" t="str">
        <f>"9226743619"</f>
        <v>9226743619</v>
      </c>
      <c r="AC1980" t="str">
        <f>"9226743619"</f>
        <v>9226743619</v>
      </c>
      <c r="AD1980" t="str">
        <f>"9226743619"</f>
        <v>9226743619</v>
      </c>
      <c r="AE1980" t="str">
        <f>""</f>
        <v/>
      </c>
    </row>
    <row r="1981" spans="1:31" x14ac:dyDescent="0.45">
      <c r="A1981" t="str">
        <f>"ВАСИЛЬКОВА ЛИЛИЯ ФЛАРИДОВНА"</f>
        <v>ВАСИЛЬКОВА ЛИЛИЯ ФЛАРИДОВНА</v>
      </c>
      <c r="B1981" t="str">
        <f>"1983-01-21"</f>
        <v>1983-01-21</v>
      </c>
      <c r="C1981" t="str">
        <f>"80 18 818519"</f>
        <v>80 18 818519</v>
      </c>
      <c r="D1981" t="str">
        <f>"4854630229981728"</f>
        <v>4854630229981728</v>
      </c>
      <c r="E1981" t="str">
        <f>"2021-04-30"</f>
        <v>2021-04-30</v>
      </c>
      <c r="F1981" t="str">
        <f>"M"</f>
        <v>M</v>
      </c>
      <c r="G1981" t="str">
        <f t="shared" si="341"/>
        <v>+</v>
      </c>
      <c r="H1981" t="str">
        <f>"40817810616991430612"</f>
        <v>40817810616991430612</v>
      </c>
      <c r="I1981" t="str">
        <f>"8598"</f>
        <v>8598</v>
      </c>
      <c r="J1981" t="str">
        <f>"0214"</f>
        <v>0214</v>
      </c>
      <c r="K1981" t="str">
        <f>"490000.00"</f>
        <v>490000.00</v>
      </c>
      <c r="L1981" t="str">
        <f>"450000 РЕСП БАШКОРТОСТАН   Г УФА   УЛ ПРОСПЕКТ ОКТЯБРЯ д. 56 стр. 1"</f>
        <v>450000 РЕСП БАШКОРТОСТАН   Г УФА   УЛ ПРОСПЕКТ ОКТЯБРЯ д. 56 стр. 1</v>
      </c>
      <c r="M1981" t="str">
        <f t="shared" si="334"/>
        <v>2019-08-24</v>
      </c>
      <c r="N1981" t="str">
        <f>"ИП КАШАПОВА ЛИЛИЯ ФЛАРИДОВНА"</f>
        <v>ИП КАШАПОВА ЛИЛИЯ ФЛАРИДОВНА</v>
      </c>
      <c r="O1981" t="str">
        <f>"450000"</f>
        <v>450000</v>
      </c>
      <c r="P1981" t="str">
        <f>"РЕСП БАШКОРТОСТАН"</f>
        <v>РЕСП БАШКОРТОСТАН</v>
      </c>
      <c r="Q1981" t="str">
        <f>"Р-Н ДАВЛЕКАНОВСКИЙ"</f>
        <v>Р-Н ДАВЛЕКАНОВСКИЙ</v>
      </c>
      <c r="R1981" t="str">
        <f>""</f>
        <v/>
      </c>
      <c r="S1981" t="str">
        <f>"С ВПЕРЕД"</f>
        <v>С ВПЕРЕД</v>
      </c>
      <c r="T1981" t="str">
        <f>"УЛ ПОЛЕВАЯ"</f>
        <v>УЛ ПОЛЕВАЯ</v>
      </c>
      <c r="U1981" s="1" t="str">
        <f>"11"</f>
        <v>11</v>
      </c>
      <c r="V1981" s="1" t="str">
        <f>""</f>
        <v/>
      </c>
      <c r="W1981" s="1" t="str">
        <f>""</f>
        <v/>
      </c>
      <c r="X1981" s="1" t="str">
        <f>""</f>
        <v/>
      </c>
      <c r="Y1981" s="1" t="str">
        <f>""</f>
        <v/>
      </c>
      <c r="Z1981" t="str">
        <f>""</f>
        <v/>
      </c>
      <c r="AA1981" t="str">
        <f>"9174718385"</f>
        <v>9174718385</v>
      </c>
      <c r="AB1981" t="str">
        <f>"9174718385"</f>
        <v>9174718385</v>
      </c>
      <c r="AC1981" t="str">
        <f>"9174718385"</f>
        <v>9174718385</v>
      </c>
      <c r="AD1981" t="str">
        <f>"9174718385"</f>
        <v>9174718385</v>
      </c>
      <c r="AE1981" t="str">
        <f>""</f>
        <v/>
      </c>
    </row>
    <row r="1982" spans="1:31" x14ac:dyDescent="0.45">
      <c r="A1982" t="str">
        <f>"СОКОЛОВА АННА ЮРЬЕВНА"</f>
        <v>СОКОЛОВА АННА ЮРЬЕВНА</v>
      </c>
      <c r="B1982" t="str">
        <f>"1991-07-25"</f>
        <v>1991-07-25</v>
      </c>
      <c r="C1982" t="str">
        <f>"71 11 872826"</f>
        <v>71 11 872826</v>
      </c>
      <c r="D1982" t="str">
        <f>"4279016721377887"</f>
        <v>4279016721377887</v>
      </c>
      <c r="E1982" t="str">
        <f t="shared" ref="E1982:E1991" si="342">"2021-06-30"</f>
        <v>2021-06-30</v>
      </c>
      <c r="F1982" t="str">
        <f t="shared" ref="F1982:F1992" si="343">"+"</f>
        <v>+</v>
      </c>
      <c r="G1982" t="str">
        <f t="shared" si="341"/>
        <v>+</v>
      </c>
      <c r="H1982" t="str">
        <f>"40817810316992062457"</f>
        <v>40817810316992062457</v>
      </c>
      <c r="I1982" t="str">
        <f>"8647"</f>
        <v>8647</v>
      </c>
      <c r="J1982" t="str">
        <f>"0237"</f>
        <v>0237</v>
      </c>
      <c r="K1982" t="str">
        <f>"55000.00"</f>
        <v>55000.00</v>
      </c>
      <c r="L1982" t="str">
        <f>"627014 ОБЛ ТЮМЕНСКАЯ Р-Н ЯЛУТОРОВСКИЙ Г ЯЛУТОРОВСК   УЛ ЧКАЛОВА д. 25"</f>
        <v>627014 ОБЛ ТЮМЕНСКАЯ Р-Н ЯЛУТОРОВСКИЙ Г ЯЛУТОРОВСК   УЛ ЧКАЛОВА д. 25</v>
      </c>
      <c r="M1982" t="str">
        <f t="shared" si="334"/>
        <v>2019-08-24</v>
      </c>
      <c r="N1982" t="str">
        <f>"ГБУЗ ТО ОБЛАСТНАЯ БОЛЬНИЦА 23"</f>
        <v>ГБУЗ ТО ОБЛАСТНАЯ БОЛЬНИЦА 23</v>
      </c>
      <c r="O1982" t="str">
        <f>"627014"</f>
        <v>627014</v>
      </c>
      <c r="P1982" t="str">
        <f t="shared" ref="P1982:P1993" si="344">"ОБЛ ТЮМЕНСКАЯ"</f>
        <v>ОБЛ ТЮМЕНСКАЯ</v>
      </c>
      <c r="Q1982" t="str">
        <f>"Р-Н ЯЛУТОРОВСКИЙ"</f>
        <v>Р-Н ЯЛУТОРОВСКИЙ</v>
      </c>
      <c r="R1982" t="str">
        <f>"Г ЯЛУТОРОВСК"</f>
        <v>Г ЯЛУТОРОВСК</v>
      </c>
      <c r="S1982" t="str">
        <f>""</f>
        <v/>
      </c>
      <c r="T1982" t="str">
        <f>"УЛ ВОКЗАЛЬНАЯ"</f>
        <v>УЛ ВОКЗАЛЬНАЯ</v>
      </c>
      <c r="U1982" s="1" t="str">
        <f>"13"</f>
        <v>13</v>
      </c>
      <c r="V1982" s="1" t="str">
        <f>""</f>
        <v/>
      </c>
      <c r="W1982" s="1" t="str">
        <f>""</f>
        <v/>
      </c>
      <c r="X1982" s="1" t="str">
        <f>""</f>
        <v/>
      </c>
      <c r="Y1982" s="1" t="str">
        <f>"57"</f>
        <v>57</v>
      </c>
      <c r="Z1982" t="str">
        <f>""</f>
        <v/>
      </c>
      <c r="AA1982" t="str">
        <f>"9199357695"</f>
        <v>9199357695</v>
      </c>
      <c r="AB1982" t="str">
        <f>"9199480203"</f>
        <v>9199480203</v>
      </c>
      <c r="AC1982" t="str">
        <f>"9199357695"</f>
        <v>9199357695</v>
      </c>
      <c r="AD1982" t="str">
        <f>"9199480203"</f>
        <v>9199480203</v>
      </c>
      <c r="AE1982" t="str">
        <f>""</f>
        <v/>
      </c>
    </row>
    <row r="1983" spans="1:31" x14ac:dyDescent="0.45">
      <c r="A1983" t="str">
        <f>"ЛАВРЕНТЬЕВА НАДЕЖДА АЛЕКСАНДРОВНА"</f>
        <v>ЛАВРЕНТЬЕВА НАДЕЖДА АЛЕКСАНДРОВНА</v>
      </c>
      <c r="B1983" t="str">
        <f>"1983-05-04"</f>
        <v>1983-05-04</v>
      </c>
      <c r="C1983" t="str">
        <f>"67 11 118173"</f>
        <v>67 11 118173</v>
      </c>
      <c r="D1983" t="str">
        <f>"4279016745995128"</f>
        <v>4279016745995128</v>
      </c>
      <c r="E1983" t="str">
        <f t="shared" si="342"/>
        <v>2021-06-30</v>
      </c>
      <c r="F1983" t="str">
        <f t="shared" si="343"/>
        <v>+</v>
      </c>
      <c r="G1983" t="str">
        <f t="shared" si="341"/>
        <v>+</v>
      </c>
      <c r="H1983" t="str">
        <f>"40817810216992062492"</f>
        <v>40817810216992062492</v>
      </c>
      <c r="I1983" t="str">
        <f>"5940"</f>
        <v>5940</v>
      </c>
      <c r="J1983" t="str">
        <f>"0029"</f>
        <v>0029</v>
      </c>
      <c r="K1983" t="str">
        <f>"250000.00"</f>
        <v>250000.00</v>
      </c>
      <c r="L1983" t="str">
        <f>"628400 ОБЛ ТЮМЕНСКАЯ   Г СУРГУТ   УЛ ФЕДОРОВА д. 61 стр. 1"</f>
        <v>628400 ОБЛ ТЮМЕНСКАЯ   Г СУРГУТ   УЛ ФЕДОРОВА д. 61 стр. 1</v>
      </c>
      <c r="M1983" t="str">
        <f t="shared" si="334"/>
        <v>2019-08-24</v>
      </c>
      <c r="N1983" t="str">
        <f>"БУ СМК"</f>
        <v>БУ СМК</v>
      </c>
      <c r="O1983" t="str">
        <f>"628400"</f>
        <v>628400</v>
      </c>
      <c r="P1983" t="str">
        <f t="shared" si="344"/>
        <v>ОБЛ ТЮМЕНСКАЯ</v>
      </c>
      <c r="Q1983" t="str">
        <f>""</f>
        <v/>
      </c>
      <c r="R1983" t="str">
        <f>"Г СУРГУТ"</f>
        <v>Г СУРГУТ</v>
      </c>
      <c r="S1983" t="str">
        <f>""</f>
        <v/>
      </c>
      <c r="T1983" t="str">
        <f>"УЛ ПРОФСОЮЗОВ"</f>
        <v>УЛ ПРОФСОЮЗОВ</v>
      </c>
      <c r="U1983" s="1" t="str">
        <f>"12/2"</f>
        <v>12/2</v>
      </c>
      <c r="V1983" s="1" t="str">
        <f>""</f>
        <v/>
      </c>
      <c r="W1983" s="1" t="str">
        <f>""</f>
        <v/>
      </c>
      <c r="X1983" s="1" t="str">
        <f>""</f>
        <v/>
      </c>
      <c r="Y1983" s="1" t="str">
        <f>"43"</f>
        <v>43</v>
      </c>
      <c r="Z1983" t="str">
        <f>"9222569170"</f>
        <v>9222569170</v>
      </c>
      <c r="AA1983" t="str">
        <f>"3462267247"</f>
        <v>3462267247</v>
      </c>
      <c r="AB1983" t="str">
        <f>"9519753377"</f>
        <v>9519753377</v>
      </c>
      <c r="AC1983" t="str">
        <f>"3462267247"</f>
        <v>3462267247</v>
      </c>
      <c r="AD1983" t="str">
        <f>"9519753377"</f>
        <v>9519753377</v>
      </c>
      <c r="AE1983" t="str">
        <f>""</f>
        <v/>
      </c>
    </row>
    <row r="1984" spans="1:31" x14ac:dyDescent="0.45">
      <c r="A1984" t="str">
        <f>"СВЕРБЯГИНА ТАТЬЯНА АДАМОВНА"</f>
        <v>СВЕРБЯГИНА ТАТЬЯНА АДАМОВНА</v>
      </c>
      <c r="B1984" t="str">
        <f>"1975-05-21"</f>
        <v>1975-05-21</v>
      </c>
      <c r="C1984" t="str">
        <f>"67 99 173152"</f>
        <v>67 99 173152</v>
      </c>
      <c r="D1984" t="str">
        <f>"4279016741000071"</f>
        <v>4279016741000071</v>
      </c>
      <c r="E1984" t="str">
        <f t="shared" si="342"/>
        <v>2021-06-30</v>
      </c>
      <c r="F1984" t="str">
        <f t="shared" si="343"/>
        <v>+</v>
      </c>
      <c r="G1984" t="str">
        <f t="shared" si="341"/>
        <v>+</v>
      </c>
      <c r="H1984" t="str">
        <f>"40817810516992062626"</f>
        <v>40817810516992062626</v>
      </c>
      <c r="I1984" t="str">
        <f>"5940"</f>
        <v>5940</v>
      </c>
      <c r="J1984" t="str">
        <f>"0028"</f>
        <v>0028</v>
      </c>
      <c r="K1984" t="str">
        <f>"90000.00"</f>
        <v>90000.00</v>
      </c>
      <c r="L1984" t="str">
        <f>"628400 ОБЛ ТЮМЕНСКАЯ   Г СУРГУТ   ПР-КТ НАБЕРЕЖНЫЙ д. 22"</f>
        <v>628400 ОБЛ ТЮМЕНСКАЯ   Г СУРГУТ   ПР-КТ НАБЕРЕЖНЫЙ д. 22</v>
      </c>
      <c r="M1984" t="str">
        <f t="shared" si="334"/>
        <v>2019-08-24</v>
      </c>
      <c r="N1984" t="str">
        <f>"ОАО СНГ НГДУ СУРГУТНЕФТЬ"</f>
        <v>ОАО СНГ НГДУ СУРГУТНЕФТЬ</v>
      </c>
      <c r="O1984" t="str">
        <f>"628400"</f>
        <v>628400</v>
      </c>
      <c r="P1984" t="str">
        <f t="shared" si="344"/>
        <v>ОБЛ ТЮМЕНСКАЯ</v>
      </c>
      <c r="Q1984" t="str">
        <f>""</f>
        <v/>
      </c>
      <c r="R1984" t="str">
        <f>"Г СУРГУТ"</f>
        <v>Г СУРГУТ</v>
      </c>
      <c r="S1984" t="str">
        <f>""</f>
        <v/>
      </c>
      <c r="T1984" t="str">
        <f>"УЛ МИРА"</f>
        <v>УЛ МИРА</v>
      </c>
      <c r="U1984" s="1" t="str">
        <f>"14"</f>
        <v>14</v>
      </c>
      <c r="V1984" s="1" t="str">
        <f>""</f>
        <v/>
      </c>
      <c r="W1984" s="1" t="str">
        <f>""</f>
        <v/>
      </c>
      <c r="X1984" s="1" t="str">
        <f>""</f>
        <v/>
      </c>
      <c r="Y1984" s="1" t="str">
        <f>"107"</f>
        <v>107</v>
      </c>
      <c r="Z1984" t="str">
        <f>""</f>
        <v/>
      </c>
      <c r="AA1984" t="str">
        <f>"3462356162"</f>
        <v>3462356162</v>
      </c>
      <c r="AB1984" t="str">
        <f>"9044721131"</f>
        <v>9044721131</v>
      </c>
      <c r="AC1984" t="str">
        <f>"3462356162"</f>
        <v>3462356162</v>
      </c>
      <c r="AD1984" t="str">
        <f>"9044721131"</f>
        <v>9044721131</v>
      </c>
      <c r="AE1984" t="str">
        <f>""</f>
        <v/>
      </c>
    </row>
    <row r="1985" spans="1:31" x14ac:dyDescent="0.45">
      <c r="A1985" t="str">
        <f>"КУПЦОВА ЕЛЕНА ВИТАЛЬЕВНА"</f>
        <v>КУПЦОВА ЕЛЕНА ВИТАЛЬЕВНА</v>
      </c>
      <c r="B1985" t="str">
        <f>"1984-08-03"</f>
        <v>1984-08-03</v>
      </c>
      <c r="C1985" t="str">
        <f>"71 04 207761"</f>
        <v>71 04 207761</v>
      </c>
      <c r="D1985" t="str">
        <f>"4279016748782630"</f>
        <v>4279016748782630</v>
      </c>
      <c r="E1985" t="str">
        <f t="shared" si="342"/>
        <v>2021-06-30</v>
      </c>
      <c r="F1985" t="str">
        <f t="shared" si="343"/>
        <v>+</v>
      </c>
      <c r="G1985" t="str">
        <f t="shared" si="341"/>
        <v>+</v>
      </c>
      <c r="H1985" t="str">
        <f>"40817810016992350906"</f>
        <v>40817810016992350906</v>
      </c>
      <c r="I1985" t="str">
        <f>"8647"</f>
        <v>8647</v>
      </c>
      <c r="J1985" t="str">
        <f>"0288"</f>
        <v>0288</v>
      </c>
      <c r="K1985" t="str">
        <f>"50000.00"</f>
        <v>50000.00</v>
      </c>
      <c r="L1985" t="str">
        <f>"626150 ОБЛ ТЮМЕНСКАЯ   Г ТОБОЛЬСК   ТЕР ПРОМКОМЗОНА д. 1"</f>
        <v>626150 ОБЛ ТЮМЕНСКАЯ   Г ТОБОЛЬСК   ТЕР ПРОМКОМЗОНА д. 1</v>
      </c>
      <c r="M1985" t="str">
        <f t="shared" si="334"/>
        <v>2019-08-24</v>
      </c>
      <c r="N1985" t="str">
        <f>"АО ПРОМСТРОЙ"</f>
        <v>АО ПРОМСТРОЙ</v>
      </c>
      <c r="O1985" t="str">
        <f>"626150"</f>
        <v>626150</v>
      </c>
      <c r="P1985" t="str">
        <f t="shared" si="344"/>
        <v>ОБЛ ТЮМЕНСКАЯ</v>
      </c>
      <c r="Q1985" t="str">
        <f>""</f>
        <v/>
      </c>
      <c r="R1985" t="str">
        <f>"Г ТОБОЛЬСК"</f>
        <v>Г ТОБОЛЬСК</v>
      </c>
      <c r="S1985" t="str">
        <f>""</f>
        <v/>
      </c>
      <c r="T1985" t="str">
        <f>"МКР 4"</f>
        <v>МКР 4</v>
      </c>
      <c r="U1985" s="1" t="str">
        <f>"47"</f>
        <v>47</v>
      </c>
      <c r="V1985" s="1" t="str">
        <f>""</f>
        <v/>
      </c>
      <c r="W1985" s="1" t="str">
        <f>""</f>
        <v/>
      </c>
      <c r="X1985" s="1" t="str">
        <f>""</f>
        <v/>
      </c>
      <c r="Y1985" s="1" t="str">
        <f>"154"</f>
        <v>154</v>
      </c>
      <c r="Z1985" t="str">
        <f>""</f>
        <v/>
      </c>
      <c r="AA1985" t="str">
        <f>"9123964688"</f>
        <v>9123964688</v>
      </c>
      <c r="AB1985" t="str">
        <f>"9123962535"</f>
        <v>9123962535</v>
      </c>
      <c r="AC1985" t="str">
        <f>"9123964688"</f>
        <v>9123964688</v>
      </c>
      <c r="AD1985" t="str">
        <f>"9123962535"</f>
        <v>9123962535</v>
      </c>
      <c r="AE1985" t="str">
        <f>""</f>
        <v/>
      </c>
    </row>
    <row r="1986" spans="1:31" x14ac:dyDescent="0.45">
      <c r="A1986" t="str">
        <f>"ШВАЛЬБ АННА СЕРГЕЕВНА"</f>
        <v>ШВАЛЬБ АННА СЕРГЕЕВНА</v>
      </c>
      <c r="B1986" t="str">
        <f>"1985-07-21"</f>
        <v>1985-07-21</v>
      </c>
      <c r="C1986" t="str">
        <f>"71 12 950238"</f>
        <v>71 12 950238</v>
      </c>
      <c r="D1986" t="str">
        <f>"4279016715519023"</f>
        <v>4279016715519023</v>
      </c>
      <c r="E1986" t="str">
        <f t="shared" si="342"/>
        <v>2021-06-30</v>
      </c>
      <c r="F1986" t="str">
        <f t="shared" si="343"/>
        <v>+</v>
      </c>
      <c r="G1986" t="str">
        <f t="shared" si="341"/>
        <v>+</v>
      </c>
      <c r="H1986" t="str">
        <f>"40817810916992062653"</f>
        <v>40817810916992062653</v>
      </c>
      <c r="I1986" t="str">
        <f>"8647"</f>
        <v>8647</v>
      </c>
      <c r="J1986" t="str">
        <f>"0328"</f>
        <v>0328</v>
      </c>
      <c r="K1986" t="str">
        <f>"50000.00"</f>
        <v>50000.00</v>
      </c>
      <c r="L1986" t="str">
        <f>"626150 ОБЛ ТЮМЕНСКАЯ   Г ТОБОЛЬСК   УЛ РЕМЕЗОВА д. 26"</f>
        <v>626150 ОБЛ ТЮМЕНСКАЯ   Г ТОБОЛЬСК   УЛ РЕМЕЗОВА д. 26</v>
      </c>
      <c r="M1986" t="str">
        <f t="shared" ref="M1986:M2000" si="345">"2019-08-24"</f>
        <v>2019-08-24</v>
      </c>
      <c r="N1986" t="str">
        <f>"ТОБОЛЬСКОЕ ПАТП"</f>
        <v>ТОБОЛЬСКОЕ ПАТП</v>
      </c>
      <c r="O1986" t="str">
        <f>"626150"</f>
        <v>626150</v>
      </c>
      <c r="P1986" t="str">
        <f t="shared" si="344"/>
        <v>ОБЛ ТЮМЕНСКАЯ</v>
      </c>
      <c r="Q1986" t="str">
        <f>""</f>
        <v/>
      </c>
      <c r="R1986" t="str">
        <f>"Г ТОБОЛЬСК"</f>
        <v>Г ТОБОЛЬСК</v>
      </c>
      <c r="S1986" t="str">
        <f>""</f>
        <v/>
      </c>
      <c r="T1986" t="str">
        <f>"УЛ ВОЛОДАРСКОГО"</f>
        <v>УЛ ВОЛОДАРСКОГО</v>
      </c>
      <c r="U1986" s="1" t="str">
        <f>"57"</f>
        <v>57</v>
      </c>
      <c r="V1986" s="1" t="str">
        <f>""</f>
        <v/>
      </c>
      <c r="W1986" s="1" t="str">
        <f>""</f>
        <v/>
      </c>
      <c r="X1986" s="1" t="str">
        <f>""</f>
        <v/>
      </c>
      <c r="Y1986" s="1" t="str">
        <f>""</f>
        <v/>
      </c>
      <c r="Z1986" t="str">
        <f>"9829140553"</f>
        <v>9829140553</v>
      </c>
      <c r="AA1986" t="str">
        <f>"3456223426"</f>
        <v>3456223426</v>
      </c>
      <c r="AB1986" t="str">
        <f>"9829140553"</f>
        <v>9829140553</v>
      </c>
      <c r="AC1986" t="str">
        <f>"9123903511"</f>
        <v>9123903511</v>
      </c>
      <c r="AD1986" t="str">
        <f>"9829140553"</f>
        <v>9829140553</v>
      </c>
      <c r="AE1986" t="str">
        <f>""</f>
        <v/>
      </c>
    </row>
    <row r="1987" spans="1:31" x14ac:dyDescent="0.45">
      <c r="A1987" t="str">
        <f>"ГАНЬЖИНА ЕЛЕНА АРКАДЬЕВНА"</f>
        <v>ГАНЬЖИНА ЕЛЕНА АРКАДЬЕВНА</v>
      </c>
      <c r="B1987" t="str">
        <f>"1974-09-19"</f>
        <v>1974-09-19</v>
      </c>
      <c r="C1987" t="str">
        <f>"33 00 437708"</f>
        <v>33 00 437708</v>
      </c>
      <c r="D1987" t="str">
        <f>"4279016718232384"</f>
        <v>4279016718232384</v>
      </c>
      <c r="E1987" t="str">
        <f t="shared" si="342"/>
        <v>2021-06-30</v>
      </c>
      <c r="F1987" t="str">
        <f t="shared" si="343"/>
        <v>+</v>
      </c>
      <c r="G1987" t="str">
        <f t="shared" si="341"/>
        <v>+</v>
      </c>
      <c r="H1987" t="str">
        <f>"40817810016992351015"</f>
        <v>40817810016992351015</v>
      </c>
      <c r="I1987" t="str">
        <f>"8369"</f>
        <v>8369</v>
      </c>
      <c r="J1987" t="str">
        <f>"0047"</f>
        <v>0047</v>
      </c>
      <c r="K1987" t="str">
        <f>"17000.00"</f>
        <v>17000.00</v>
      </c>
      <c r="L1987" t="str">
        <f>"629850 ОБЛ ТЮМЕНСКАЯ Р-Н ПУРОВСКИЙ Г ТАРКО-САЛЕ   МКР СОВЕТСКИЙ д. 13 кв. 2"</f>
        <v>629850 ОБЛ ТЮМЕНСКАЯ Р-Н ПУРОВСКИЙ Г ТАРКО-САЛЕ   МКР СОВЕТСКИЙ д. 13 кв. 2</v>
      </c>
      <c r="M1987" t="str">
        <f t="shared" si="345"/>
        <v>2019-08-24</v>
      </c>
      <c r="N1987" t="str">
        <f>"ООО РСУ"</f>
        <v>ООО РСУ</v>
      </c>
      <c r="O1987" t="str">
        <f>"629850"</f>
        <v>629850</v>
      </c>
      <c r="P1987" t="str">
        <f t="shared" si="344"/>
        <v>ОБЛ ТЮМЕНСКАЯ</v>
      </c>
      <c r="Q1987" t="str">
        <f>"Р-Н ПУРОВСКИЙ"</f>
        <v>Р-Н ПУРОВСКИЙ</v>
      </c>
      <c r="R1987" t="str">
        <f>"Г ТАРКО-САЛЕ"</f>
        <v>Г ТАРКО-САЛЕ</v>
      </c>
      <c r="S1987" t="str">
        <f>""</f>
        <v/>
      </c>
      <c r="T1987" t="str">
        <f>"МКР СОВЕТСКИЙ"</f>
        <v>МКР СОВЕТСКИЙ</v>
      </c>
      <c r="U1987" s="1" t="str">
        <f>"13"</f>
        <v>13</v>
      </c>
      <c r="V1987" s="1" t="str">
        <f>""</f>
        <v/>
      </c>
      <c r="W1987" s="1" t="str">
        <f>""</f>
        <v/>
      </c>
      <c r="X1987" s="1" t="str">
        <f>""</f>
        <v/>
      </c>
      <c r="Y1987" s="1" t="str">
        <f>"2"</f>
        <v>2</v>
      </c>
      <c r="Z1987" t="str">
        <f>"3492240255"</f>
        <v>3492240255</v>
      </c>
      <c r="AA1987" t="str">
        <f>"3499726612"</f>
        <v>3499726612</v>
      </c>
      <c r="AB1987" t="str">
        <f>"9220670264"</f>
        <v>9220670264</v>
      </c>
      <c r="AC1987" t="str">
        <f>"3499726612"</f>
        <v>3499726612</v>
      </c>
      <c r="AD1987" t="str">
        <f>"9220670264"</f>
        <v>9220670264</v>
      </c>
      <c r="AE1987" t="str">
        <f>"3493726612"</f>
        <v>3493726612</v>
      </c>
    </row>
    <row r="1988" spans="1:31" x14ac:dyDescent="0.45">
      <c r="A1988" t="str">
        <f>"БАХМЕТОВА АНАСТАСИЯ СТАНИСЛАВОВНА"</f>
        <v>БАХМЕТОВА АНАСТАСИЯ СТАНИСЛАВОВНА</v>
      </c>
      <c r="B1988" t="str">
        <f>"1985-01-12"</f>
        <v>1985-01-12</v>
      </c>
      <c r="C1988" t="str">
        <f>"74 08 673545"</f>
        <v>74 08 673545</v>
      </c>
      <c r="D1988" t="str">
        <f>"4279016749140135"</f>
        <v>4279016749140135</v>
      </c>
      <c r="E1988" t="str">
        <f t="shared" si="342"/>
        <v>2021-06-30</v>
      </c>
      <c r="F1988" t="str">
        <f t="shared" si="343"/>
        <v>+</v>
      </c>
      <c r="G1988" t="str">
        <f t="shared" si="341"/>
        <v>+</v>
      </c>
      <c r="H1988" t="str">
        <f>"40817810816992351163"</f>
        <v>40817810816992351163</v>
      </c>
      <c r="I1988" t="str">
        <f>"1790"</f>
        <v>1790</v>
      </c>
      <c r="J1988" t="str">
        <f>"0050"</f>
        <v>0050</v>
      </c>
      <c r="K1988" t="str">
        <f>"200000.00"</f>
        <v>200000.00</v>
      </c>
      <c r="L1988" t="str">
        <f>"629700 ОБЛ ТЮМЕНСКАЯ Р-Н ЯМАЛЬСКИЙ   НП ЯР САЛЕ УЛ ХУДИ СЭРОКО д. 8"</f>
        <v>629700 ОБЛ ТЮМЕНСКАЯ Р-Н ЯМАЛЬСКИЙ   НП ЯР САЛЕ УЛ ХУДИ СЭРОКО д. 8</v>
      </c>
      <c r="M1988" t="str">
        <f t="shared" si="345"/>
        <v>2019-08-24</v>
      </c>
      <c r="N1988" t="str">
        <f>"МБУ ДОУ ЯМАЛЬСКИЙ ЦВР"</f>
        <v>МБУ ДОУ ЯМАЛЬСКИЙ ЦВР</v>
      </c>
      <c r="O1988" t="str">
        <f>"629700"</f>
        <v>629700</v>
      </c>
      <c r="P1988" t="str">
        <f t="shared" si="344"/>
        <v>ОБЛ ТЮМЕНСКАЯ</v>
      </c>
      <c r="Q1988" t="str">
        <f>"Р-Н ЯМАЛЬСКИЙ"</f>
        <v>Р-Н ЯМАЛЬСКИЙ</v>
      </c>
      <c r="R1988" t="str">
        <f>""</f>
        <v/>
      </c>
      <c r="S1988" t="str">
        <f>"С ЯР-САЛЕ"</f>
        <v>С ЯР-САЛЕ</v>
      </c>
      <c r="T1988" t="str">
        <f>"УЛ ХУДИ СЭРОКО"</f>
        <v>УЛ ХУДИ СЭРОКО</v>
      </c>
      <c r="U1988" s="1" t="str">
        <f>"38"</f>
        <v>38</v>
      </c>
      <c r="V1988" s="1" t="str">
        <f>""</f>
        <v/>
      </c>
      <c r="W1988" s="1" t="str">
        <f>""</f>
        <v/>
      </c>
      <c r="X1988" s="1" t="str">
        <f>""</f>
        <v/>
      </c>
      <c r="Y1988" s="1" t="str">
        <f>"4"</f>
        <v>4</v>
      </c>
      <c r="Z1988" t="str">
        <f>"3499630733"</f>
        <v>3499630733</v>
      </c>
      <c r="AA1988" t="str">
        <f>"9519845088"</f>
        <v>9519845088</v>
      </c>
      <c r="AB1988" t="str">
        <f>"9519845088"</f>
        <v>9519845088</v>
      </c>
      <c r="AC1988" t="str">
        <f>"3499630255"</f>
        <v>3499630255</v>
      </c>
      <c r="AD1988" t="str">
        <f>"9519845088"</f>
        <v>9519845088</v>
      </c>
      <c r="AE1988" t="str">
        <f>""</f>
        <v/>
      </c>
    </row>
    <row r="1989" spans="1:31" x14ac:dyDescent="0.45">
      <c r="A1989" t="str">
        <f>"ГЕРАСИМОВА ИРИНА АЛЕКСАНДРОВНА"</f>
        <v>ГЕРАСИМОВА ИРИНА АЛЕКСАНДРОВНА</v>
      </c>
      <c r="B1989" t="str">
        <f>"1962-06-07"</f>
        <v>1962-06-07</v>
      </c>
      <c r="C1989" t="str">
        <f>"71 07 551722"</f>
        <v>71 07 551722</v>
      </c>
      <c r="D1989" t="str">
        <f>"4279016722265339"</f>
        <v>4279016722265339</v>
      </c>
      <c r="E1989" t="str">
        <f t="shared" si="342"/>
        <v>2021-06-30</v>
      </c>
      <c r="F1989" t="str">
        <f t="shared" si="343"/>
        <v>+</v>
      </c>
      <c r="G1989" t="str">
        <f t="shared" si="341"/>
        <v>+</v>
      </c>
      <c r="H1989" t="str">
        <f>"40817810516992351227"</f>
        <v>40817810516992351227</v>
      </c>
      <c r="I1989" t="str">
        <f>"8647"</f>
        <v>8647</v>
      </c>
      <c r="J1989" t="str">
        <f>"0286"</f>
        <v>0286</v>
      </c>
      <c r="K1989" t="str">
        <f>"100000.00"</f>
        <v>100000.00</v>
      </c>
      <c r="L1989" t="str">
        <f>"627440 ОБЛ ТЮМЕНСКАЯ Р-Н БЕРДЮЖСКИЙ   С БЕРДЮЖЬЕ УЛ МАЯКОВСКОГО д. 26 кв. 2"</f>
        <v>627440 ОБЛ ТЮМЕНСКАЯ Р-Н БЕРДЮЖСКИЙ   С БЕРДЮЖЬЕ УЛ МАЯКОВСКОГО д. 26 кв. 2</v>
      </c>
      <c r="M1989" t="str">
        <f t="shared" si="345"/>
        <v>2019-08-24</v>
      </c>
      <c r="N1989" t="str">
        <f>"ПЕНСИОНЕР"</f>
        <v>ПЕНСИОНЕР</v>
      </c>
      <c r="O1989" t="str">
        <f>"627440"</f>
        <v>627440</v>
      </c>
      <c r="P1989" t="str">
        <f t="shared" si="344"/>
        <v>ОБЛ ТЮМЕНСКАЯ</v>
      </c>
      <c r="Q1989" t="str">
        <f>"Р-Н БЕРДЮЖСКИЙ"</f>
        <v>Р-Н БЕРДЮЖСКИЙ</v>
      </c>
      <c r="R1989" t="str">
        <f>""</f>
        <v/>
      </c>
      <c r="S1989" t="str">
        <f>"С БЕРДЮЖЬЕ"</f>
        <v>С БЕРДЮЖЬЕ</v>
      </c>
      <c r="T1989" t="str">
        <f>"УЛ МАЯКОВСКОГО"</f>
        <v>УЛ МАЯКОВСКОГО</v>
      </c>
      <c r="U1989" s="1" t="str">
        <f>"26"</f>
        <v>26</v>
      </c>
      <c r="V1989" s="1" t="str">
        <f>""</f>
        <v/>
      </c>
      <c r="W1989" s="1" t="str">
        <f>""</f>
        <v/>
      </c>
      <c r="X1989" s="1" t="str">
        <f>""</f>
        <v/>
      </c>
      <c r="Y1989" s="1" t="str">
        <f>"2"</f>
        <v>2</v>
      </c>
      <c r="Z1989" t="str">
        <f>""</f>
        <v/>
      </c>
      <c r="AA1989" t="str">
        <f>"3455422380"</f>
        <v>3455422380</v>
      </c>
      <c r="AB1989" t="str">
        <f>"9827863034"</f>
        <v>9827863034</v>
      </c>
      <c r="AC1989" t="str">
        <f>"3455422380"</f>
        <v>3455422380</v>
      </c>
      <c r="AD1989" t="str">
        <f>"9827863034"</f>
        <v>9827863034</v>
      </c>
      <c r="AE1989" t="str">
        <f>""</f>
        <v/>
      </c>
    </row>
    <row r="1990" spans="1:31" x14ac:dyDescent="0.45">
      <c r="A1990" t="str">
        <f>"ШТАЙМЕЦ АНДРЕЙ ЕГОРОВИЧ"</f>
        <v>ШТАЙМЕЦ АНДРЕЙ ЕГОРОВИЧ</v>
      </c>
      <c r="B1990" t="str">
        <f>"1977-01-21"</f>
        <v>1977-01-21</v>
      </c>
      <c r="C1990" t="str">
        <f>"74 03 353739"</f>
        <v>74 03 353739</v>
      </c>
      <c r="D1990" t="str">
        <f>"4279016740469640"</f>
        <v>4279016740469640</v>
      </c>
      <c r="E1990" t="str">
        <f t="shared" si="342"/>
        <v>2021-06-30</v>
      </c>
      <c r="F1990" t="str">
        <f t="shared" si="343"/>
        <v>+</v>
      </c>
      <c r="G1990" t="str">
        <f t="shared" si="341"/>
        <v>+</v>
      </c>
      <c r="H1990" t="str">
        <f>"40817810916992062763"</f>
        <v>40817810916992062763</v>
      </c>
      <c r="I1990" t="str">
        <f>"1790"</f>
        <v>1790</v>
      </c>
      <c r="J1990" t="str">
        <f>"0045"</f>
        <v>0045</v>
      </c>
      <c r="K1990" t="str">
        <f>"145000.00"</f>
        <v>145000.00</v>
      </c>
      <c r="L1990" t="str">
        <f>"629644 ОБЛ ТЮМЕНСКАЯ Р-Н ШУРЫШКАРСКИЙ   С ГОРКИ УЛ СОВХОЗНАЯ д. 1"</f>
        <v>629644 ОБЛ ТЮМЕНСКАЯ Р-Н ШУРЫШКАРСКИЙ   С ГОРКИ УЛ СОВХОЗНАЯ д. 1</v>
      </c>
      <c r="M1990" t="str">
        <f t="shared" si="345"/>
        <v>2019-08-24</v>
      </c>
      <c r="N1990" t="str">
        <f>"ПОЖАРНАЯ ЧАСТЬ"</f>
        <v>ПОЖАРНАЯ ЧАСТЬ</v>
      </c>
      <c r="O1990" t="str">
        <f>"629644"</f>
        <v>629644</v>
      </c>
      <c r="P1990" t="str">
        <f t="shared" si="344"/>
        <v>ОБЛ ТЮМЕНСКАЯ</v>
      </c>
      <c r="Q1990" t="str">
        <f>"Р-Н ШУРЫШКАРСКИЙ"</f>
        <v>Р-Н ШУРЫШКАРСКИЙ</v>
      </c>
      <c r="R1990" t="str">
        <f>""</f>
        <v/>
      </c>
      <c r="S1990" t="str">
        <f>"С ГОРКИ"</f>
        <v>С ГОРКИ</v>
      </c>
      <c r="T1990" t="str">
        <f>"УЛ НОВАЯ"</f>
        <v>УЛ НОВАЯ</v>
      </c>
      <c r="U1990" s="1" t="str">
        <f>"21"</f>
        <v>21</v>
      </c>
      <c r="V1990" s="1" t="str">
        <f>""</f>
        <v/>
      </c>
      <c r="W1990" s="1" t="str">
        <f>""</f>
        <v/>
      </c>
      <c r="X1990" s="1" t="str">
        <f>""</f>
        <v/>
      </c>
      <c r="Y1990" s="1" t="str">
        <f>"1"</f>
        <v>1</v>
      </c>
      <c r="Z1990" t="str">
        <f>"9519822910"</f>
        <v>9519822910</v>
      </c>
      <c r="AA1990" t="str">
        <f>"3499461785"</f>
        <v>3499461785</v>
      </c>
      <c r="AB1990" t="str">
        <f>"9519822910"</f>
        <v>9519822910</v>
      </c>
      <c r="AC1990" t="str">
        <f>"3499461785"</f>
        <v>3499461785</v>
      </c>
      <c r="AD1990" t="str">
        <f>"9519822910"</f>
        <v>9519822910</v>
      </c>
      <c r="AE1990" t="str">
        <f>""</f>
        <v/>
      </c>
    </row>
    <row r="1991" spans="1:31" x14ac:dyDescent="0.45">
      <c r="A1991" t="str">
        <f>"ГРАЧЕВ ОЛЕГ ГЕННАДЬЕВИЧ"</f>
        <v>ГРАЧЕВ ОЛЕГ ГЕННАДЬЕВИЧ</v>
      </c>
      <c r="B1991" t="str">
        <f>"1974-10-16"</f>
        <v>1974-10-16</v>
      </c>
      <c r="C1991" t="str">
        <f>"67 98 163110"</f>
        <v>67 98 163110</v>
      </c>
      <c r="D1991" t="str">
        <f>"4276016713632334"</f>
        <v>4276016713632334</v>
      </c>
      <c r="E1991" t="str">
        <f t="shared" si="342"/>
        <v>2021-06-30</v>
      </c>
      <c r="F1991" t="str">
        <f t="shared" si="343"/>
        <v>+</v>
      </c>
      <c r="G1991" t="str">
        <f t="shared" si="341"/>
        <v>+</v>
      </c>
      <c r="H1991" t="str">
        <f>"40817810116992351407"</f>
        <v>40817810116992351407</v>
      </c>
      <c r="I1991" t="str">
        <f>"5940"</f>
        <v>5940</v>
      </c>
      <c r="J1991" t="str">
        <f>"0138"</f>
        <v>0138</v>
      </c>
      <c r="K1991" t="str">
        <f>"300000.00"</f>
        <v>300000.00</v>
      </c>
      <c r="L1991" t="str">
        <f>"628600 ОБЛ ТЮМЕНСКАЯ   Г НИЖНЕВАРТВОСК   УЛ СЕВЕРНАЯ д. 19А"</f>
        <v>628600 ОБЛ ТЮМЕНСКАЯ   Г НИЖНЕВАРТВОСК   УЛ СЕВЕРНАЯ д. 19А</v>
      </c>
      <c r="M1991" t="str">
        <f t="shared" si="345"/>
        <v>2019-08-24</v>
      </c>
      <c r="N1991" t="s">
        <v>111</v>
      </c>
      <c r="O1991" t="str">
        <f>"628600"</f>
        <v>628600</v>
      </c>
      <c r="P1991" t="str">
        <f t="shared" si="344"/>
        <v>ОБЛ ТЮМЕНСКАЯ</v>
      </c>
      <c r="Q1991" t="str">
        <f>""</f>
        <v/>
      </c>
      <c r="R1991" t="str">
        <f>"Г НИЖНЕВАРТОВСК"</f>
        <v>Г НИЖНЕВАРТОВСК</v>
      </c>
      <c r="S1991" t="str">
        <f>""</f>
        <v/>
      </c>
      <c r="T1991" t="str">
        <f>"УЛ ЧАПАЕВА"</f>
        <v>УЛ ЧАПАЕВА</v>
      </c>
      <c r="U1991" s="1" t="str">
        <f>"13"</f>
        <v>13</v>
      </c>
      <c r="V1991" s="1" t="str">
        <f>""</f>
        <v/>
      </c>
      <c r="W1991" s="1" t="str">
        <f>"2"</f>
        <v>2</v>
      </c>
      <c r="X1991" s="1" t="str">
        <f>""</f>
        <v/>
      </c>
      <c r="Y1991" s="1" t="str">
        <f>"110"</f>
        <v>110</v>
      </c>
      <c r="Z1991" t="str">
        <f>""</f>
        <v/>
      </c>
      <c r="AA1991" t="str">
        <f>"3466666666"</f>
        <v>3466666666</v>
      </c>
      <c r="AB1991" t="str">
        <f>"9195327166"</f>
        <v>9195327166</v>
      </c>
      <c r="AC1991" t="str">
        <f>"3466666666"</f>
        <v>3466666666</v>
      </c>
      <c r="AD1991" t="str">
        <f>"9195327166"</f>
        <v>9195327166</v>
      </c>
      <c r="AE1991" t="str">
        <f>""</f>
        <v/>
      </c>
    </row>
    <row r="1992" spans="1:31" x14ac:dyDescent="0.45">
      <c r="A1992" t="str">
        <f>"МЕДВЕДЕВА МАРИНА АЛЕКСАНДРОВНА"</f>
        <v>МЕДВЕДЕВА МАРИНА АЛЕКСАНДРОВНА</v>
      </c>
      <c r="B1992" t="str">
        <f>"1965-03-10"</f>
        <v>1965-03-10</v>
      </c>
      <c r="C1992" t="str">
        <f>"67 10 000466"</f>
        <v>67 10 000466</v>
      </c>
      <c r="D1992" t="str">
        <f>"4854630412948823"</f>
        <v>4854630412948823</v>
      </c>
      <c r="E1992" t="str">
        <f>"2021-04-30"</f>
        <v>2021-04-30</v>
      </c>
      <c r="F1992" t="str">
        <f t="shared" si="343"/>
        <v>+</v>
      </c>
      <c r="G1992" t="str">
        <f t="shared" si="341"/>
        <v>+</v>
      </c>
      <c r="H1992" t="str">
        <f>"40817810716992351988"</f>
        <v>40817810716992351988</v>
      </c>
      <c r="I1992" t="str">
        <f>"5940"</f>
        <v>5940</v>
      </c>
      <c r="J1992" t="str">
        <f>"0128"</f>
        <v>0128</v>
      </c>
      <c r="K1992" t="str">
        <f>"25000.00"</f>
        <v>25000.00</v>
      </c>
      <c r="L1992" t="str">
        <f>"628680 ОБЛ ТЮМЕНСКАЯ   Г МЕГИОН П ВЫСОКИЙ УЛ ЛЕРМОНТОВА д. 16 кв. 2"</f>
        <v>628680 ОБЛ ТЮМЕНСКАЯ   Г МЕГИОН П ВЫСОКИЙ УЛ ЛЕРМОНТОВА д. 16 кв. 2</v>
      </c>
      <c r="M1992" t="str">
        <f t="shared" si="345"/>
        <v>2019-08-24</v>
      </c>
      <c r="N1992" t="str">
        <f>"ПЕНСИОНЕР"</f>
        <v>ПЕНСИОНЕР</v>
      </c>
      <c r="O1992" t="str">
        <f>"628680"</f>
        <v>628680</v>
      </c>
      <c r="P1992" t="str">
        <f t="shared" si="344"/>
        <v>ОБЛ ТЮМЕНСКАЯ</v>
      </c>
      <c r="Q1992" t="str">
        <f>""</f>
        <v/>
      </c>
      <c r="R1992" t="str">
        <f>"Г МЕГИОН"</f>
        <v>Г МЕГИОН</v>
      </c>
      <c r="S1992" t="str">
        <f>"П ВЫСОКИЙ"</f>
        <v>П ВЫСОКИЙ</v>
      </c>
      <c r="T1992" t="str">
        <f>"УЛ ЛЕРМОНТОВА"</f>
        <v>УЛ ЛЕРМОНТОВА</v>
      </c>
      <c r="U1992" s="1" t="str">
        <f>"16"</f>
        <v>16</v>
      </c>
      <c r="V1992" s="1" t="str">
        <f>""</f>
        <v/>
      </c>
      <c r="W1992" s="1" t="str">
        <f>""</f>
        <v/>
      </c>
      <c r="X1992" s="1" t="str">
        <f>""</f>
        <v/>
      </c>
      <c r="Y1992" s="1" t="str">
        <f>"2"</f>
        <v>2</v>
      </c>
      <c r="Z1992" t="str">
        <f>"9505226010"</f>
        <v>9505226010</v>
      </c>
      <c r="AA1992" t="str">
        <f>"9505226010"</f>
        <v>9505226010</v>
      </c>
      <c r="AB1992" t="str">
        <f>"9088974020"</f>
        <v>9088974020</v>
      </c>
      <c r="AC1992" t="str">
        <f>"9505226010"</f>
        <v>9505226010</v>
      </c>
      <c r="AD1992" t="str">
        <f>"9088974020"</f>
        <v>9088974020</v>
      </c>
      <c r="AE1992" t="str">
        <f>"9505226010"</f>
        <v>9505226010</v>
      </c>
    </row>
    <row r="1993" spans="1:31" x14ac:dyDescent="0.45">
      <c r="A1993" t="str">
        <f>"СВИСТУНОВА НАДЕЖДА МИХАЙЛОВНА"</f>
        <v>СВИСТУНОВА НАДЕЖДА МИХАЙЛОВНА</v>
      </c>
      <c r="B1993" t="str">
        <f>"1953-08-20"</f>
        <v>1953-08-20</v>
      </c>
      <c r="C1993" t="str">
        <f>"65 00 647058"</f>
        <v>65 00 647058</v>
      </c>
      <c r="D1993" t="str">
        <f>"4276011621761341"</f>
        <v>4276011621761341</v>
      </c>
      <c r="E1993" t="str">
        <f>"2022-07-31"</f>
        <v>2022-07-31</v>
      </c>
      <c r="F1993" t="str">
        <f>"H"</f>
        <v>H</v>
      </c>
      <c r="G1993" t="str">
        <f t="shared" si="341"/>
        <v>+</v>
      </c>
      <c r="H1993" t="str">
        <f>"40817810816992192144"</f>
        <v>40817810816992192144</v>
      </c>
      <c r="I1993" t="str">
        <f>"8647"</f>
        <v>8647</v>
      </c>
      <c r="J1993" t="str">
        <f>"0137"</f>
        <v>0137</v>
      </c>
      <c r="K1993" t="str">
        <f>"15000.00"</f>
        <v>15000.00</v>
      </c>
      <c r="L1993" t="str">
        <f>"626053 ОБЛ ТЮМЕНСКАЯ Р-Н ЯРКОВСКИЙ   С ПОКРОВСКОЕ УЛ САМОСЕВИЧА д. 6 кв. 2"</f>
        <v>626053 ОБЛ ТЮМЕНСКАЯ Р-Н ЯРКОВСКИЙ   С ПОКРОВСКОЕ УЛ САМОСЕВИЧА д. 6 кв. 2</v>
      </c>
      <c r="M1993" t="str">
        <f t="shared" si="345"/>
        <v>2019-08-24</v>
      </c>
      <c r="N1993" t="str">
        <f>"ПЕНСИОНЕР"</f>
        <v>ПЕНСИОНЕР</v>
      </c>
      <c r="O1993" t="str">
        <f>"626053"</f>
        <v>626053</v>
      </c>
      <c r="P1993" t="str">
        <f t="shared" si="344"/>
        <v>ОБЛ ТЮМЕНСКАЯ</v>
      </c>
      <c r="Q1993" t="str">
        <f>"Р-Н ЯРКОВСКИЙ"</f>
        <v>Р-Н ЯРКОВСКИЙ</v>
      </c>
      <c r="R1993" t="str">
        <f>""</f>
        <v/>
      </c>
      <c r="S1993" t="str">
        <f>"С ПОКРОВСКОЕ"</f>
        <v>С ПОКРОВСКОЕ</v>
      </c>
      <c r="T1993" t="str">
        <f>"УЛ САМОСЕВИЧА"</f>
        <v>УЛ САМОСЕВИЧА</v>
      </c>
      <c r="U1993" s="1" t="str">
        <f>"6"</f>
        <v>6</v>
      </c>
      <c r="V1993" s="1" t="str">
        <f>""</f>
        <v/>
      </c>
      <c r="W1993" s="1" t="str">
        <f>""</f>
        <v/>
      </c>
      <c r="X1993" s="1" t="str">
        <f>""</f>
        <v/>
      </c>
      <c r="Y1993" s="1" t="str">
        <f>"2"</f>
        <v>2</v>
      </c>
      <c r="Z1993" t="str">
        <f>""</f>
        <v/>
      </c>
      <c r="AA1993" t="str">
        <f>"3453132470"</f>
        <v>3453132470</v>
      </c>
      <c r="AB1993" t="str">
        <f>"9829111305"</f>
        <v>9829111305</v>
      </c>
      <c r="AC1993" t="str">
        <f>"3453132470"</f>
        <v>3453132470</v>
      </c>
      <c r="AD1993" t="str">
        <f>"9829111305"</f>
        <v>9829111305</v>
      </c>
      <c r="AE1993" t="str">
        <f>""</f>
        <v/>
      </c>
    </row>
    <row r="1994" spans="1:31" x14ac:dyDescent="0.45">
      <c r="A1994" t="str">
        <f>"КАТИЧЕВА ТАТЬЯНА АЛЕКСЕЕВНА"</f>
        <v>КАТИЧЕВА ТАТЬЯНА АЛЕКСЕЕВНА</v>
      </c>
      <c r="B1994" t="str">
        <f>"1963-06-29"</f>
        <v>1963-06-29</v>
      </c>
      <c r="C1994" t="str">
        <f>"75 10 799044"</f>
        <v>75 10 799044</v>
      </c>
      <c r="D1994" t="str">
        <f>"4854630322969539"</f>
        <v>4854630322969539</v>
      </c>
      <c r="E1994" t="str">
        <f>"2021-05-31"</f>
        <v>2021-05-31</v>
      </c>
      <c r="F1994" t="str">
        <f>"Q"</f>
        <v>Q</v>
      </c>
      <c r="G1994" t="str">
        <f>"Q"</f>
        <v>Q</v>
      </c>
      <c r="H1994" t="str">
        <f>"40817810616991470407"</f>
        <v>40817810616991470407</v>
      </c>
      <c r="I1994" t="str">
        <f>"8597"</f>
        <v>8597</v>
      </c>
      <c r="J1994" t="str">
        <f>"0265"</f>
        <v>0265</v>
      </c>
      <c r="K1994" t="str">
        <f>"0.00"</f>
        <v>0.00</v>
      </c>
      <c r="L1994" t="str">
        <f>"454000 ОБЛ ЧЕЛЯБИНСКАЯ   Г ЧЕЛЯБИНСК   ПР-КТ КРАСНОПОЛЬСКИЙ д. 3 корп. В кв. 17"</f>
        <v>454000 ОБЛ ЧЕЛЯБИНСКАЯ   Г ЧЕЛЯБИНСК   ПР-КТ КРАСНОПОЛЬСКИЙ д. 3 корп. В кв. 17</v>
      </c>
      <c r="M1994" t="str">
        <f t="shared" si="345"/>
        <v>2019-08-24</v>
      </c>
      <c r="N1994" t="str">
        <f>"ДОМОХОЗЯЙКА"</f>
        <v>ДОМОХОЗЯЙКА</v>
      </c>
      <c r="O1994" t="str">
        <f>"454000"</f>
        <v>454000</v>
      </c>
      <c r="P1994" t="str">
        <f>"ОБЛ ЧЕЛЯБИНСКАЯ"</f>
        <v>ОБЛ ЧЕЛЯБИНСКАЯ</v>
      </c>
      <c r="Q1994" t="str">
        <f>""</f>
        <v/>
      </c>
      <c r="R1994" t="str">
        <f>"Г ЧЕЛЯБИНСК"</f>
        <v>Г ЧЕЛЯБИНСК</v>
      </c>
      <c r="S1994" t="str">
        <f>""</f>
        <v/>
      </c>
      <c r="T1994" t="str">
        <f>"ПР-КТ КРАСНОПОЛЬСКИЙ"</f>
        <v>ПР-КТ КРАСНОПОЛЬСКИЙ</v>
      </c>
      <c r="U1994" s="1" t="str">
        <f>"3"</f>
        <v>3</v>
      </c>
      <c r="V1994" s="1" t="str">
        <f>""</f>
        <v/>
      </c>
      <c r="W1994" s="1" t="str">
        <f>"В"</f>
        <v>В</v>
      </c>
      <c r="X1994" s="1" t="str">
        <f>""</f>
        <v/>
      </c>
      <c r="Y1994" s="1" t="str">
        <f>"17"</f>
        <v>17</v>
      </c>
      <c r="Z1994" t="str">
        <f>""</f>
        <v/>
      </c>
      <c r="AA1994" t="str">
        <f>"+7 (351) 7907792"</f>
        <v>+7 (351) 7907792</v>
      </c>
      <c r="AB1994" t="str">
        <f>"+7 (900) 0282011"</f>
        <v>+7 (900) 0282011</v>
      </c>
      <c r="AC1994" t="str">
        <f>"9000282011"</f>
        <v>9000282011</v>
      </c>
      <c r="AD1994" t="str">
        <f>"9000282011"</f>
        <v>9000282011</v>
      </c>
      <c r="AE1994" t="str">
        <f>""</f>
        <v/>
      </c>
    </row>
    <row r="1995" spans="1:31" x14ac:dyDescent="0.45">
      <c r="A1995" t="str">
        <f>"СМИРНОВ АЛЕКСАНДР ВИКТОРОВИЧ"</f>
        <v>СМИРНОВ АЛЕКСАНДР ВИКТОРОВИЧ</v>
      </c>
      <c r="B1995" t="str">
        <f>"1955-11-21"</f>
        <v>1955-11-21</v>
      </c>
      <c r="C1995" t="str">
        <f>"71 07 562576"</f>
        <v>71 07 562576</v>
      </c>
      <c r="D1995" t="str">
        <f>"4854630115893094"</f>
        <v>4854630115893094</v>
      </c>
      <c r="E1995" t="str">
        <f>"2021-05-31"</f>
        <v>2021-05-31</v>
      </c>
      <c r="F1995" t="str">
        <f t="shared" ref="F1995:G2000" si="346">"+"</f>
        <v>+</v>
      </c>
      <c r="G1995" t="str">
        <f t="shared" si="346"/>
        <v>+</v>
      </c>
      <c r="H1995" t="str">
        <f>"40817810816992555477"</f>
        <v>40817810816992555477</v>
      </c>
      <c r="I1995" t="str">
        <f>"8647"</f>
        <v>8647</v>
      </c>
      <c r="J1995" t="str">
        <f>"0178"</f>
        <v>0178</v>
      </c>
      <c r="K1995" t="str">
        <f>"60000.00"</f>
        <v>60000.00</v>
      </c>
      <c r="L1995" t="str">
        <f>"625022 ОБЛ ТЮМЕНСКАЯ   Г ТЮМЕНЬ   УЛ ПР. ЗАРЕЧНЫЙ д. 31 кв. 241"</f>
        <v>625022 ОБЛ ТЮМЕНСКАЯ   Г ТЮМЕНЬ   УЛ ПР. ЗАРЕЧНЫЙ д. 31 кв. 241</v>
      </c>
      <c r="M1995" t="str">
        <f t="shared" si="345"/>
        <v>2019-08-24</v>
      </c>
      <c r="N1995" t="str">
        <f>"ПЕНСИОНЕР"</f>
        <v>ПЕНСИОНЕР</v>
      </c>
      <c r="O1995" t="str">
        <f>"625022"</f>
        <v>625022</v>
      </c>
      <c r="P1995" t="str">
        <f>"ОБЛ ТЮМЕНСКАЯ"</f>
        <v>ОБЛ ТЮМЕНСКАЯ</v>
      </c>
      <c r="Q1995" t="str">
        <f>""</f>
        <v/>
      </c>
      <c r="R1995" t="str">
        <f>"Г ТЮМЕНЬ"</f>
        <v>Г ТЮМЕНЬ</v>
      </c>
      <c r="S1995" t="str">
        <f>""</f>
        <v/>
      </c>
      <c r="T1995" t="str">
        <f>"УЛ ПР. ЗАРЕЧНЫЙ"</f>
        <v>УЛ ПР. ЗАРЕЧНЫЙ</v>
      </c>
      <c r="U1995" s="1" t="str">
        <f>"31"</f>
        <v>31</v>
      </c>
      <c r="V1995" s="1" t="str">
        <f>""</f>
        <v/>
      </c>
      <c r="W1995" s="1" t="str">
        <f>""</f>
        <v/>
      </c>
      <c r="X1995" s="1" t="str">
        <f>""</f>
        <v/>
      </c>
      <c r="Y1995" s="1" t="str">
        <f>"241"</f>
        <v>241</v>
      </c>
      <c r="Z1995" t="str">
        <f>""</f>
        <v/>
      </c>
      <c r="AA1995" t="str">
        <f>"9220037079"</f>
        <v>9220037079</v>
      </c>
      <c r="AB1995" t="str">
        <f>"9829014271"</f>
        <v>9829014271</v>
      </c>
      <c r="AC1995" t="str">
        <f>"9220037079"</f>
        <v>9220037079</v>
      </c>
      <c r="AD1995" t="str">
        <f>"9829014271"</f>
        <v>9829014271</v>
      </c>
      <c r="AE1995" t="str">
        <f>""</f>
        <v/>
      </c>
    </row>
    <row r="1996" spans="1:31" x14ac:dyDescent="0.45">
      <c r="A1996" t="str">
        <f>"ЛЕВЧУК АНЖЕЛИКА ВЛАДИМИРОВНА"</f>
        <v>ЛЕВЧУК АНЖЕЛИКА ВЛАДИМИРОВНА</v>
      </c>
      <c r="B1996" t="str">
        <f>"1969-09-22"</f>
        <v>1969-09-22</v>
      </c>
      <c r="C1996" t="str">
        <f>"80 15 058769"</f>
        <v>80 15 058769</v>
      </c>
      <c r="D1996" t="str">
        <f>"5313100627652232"</f>
        <v>5313100627652232</v>
      </c>
      <c r="E1996" t="str">
        <f>"2021-03-31"</f>
        <v>2021-03-31</v>
      </c>
      <c r="F1996" t="str">
        <f t="shared" si="346"/>
        <v>+</v>
      </c>
      <c r="G1996" t="str">
        <f t="shared" si="346"/>
        <v>+</v>
      </c>
      <c r="H1996" t="str">
        <f>"40817810916991470408"</f>
        <v>40817810916991470408</v>
      </c>
      <c r="I1996" t="str">
        <f>"8598"</f>
        <v>8598</v>
      </c>
      <c r="J1996" t="str">
        <f>"0045"</f>
        <v>0045</v>
      </c>
      <c r="K1996" t="str">
        <f>"50000.00"</f>
        <v>50000.00</v>
      </c>
      <c r="L1996" t="str">
        <f>"450000 РЕСП БАШКОРТОСТАН   Г УФА   УЛ СВОБОДЫ д. 80/2"</f>
        <v>450000 РЕСП БАШКОРТОСТАН   Г УФА   УЛ СВОБОДЫ д. 80/2</v>
      </c>
      <c r="M1996" t="str">
        <f t="shared" si="345"/>
        <v>2019-08-24</v>
      </c>
      <c r="N1996" t="str">
        <f>"УК ПСК6"</f>
        <v>УК ПСК6</v>
      </c>
      <c r="O1996" t="str">
        <f>"450000"</f>
        <v>450000</v>
      </c>
      <c r="P1996" t="str">
        <f>"РЕСП БАШКОРТОСТАН"</f>
        <v>РЕСП БАШКОРТОСТАН</v>
      </c>
      <c r="Q1996" t="str">
        <f>""</f>
        <v/>
      </c>
      <c r="R1996" t="str">
        <f>"Г УФА"</f>
        <v>Г УФА</v>
      </c>
      <c r="S1996" t="str">
        <f>""</f>
        <v/>
      </c>
      <c r="T1996" t="str">
        <f>"УЛ ТАШКЕНТСКАЯ"</f>
        <v>УЛ ТАШКЕНТСКАЯ</v>
      </c>
      <c r="U1996" s="1" t="str">
        <f>"4"</f>
        <v>4</v>
      </c>
      <c r="V1996" s="1" t="str">
        <f>""</f>
        <v/>
      </c>
      <c r="W1996" s="1" t="str">
        <f>"В"</f>
        <v>В</v>
      </c>
      <c r="X1996" s="1" t="str">
        <f>""</f>
        <v/>
      </c>
      <c r="Y1996" s="1" t="str">
        <f>""</f>
        <v/>
      </c>
      <c r="Z1996" t="str">
        <f>"+7 (965) 6622228"</f>
        <v>+7 (965) 6622228</v>
      </c>
      <c r="AA1996" t="str">
        <f>"+7 (917) 7790983"</f>
        <v>+7 (917) 7790983</v>
      </c>
      <c r="AB1996" t="str">
        <f>"+7 (965) 6622228"</f>
        <v>+7 (965) 6622228</v>
      </c>
      <c r="AC1996" t="str">
        <f>"9656622228"</f>
        <v>9656622228</v>
      </c>
      <c r="AD1996" t="str">
        <f>"9177790983"</f>
        <v>9177790983</v>
      </c>
      <c r="AE1996" t="str">
        <f>""</f>
        <v/>
      </c>
    </row>
    <row r="1997" spans="1:31" x14ac:dyDescent="0.45">
      <c r="A1997" t="str">
        <f>"СТИОПА ПАВЕЛ ПАВЛОВИЧ"</f>
        <v>СТИОПА ПАВЕЛ ПАВЛОВИЧ</v>
      </c>
      <c r="B1997" t="str">
        <f>"1977-10-23"</f>
        <v>1977-10-23</v>
      </c>
      <c r="C1997" t="str">
        <f>"80 02 964990"</f>
        <v>80 02 964990</v>
      </c>
      <c r="D1997" t="str">
        <f>"4854630359592295"</f>
        <v>4854630359592295</v>
      </c>
      <c r="E1997" t="str">
        <f>"2021-04-30"</f>
        <v>2021-04-30</v>
      </c>
      <c r="F1997" t="str">
        <f t="shared" si="346"/>
        <v>+</v>
      </c>
      <c r="G1997" t="str">
        <f t="shared" si="346"/>
        <v>+</v>
      </c>
      <c r="H1997" t="str">
        <f>"40817810216991470409"</f>
        <v>40817810216991470409</v>
      </c>
      <c r="I1997" t="str">
        <f>"8598"</f>
        <v>8598</v>
      </c>
      <c r="J1997" t="str">
        <f>"0223"</f>
        <v>0223</v>
      </c>
      <c r="K1997" t="str">
        <f>"370000.00"</f>
        <v>370000.00</v>
      </c>
      <c r="L1997" t="str">
        <f>"450000 РЕСП БАШКОРТОСТАН   Г УФА   УЛ МЕНДЕЛЕЕВА д. 130 корп. Б"</f>
        <v>450000 РЕСП БАШКОРТОСТАН   Г УФА   УЛ МЕНДЕЛЕЕВА д. 130 корп. Б</v>
      </c>
      <c r="M1997" t="str">
        <f t="shared" si="345"/>
        <v>2019-08-24</v>
      </c>
      <c r="N1997" t="str">
        <f>"НПП ТЕХ ПРОЕКТ"</f>
        <v>НПП ТЕХ ПРОЕКТ</v>
      </c>
      <c r="O1997" t="str">
        <f>"450000"</f>
        <v>450000</v>
      </c>
      <c r="P1997" t="str">
        <f>"РЕСП БАШКОРТОСТАН"</f>
        <v>РЕСП БАШКОРТОСТАН</v>
      </c>
      <c r="Q1997" t="str">
        <f>""</f>
        <v/>
      </c>
      <c r="R1997" t="str">
        <f>"Г УФА"</f>
        <v>Г УФА</v>
      </c>
      <c r="S1997" t="str">
        <f>""</f>
        <v/>
      </c>
      <c r="T1997" t="str">
        <f>"УЛ ЮРИЯ ГАГАРИНА"</f>
        <v>УЛ ЮРИЯ ГАГАРИНА</v>
      </c>
      <c r="U1997" s="1" t="str">
        <f>"53"</f>
        <v>53</v>
      </c>
      <c r="V1997" s="1" t="str">
        <f>""</f>
        <v/>
      </c>
      <c r="W1997" s="1" t="str">
        <f>""</f>
        <v/>
      </c>
      <c r="X1997" s="1" t="str">
        <f>""</f>
        <v/>
      </c>
      <c r="Y1997" s="1" t="str">
        <f>"23"</f>
        <v>23</v>
      </c>
      <c r="Z1997" t="str">
        <f>"9196128190"</f>
        <v>9196128190</v>
      </c>
      <c r="AA1997" t="str">
        <f>"9194584780"</f>
        <v>9194584780</v>
      </c>
      <c r="AB1997" t="str">
        <f>"9174114887"</f>
        <v>9174114887</v>
      </c>
      <c r="AC1997" t="str">
        <f>"9194584780"</f>
        <v>9194584780</v>
      </c>
      <c r="AD1997" t="str">
        <f>"9174114887"</f>
        <v>9174114887</v>
      </c>
      <c r="AE1997" t="str">
        <f>"9196128190"</f>
        <v>9196128190</v>
      </c>
    </row>
    <row r="1998" spans="1:31" x14ac:dyDescent="0.45">
      <c r="A1998" t="str">
        <f>"ЕВСТИФЕЕВ ДЕНИС МИХАЙЛОВИЧ"</f>
        <v>ЕВСТИФЕЕВ ДЕНИС МИХАЙЛОВИЧ</v>
      </c>
      <c r="B1998" t="str">
        <f>"1981-12-07"</f>
        <v>1981-12-07</v>
      </c>
      <c r="C1998" t="str">
        <f>"65 04 361862"</f>
        <v>65 04 361862</v>
      </c>
      <c r="D1998" t="str">
        <f>"4854630412420906"</f>
        <v>4854630412420906</v>
      </c>
      <c r="E1998" t="str">
        <f>"2021-05-31"</f>
        <v>2021-05-31</v>
      </c>
      <c r="F1998" t="str">
        <f t="shared" si="346"/>
        <v>+</v>
      </c>
      <c r="G1998" t="str">
        <f t="shared" si="346"/>
        <v>+</v>
      </c>
      <c r="H1998" t="str">
        <f>"40817810616991470410"</f>
        <v>40817810616991470410</v>
      </c>
      <c r="I1998" t="str">
        <f>"7003"</f>
        <v>7003</v>
      </c>
      <c r="J1998" t="str">
        <f>"0504"</f>
        <v>0504</v>
      </c>
      <c r="K1998" t="str">
        <f>"320000.00"</f>
        <v>320000.00</v>
      </c>
      <c r="L1998" t="str">
        <f>"620000 ОБЛ СВЕРДЛОВСКАЯ   Г ЕКАТЕРИНБУРГ   УЛ КОМСОМОЛЬСКАЯ д. 21"</f>
        <v>620000 ОБЛ СВЕРДЛОВСКАЯ   Г ЕКАТЕРИНБУРГ   УЛ КОМСОМОЛЬСКАЯ д. 21</v>
      </c>
      <c r="M1998" t="str">
        <f t="shared" si="345"/>
        <v>2019-08-24</v>
      </c>
      <c r="N1998" t="str">
        <f>"ФГБОУ ВПО УРГЮУ"</f>
        <v>ФГБОУ ВПО УРГЮУ</v>
      </c>
      <c r="O1998" t="str">
        <f>"620000"</f>
        <v>620000</v>
      </c>
      <c r="P1998" t="str">
        <f>"ОБЛ СВЕРДЛОВСКАЯ"</f>
        <v>ОБЛ СВЕРДЛОВСКАЯ</v>
      </c>
      <c r="Q1998" t="str">
        <f>""</f>
        <v/>
      </c>
      <c r="R1998" t="str">
        <f>"Г ЕКАТЕРИНБУРГ"</f>
        <v>Г ЕКАТЕРИНБУРГ</v>
      </c>
      <c r="S1998" t="str">
        <f>""</f>
        <v/>
      </c>
      <c r="T1998" t="str">
        <f>"УЛ СУРИКОВА"</f>
        <v>УЛ СУРИКОВА</v>
      </c>
      <c r="U1998" s="1" t="str">
        <f>"7"</f>
        <v>7</v>
      </c>
      <c r="V1998" s="1" t="str">
        <f>""</f>
        <v/>
      </c>
      <c r="W1998" s="1" t="str">
        <f>""</f>
        <v/>
      </c>
      <c r="X1998" s="1" t="str">
        <f>""</f>
        <v/>
      </c>
      <c r="Y1998" s="1" t="str">
        <f>"123"</f>
        <v>123</v>
      </c>
      <c r="Z1998" t="str">
        <f>"3433788454"</f>
        <v>3433788454</v>
      </c>
      <c r="AA1998" t="str">
        <f>"9126381002"</f>
        <v>9126381002</v>
      </c>
      <c r="AB1998" t="str">
        <f>"9126381002"</f>
        <v>9126381002</v>
      </c>
      <c r="AC1998" t="str">
        <f>"9126381002"</f>
        <v>9126381002</v>
      </c>
      <c r="AD1998" t="str">
        <f>"9126381002"</f>
        <v>9126381002</v>
      </c>
      <c r="AE1998" t="str">
        <f>""</f>
        <v/>
      </c>
    </row>
    <row r="1999" spans="1:31" x14ac:dyDescent="0.45">
      <c r="A1999" t="str">
        <f>"ФАЛАСАНИДИ ЕВГЕНИЯ ЕВГЕНЬЕВНА"</f>
        <v>ФАЛАСАНИДИ ЕВГЕНИЯ ЕВГЕНЬЕВНА</v>
      </c>
      <c r="B1999" t="str">
        <f>"1984-09-25"</f>
        <v>1984-09-25</v>
      </c>
      <c r="C1999" t="str">
        <f>"75 04 445783"</f>
        <v>75 04 445783</v>
      </c>
      <c r="D1999" t="str">
        <f>"4854630407224164"</f>
        <v>4854630407224164</v>
      </c>
      <c r="E1999" t="str">
        <f>"2021-04-30"</f>
        <v>2021-04-30</v>
      </c>
      <c r="F1999" t="str">
        <f t="shared" si="346"/>
        <v>+</v>
      </c>
      <c r="G1999" t="str">
        <f t="shared" si="346"/>
        <v>+</v>
      </c>
      <c r="H1999" t="str">
        <f>"40817810916991470411"</f>
        <v>40817810916991470411</v>
      </c>
      <c r="I1999" t="str">
        <f>"8597"</f>
        <v>8597</v>
      </c>
      <c r="J1999" t="str">
        <f>"0206"</f>
        <v>0206</v>
      </c>
      <c r="K1999" t="str">
        <f>"50000.00"</f>
        <v>50000.00</v>
      </c>
      <c r="L1999" t="str">
        <f>"454000 ОБЛ ЧЕЛЯБИНСКАЯ   Г ЧЕЛЯБИНСК   УЛ ЛЕНИНА д. 50"</f>
        <v>454000 ОБЛ ЧЕЛЯБИНСКАЯ   Г ЧЕЛЯБИНСК   УЛ ЛЕНИНА д. 50</v>
      </c>
      <c r="M1999" t="str">
        <f t="shared" si="345"/>
        <v>2019-08-24</v>
      </c>
      <c r="N1999" t="str">
        <f>"ООО АУДИТ ЧЕЛЯБИНСК"</f>
        <v>ООО АУДИТ ЧЕЛЯБИНСК</v>
      </c>
      <c r="O1999" t="str">
        <f>"454000"</f>
        <v>454000</v>
      </c>
      <c r="P1999" t="str">
        <f>"ОБЛ ЧЕЛЯБИНСКАЯ"</f>
        <v>ОБЛ ЧЕЛЯБИНСКАЯ</v>
      </c>
      <c r="Q1999" t="str">
        <f>""</f>
        <v/>
      </c>
      <c r="R1999" t="str">
        <f>"Г ЧЕЛЯБИНСК"</f>
        <v>Г ЧЕЛЯБИНСК</v>
      </c>
      <c r="S1999" t="str">
        <f>""</f>
        <v/>
      </c>
      <c r="T1999" t="str">
        <f>"УЛ 2-Я ЭЛЕКТРОВОЗНАЯ"</f>
        <v>УЛ 2-Я ЭЛЕКТРОВОЗНАЯ</v>
      </c>
      <c r="U1999" s="1" t="str">
        <f>"10"</f>
        <v>10</v>
      </c>
      <c r="V1999" s="1" t="str">
        <f>""</f>
        <v/>
      </c>
      <c r="W1999" s="1" t="str">
        <f>""</f>
        <v/>
      </c>
      <c r="X1999" s="1" t="str">
        <f>""</f>
        <v/>
      </c>
      <c r="Y1999" s="1" t="str">
        <f>""</f>
        <v/>
      </c>
      <c r="Z1999" t="str">
        <f>""</f>
        <v/>
      </c>
      <c r="AA1999" t="str">
        <f>"9058345445"</f>
        <v>9058345445</v>
      </c>
      <c r="AB1999" t="str">
        <f>"9518038790"</f>
        <v>9518038790</v>
      </c>
      <c r="AC1999" t="str">
        <f>"9058345445"</f>
        <v>9058345445</v>
      </c>
      <c r="AD1999" t="str">
        <f>"9518038790"</f>
        <v>9518038790</v>
      </c>
      <c r="AE1999" t="str">
        <f>""</f>
        <v/>
      </c>
    </row>
    <row r="2000" spans="1:31" ht="14.65" customHeight="1" x14ac:dyDescent="0.45">
      <c r="A2000" t="str">
        <f>"ПЕРЕМЫШЛЕВ ВАДИМ ЛЬВОВИЧ"</f>
        <v>ПЕРЕМЫШЛЕВ ВАДИМ ЛЬВОВИЧ</v>
      </c>
      <c r="B2000" t="str">
        <f>"1958-12-24"</f>
        <v>1958-12-24</v>
      </c>
      <c r="C2000" t="str">
        <f>"65 12 458478"</f>
        <v>65 12 458478</v>
      </c>
      <c r="D2000" t="str">
        <f>"4854630360391497"</f>
        <v>4854630360391497</v>
      </c>
      <c r="E2000" t="str">
        <f>"2021-05-31"</f>
        <v>2021-05-31</v>
      </c>
      <c r="F2000" t="str">
        <f t="shared" si="346"/>
        <v>+</v>
      </c>
      <c r="G2000" t="str">
        <f t="shared" si="346"/>
        <v>+</v>
      </c>
      <c r="H2000" t="str">
        <f>"40817810216991470412"</f>
        <v>40817810216991470412</v>
      </c>
      <c r="I2000" t="str">
        <f>"7003"</f>
        <v>7003</v>
      </c>
      <c r="J2000" t="str">
        <f>"0501"</f>
        <v>0501</v>
      </c>
      <c r="K2000" t="str">
        <f>"10000.00"</f>
        <v>10000.00</v>
      </c>
      <c r="L2000" t="str">
        <f>"620000 ОБЛ СВЕРДЛОВСКАЯ   Г ЕКАТЕРИНБУРГ   УЛ МАМИНА СИБИРЯКА д. 140"</f>
        <v>620000 ОБЛ СВЕРДЛОВСКАЯ   Г ЕКАТЕРИНБУРГ   УЛ МАМИНА СИБИРЯКА д. 140</v>
      </c>
      <c r="M2000" t="str">
        <f t="shared" si="345"/>
        <v>2019-08-24</v>
      </c>
      <c r="N2000" t="str">
        <f>"ПФР ОКТЯБРЬСКОГО Р-НА Г. ЕКАТЕРИНБУРГА"</f>
        <v>ПФР ОКТЯБРЬСКОГО Р-НА Г. ЕКАТЕРИНБУРГА</v>
      </c>
      <c r="O2000" t="str">
        <f>"620000"</f>
        <v>620000</v>
      </c>
      <c r="P2000" t="str">
        <f>"ОБЛ СВЕРДЛОВСКАЯ"</f>
        <v>ОБЛ СВЕРДЛОВСКАЯ</v>
      </c>
      <c r="Q2000" t="str">
        <f>""</f>
        <v/>
      </c>
      <c r="R2000" t="str">
        <f>"Г ЕКАТЕРИНБУРГ"</f>
        <v>Г ЕКАТЕРИНБУРГ</v>
      </c>
      <c r="S2000" t="str">
        <f>""</f>
        <v/>
      </c>
      <c r="T2000" t="str">
        <f>"УЛ МИЧУРИНА"</f>
        <v>УЛ МИЧУРИНА</v>
      </c>
      <c r="U2000" s="1" t="str">
        <f>"239"</f>
        <v>239</v>
      </c>
      <c r="V2000" s="1" t="str">
        <f>""</f>
        <v/>
      </c>
      <c r="W2000" s="1" t="str">
        <f>""</f>
        <v/>
      </c>
      <c r="X2000" s="1" t="str">
        <f>""</f>
        <v/>
      </c>
      <c r="Y2000" s="1" t="str">
        <f>"51"</f>
        <v>51</v>
      </c>
      <c r="Z2000" t="str">
        <f>""</f>
        <v/>
      </c>
      <c r="AA2000" t="str">
        <f>"9122421599"</f>
        <v>9122421599</v>
      </c>
      <c r="AB2000" t="str">
        <f>"9122421599"</f>
        <v>9122421599</v>
      </c>
      <c r="AC2000" t="str">
        <f>"9122421599"</f>
        <v>9122421599</v>
      </c>
      <c r="AD2000" t="str">
        <f>"9122421599"</f>
        <v>9122421599</v>
      </c>
      <c r="AE2000" t="str">
        <f>""</f>
        <v/>
      </c>
    </row>
  </sheetData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2019-09-28T15:30:07Z</dcterms:created>
  <dcterms:modified xsi:type="dcterms:W3CDTF">2019-10-07T07:06:32Z</dcterms:modified>
</cp:coreProperties>
</file>